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6705" yWindow="1380" windowWidth="13515" windowHeight="6495" activeTab="2"/>
  </bookViews>
  <sheets>
    <sheet name="Executive Summary" sheetId="2" r:id="rId1"/>
    <sheet name="Summary of Results" sheetId="1" r:id="rId2"/>
    <sheet name="Aquaculture" sheetId="3" r:id="rId3"/>
    <sheet name="Cassava" sheetId="4" r:id="rId4"/>
    <sheet name="Cocoa" sheetId="5" r:id="rId5"/>
    <sheet name="Maize" sheetId="6" r:id="rId6"/>
    <sheet name="Rice - Rainfed" sheetId="7" r:id="rId7"/>
    <sheet name="Rice - Irrigated" sheetId="8" r:id="rId8"/>
    <sheet name="Sorghum" sheetId="9" r:id="rId9"/>
    <sheet name="Soybean" sheetId="10" r:id="rId10"/>
    <sheet name="CFs" sheetId="11" r:id="rId11"/>
    <sheet name="Total Beneficiaries and Funding" sheetId="12" r:id="rId12"/>
  </sheets>
  <definedNames>
    <definedName name="_xlnm.Print_Area" localSheetId="3">Cassava!$A$2:$O$373</definedName>
    <definedName name="_xlnm.Print_Area" localSheetId="4">Cocoa!$A$2:$O$360</definedName>
    <definedName name="_xlnm.Print_Area" localSheetId="7">'Rice - Irrigated'!$A$2:$O$389</definedName>
    <definedName name="_xlnm.Print_Area" localSheetId="6">'Rice - Rainfed'!$A$4:$K$109</definedName>
    <definedName name="Z_0270675F_18D5_4C83_B813_43237B4A5065_.wvu.PrintArea" localSheetId="3" hidden="1">Cassava!$A$2:$O$373</definedName>
    <definedName name="Z_0270675F_18D5_4C83_B813_43237B4A5065_.wvu.PrintArea" localSheetId="4" hidden="1">Cocoa!$A$2:$O$360</definedName>
    <definedName name="Z_0270675F_18D5_4C83_B813_43237B4A5065_.wvu.PrintArea" localSheetId="7" hidden="1">'Rice - Irrigated'!$A$2:$O$389</definedName>
    <definedName name="Z_0270675F_18D5_4C83_B813_43237B4A5065_.wvu.PrintArea" localSheetId="6" hidden="1">'Rice - Rainfed'!$A$4:$K$109</definedName>
    <definedName name="Z_0270675F_18D5_4C83_B813_43237B4A5065_.wvu.Rows" localSheetId="2" hidden="1">Aquaculture!$320:$320,Aquaculture!#REF!</definedName>
    <definedName name="Z_0270675F_18D5_4C83_B813_43237B4A5065_.wvu.Rows" localSheetId="3" hidden="1">Cassava!$135:$135,Cassava!#REF!,Cassava!#REF!,Cassava!#REF!,Cassava!$224:$259,Cassava!$364:$364,Cassava!#REF!,Cassava!#REF!,Cassava!#REF!</definedName>
    <definedName name="Z_0270675F_18D5_4C83_B813_43237B4A5065_.wvu.Rows" localSheetId="4" hidden="1">Cocoa!$157:$163,Cocoa!$175:$175,Cocoa!$238:$238,Cocoa!#REF!,Cocoa!$360:$360,Cocoa!$453:$453</definedName>
    <definedName name="Z_0270675F_18D5_4C83_B813_43237B4A5065_.wvu.Rows" localSheetId="5" hidden="1">Maize!$388:$388,Maize!$397:$397</definedName>
    <definedName name="Z_0270675F_18D5_4C83_B813_43237B4A5065_.wvu.Rows" localSheetId="7" hidden="1">'Rice - Irrigated'!#REF!,'Rice - Irrigated'!$182:$188,'Rice - Irrigated'!#REF!,'Rice - Irrigated'!#REF!,'Rice - Irrigated'!#REF!,'Rice - Irrigated'!$389:$389</definedName>
    <definedName name="Z_0270675F_18D5_4C83_B813_43237B4A5065_.wvu.Rows" localSheetId="6" hidden="1">'Rice - Rainfed'!$152:$152,'Rice - Rainfed'!#REF!,'Rice - Rainfed'!$227:$262,'Rice - Rainfed'!#REF!,'Rice - Rainfed'!#REF!,'Rice - Rainfed'!$378:$378</definedName>
    <definedName name="Z_0270675F_18D5_4C83_B813_43237B4A5065_.wvu.Rows" localSheetId="8" hidden="1">Sorghum!$339:$339,Sorghum!#REF!</definedName>
    <definedName name="Z_0270675F_18D5_4C83_B813_43237B4A5065_.wvu.Rows" localSheetId="9" hidden="1">Soybean!$399:$399,Soybean!$408:$408</definedName>
    <definedName name="Z_0270675F_18D5_4C83_B813_43237B4A5065_.wvu.Rows" localSheetId="1" hidden="1">'Summary of Results'!#REF!</definedName>
    <definedName name="Z_1474D8E2_8801_474F_99A3_0D3DFA4B5FB3_.wvu.PrintArea" localSheetId="3" hidden="1">Cassava!$A$2:$O$373</definedName>
    <definedName name="Z_1474D8E2_8801_474F_99A3_0D3DFA4B5FB3_.wvu.PrintArea" localSheetId="4" hidden="1">Cocoa!$A$2:$O$360</definedName>
    <definedName name="Z_1474D8E2_8801_474F_99A3_0D3DFA4B5FB3_.wvu.PrintArea" localSheetId="7" hidden="1">'Rice - Irrigated'!$A$2:$O$389</definedName>
    <definedName name="Z_1474D8E2_8801_474F_99A3_0D3DFA4B5FB3_.wvu.PrintArea" localSheetId="6" hidden="1">'Rice - Rainfed'!$A$4:$K$109</definedName>
    <definedName name="Z_1474D8E2_8801_474F_99A3_0D3DFA4B5FB3_.wvu.Rows" localSheetId="2" hidden="1">Aquaculture!#REF!,Aquaculture!$159:$164,Aquaculture!$221:$221,Aquaculture!$320:$320,Aquaculture!#REF!</definedName>
    <definedName name="Z_1474D8E2_8801_474F_99A3_0D3DFA4B5FB3_.wvu.Rows" localSheetId="3" hidden="1">Cassava!$135:$135,Cassava!#REF!,Cassava!#REF!,Cassava!#REF!,Cassava!$224:$259,Cassava!$364:$364,Cassava!#REF!,Cassava!#REF!,Cassava!#REF!</definedName>
    <definedName name="Z_1474D8E2_8801_474F_99A3_0D3DFA4B5FB3_.wvu.Rows" localSheetId="4" hidden="1">Cocoa!$157:$163,Cocoa!$175:$175,Cocoa!$238:$238,Cocoa!#REF!,Cocoa!$360:$360,Cocoa!$453:$453</definedName>
    <definedName name="Z_1474D8E2_8801_474F_99A3_0D3DFA4B5FB3_.wvu.Rows" localSheetId="5" hidden="1">Maize!$397:$397</definedName>
    <definedName name="Z_1474D8E2_8801_474F_99A3_0D3DFA4B5FB3_.wvu.Rows" localSheetId="7" hidden="1">'Rice - Irrigated'!#REF!,'Rice - Irrigated'!$182:$188,'Rice - Irrigated'!#REF!,'Rice - Irrigated'!#REF!,'Rice - Irrigated'!#REF!,'Rice - Irrigated'!$389:$389</definedName>
    <definedName name="Z_1474D8E2_8801_474F_99A3_0D3DFA4B5FB3_.wvu.Rows" localSheetId="6" hidden="1">'Rice - Rainfed'!#REF!,'Rice - Rainfed'!#REF!,'Rice - Rainfed'!#REF!,'Rice - Rainfed'!$227:$262,'Rice - Rainfed'!#REF!,'Rice - Rainfed'!#REF!,'Rice - Rainfed'!$378:$378</definedName>
    <definedName name="Z_1474D8E2_8801_474F_99A3_0D3DFA4B5FB3_.wvu.Rows" localSheetId="8" hidden="1">Sorghum!#REF!</definedName>
    <definedName name="Z_1474D8E2_8801_474F_99A3_0D3DFA4B5FB3_.wvu.Rows" localSheetId="9" hidden="1">Soybean!#REF!,Soybean!$399:$399,Soybean!$408:$408</definedName>
    <definedName name="Z_1474D8E2_8801_474F_99A3_0D3DFA4B5FB3_.wvu.Rows" localSheetId="1" hidden="1">'Summary of Results'!#REF!</definedName>
    <definedName name="Z_1474D8E2_8801_474F_99A3_0D3DFA4B5FB3_.wvu.Rows" localSheetId="11" hidden="1">'Total Beneficiaries and Funding'!#REF!</definedName>
    <definedName name="Z_68E4D3DD_37C5_4451_9CB1_FD36A6953DAF_.wvu.PrintArea" localSheetId="3" hidden="1">Cassava!$A$2:$O$373</definedName>
    <definedName name="Z_68E4D3DD_37C5_4451_9CB1_FD36A6953DAF_.wvu.PrintArea" localSheetId="4" hidden="1">Cocoa!$A$2:$O$360</definedName>
    <definedName name="Z_68E4D3DD_37C5_4451_9CB1_FD36A6953DAF_.wvu.PrintArea" localSheetId="7" hidden="1">'Rice - Irrigated'!$A$2:$O$389</definedName>
    <definedName name="Z_68E4D3DD_37C5_4451_9CB1_FD36A6953DAF_.wvu.PrintArea" localSheetId="6" hidden="1">'Rice - Rainfed'!$A$4:$K$109</definedName>
    <definedName name="Z_68E4D3DD_37C5_4451_9CB1_FD36A6953DAF_.wvu.Rows" localSheetId="2" hidden="1">Aquaculture!#REF!,Aquaculture!$159:$164,Aquaculture!$221:$221,Aquaculture!$320:$320,Aquaculture!#REF!</definedName>
    <definedName name="Z_68E4D3DD_37C5_4451_9CB1_FD36A6953DAF_.wvu.Rows" localSheetId="3" hidden="1">Cassava!$135:$135,Cassava!#REF!,Cassava!#REF!,Cassava!#REF!,Cassava!$224:$259,Cassava!$364:$364,Cassava!#REF!,Cassava!#REF!,Cassava!#REF!</definedName>
    <definedName name="Z_68E4D3DD_37C5_4451_9CB1_FD36A6953DAF_.wvu.Rows" localSheetId="4" hidden="1">Cocoa!$157:$163,Cocoa!$175:$175,Cocoa!$238:$238,Cocoa!#REF!,Cocoa!$360:$360,Cocoa!$453:$453</definedName>
    <definedName name="Z_68E4D3DD_37C5_4451_9CB1_FD36A6953DAF_.wvu.Rows" localSheetId="5" hidden="1">Maize!$397:$397</definedName>
    <definedName name="Z_68E4D3DD_37C5_4451_9CB1_FD36A6953DAF_.wvu.Rows" localSheetId="7" hidden="1">'Rice - Irrigated'!#REF!,'Rice - Irrigated'!$182:$188,'Rice - Irrigated'!#REF!,'Rice - Irrigated'!#REF!,'Rice - Irrigated'!#REF!,'Rice - Irrigated'!$389:$389</definedName>
    <definedName name="Z_68E4D3DD_37C5_4451_9CB1_FD36A6953DAF_.wvu.Rows" localSheetId="6" hidden="1">'Rice - Rainfed'!#REF!,'Rice - Rainfed'!#REF!,'Rice - Rainfed'!#REF!,'Rice - Rainfed'!$227:$262,'Rice - Rainfed'!#REF!,'Rice - Rainfed'!#REF!,'Rice - Rainfed'!$378:$378</definedName>
    <definedName name="Z_68E4D3DD_37C5_4451_9CB1_FD36A6953DAF_.wvu.Rows" localSheetId="8" hidden="1">Sorghum!#REF!</definedName>
    <definedName name="Z_68E4D3DD_37C5_4451_9CB1_FD36A6953DAF_.wvu.Rows" localSheetId="9" hidden="1">Soybean!#REF!,Soybean!$399:$399,Soybean!$408:$408</definedName>
    <definedName name="Z_68E4D3DD_37C5_4451_9CB1_FD36A6953DAF_.wvu.Rows" localSheetId="1" hidden="1">'Summary of Results'!#REF!</definedName>
    <definedName name="Z_68E4D3DD_37C5_4451_9CB1_FD36A6953DAF_.wvu.Rows" localSheetId="11" hidden="1">'Total Beneficiaries and Funding'!#REF!</definedName>
  </definedNames>
  <calcPr calcId="145621" concurrentCalc="0"/>
  <customWorkbookViews>
    <customWorkbookView name="Kristen - Personal View" guid="{1474D8E2-8801-474F-99A3-0D3DFA4B5FB3}" mergeInterval="0" personalView="1" maximized="1" xWindow="1" yWindow="1" windowWidth="1362" windowHeight="518" activeSheetId="1" showComments="commIndAndComment"/>
    <customWorkbookView name="Gangelhoff, Gregory W. (E3/EP/E) - Personal View" guid="{0270675F-18D5-4C83-B813-43237B4A5065}" mergeInterval="0" personalView="1" maximized="1" windowWidth="1523" windowHeight="710" activeSheetId="5"/>
    <customWorkbookView name="USAID - Personal View" guid="{68E4D3DD-37C5-4451-9CB1-FD36A6953DAF}" mergeInterval="0" personalView="1" maximized="1" windowWidth="1920" windowHeight="975" activeSheetId="3"/>
  </customWorkbookViews>
</workbook>
</file>

<file path=xl/calcChain.xml><?xml version="1.0" encoding="utf-8"?>
<calcChain xmlns="http://schemas.openxmlformats.org/spreadsheetml/2006/main">
  <c r="J67" i="3" l="1"/>
  <c r="J65" i="3"/>
  <c r="I31" i="9"/>
  <c r="E9" i="12"/>
  <c r="I81" i="8"/>
  <c r="I70" i="8"/>
  <c r="I72" i="8"/>
  <c r="I71" i="8"/>
  <c r="F259" i="8"/>
  <c r="F135" i="7"/>
  <c r="F170" i="7"/>
  <c r="I74" i="10"/>
  <c r="I73" i="10"/>
  <c r="F140" i="9"/>
  <c r="F89" i="9"/>
  <c r="F90" i="9"/>
  <c r="F70" i="9"/>
  <c r="F71" i="9"/>
  <c r="F192" i="9"/>
  <c r="I73" i="9"/>
  <c r="I72" i="9"/>
  <c r="I73" i="6"/>
  <c r="I72" i="6"/>
  <c r="I77" i="5"/>
  <c r="I76" i="5"/>
  <c r="I74" i="5"/>
  <c r="I73" i="4"/>
  <c r="I71" i="4"/>
  <c r="J74" i="3"/>
  <c r="I82" i="8"/>
  <c r="I80" i="8"/>
  <c r="I79" i="8"/>
  <c r="I72" i="7"/>
  <c r="I73" i="7"/>
  <c r="F89" i="8"/>
  <c r="F143" i="8"/>
  <c r="F172" i="8"/>
  <c r="F173" i="8"/>
  <c r="F174" i="8"/>
  <c r="F175" i="8"/>
  <c r="F158" i="8"/>
  <c r="F159" i="8"/>
  <c r="F160" i="8"/>
  <c r="F161" i="8"/>
  <c r="F162" i="8"/>
  <c r="F234" i="8"/>
  <c r="F88" i="8"/>
  <c r="F233" i="8"/>
  <c r="F229" i="8"/>
  <c r="F167" i="8"/>
  <c r="O160" i="8"/>
  <c r="N160" i="8"/>
  <c r="M160" i="8"/>
  <c r="L160" i="8"/>
  <c r="K160" i="8"/>
  <c r="J160" i="8"/>
  <c r="I160" i="8"/>
  <c r="H160" i="8"/>
  <c r="G160" i="8"/>
  <c r="O167" i="8"/>
  <c r="N167" i="8"/>
  <c r="M167" i="8"/>
  <c r="L167" i="8"/>
  <c r="K167" i="8"/>
  <c r="J167" i="8"/>
  <c r="I167" i="8"/>
  <c r="H167" i="8"/>
  <c r="G167" i="8"/>
  <c r="C159" i="11"/>
  <c r="F227" i="8"/>
  <c r="F34" i="3"/>
  <c r="F72" i="3"/>
  <c r="F88" i="6"/>
  <c r="O347" i="3"/>
  <c r="O348" i="3"/>
  <c r="N347" i="3"/>
  <c r="N348" i="3"/>
  <c r="M347" i="3"/>
  <c r="M348" i="3"/>
  <c r="L347" i="3"/>
  <c r="L348" i="3"/>
  <c r="K347" i="3"/>
  <c r="K348" i="3"/>
  <c r="J347" i="3"/>
  <c r="J348" i="3"/>
  <c r="I347" i="3"/>
  <c r="I348" i="3"/>
  <c r="H347" i="3"/>
  <c r="H348" i="3"/>
  <c r="G347" i="3"/>
  <c r="G348" i="3"/>
  <c r="F347" i="3"/>
  <c r="F348" i="3"/>
  <c r="O239" i="3"/>
  <c r="O240" i="3"/>
  <c r="N239" i="3"/>
  <c r="N240" i="3"/>
  <c r="M239" i="3"/>
  <c r="M240" i="3"/>
  <c r="L239" i="3"/>
  <c r="L240" i="3"/>
  <c r="K239" i="3"/>
  <c r="K240" i="3"/>
  <c r="J239" i="3"/>
  <c r="J240" i="3"/>
  <c r="I239" i="3"/>
  <c r="I240" i="3"/>
  <c r="H239" i="3"/>
  <c r="H240" i="3"/>
  <c r="G239" i="3"/>
  <c r="G240" i="3"/>
  <c r="F239" i="3"/>
  <c r="F240" i="3"/>
  <c r="F85" i="3"/>
  <c r="F31" i="3"/>
  <c r="G138" i="3"/>
  <c r="M138" i="3"/>
  <c r="G131" i="3"/>
  <c r="H131" i="3"/>
  <c r="I131" i="3"/>
  <c r="J131" i="3"/>
  <c r="K131" i="3"/>
  <c r="L131" i="3"/>
  <c r="M131" i="3"/>
  <c r="N131" i="3"/>
  <c r="O131" i="3"/>
  <c r="F131" i="3"/>
  <c r="G125" i="3"/>
  <c r="H125" i="3"/>
  <c r="I125" i="3"/>
  <c r="J125" i="3"/>
  <c r="K125" i="3"/>
  <c r="L125" i="3"/>
  <c r="M125" i="3"/>
  <c r="N125" i="3"/>
  <c r="O125" i="3"/>
  <c r="G127" i="3"/>
  <c r="H127" i="3"/>
  <c r="I127" i="3"/>
  <c r="J127" i="3"/>
  <c r="K127" i="3"/>
  <c r="L127" i="3"/>
  <c r="M127" i="3"/>
  <c r="N127" i="3"/>
  <c r="O127" i="3"/>
  <c r="F127" i="3"/>
  <c r="F125" i="3"/>
  <c r="G126" i="3"/>
  <c r="F76" i="3"/>
  <c r="G119" i="3"/>
  <c r="H119" i="3"/>
  <c r="I119" i="3"/>
  <c r="J119" i="3"/>
  <c r="K119" i="3"/>
  <c r="L119" i="3"/>
  <c r="M119" i="3"/>
  <c r="N119" i="3"/>
  <c r="O119" i="3"/>
  <c r="F119" i="3"/>
  <c r="F89" i="3"/>
  <c r="F88" i="3"/>
  <c r="I232" i="3"/>
  <c r="F84" i="3"/>
  <c r="F75" i="3"/>
  <c r="F71" i="3"/>
  <c r="F64" i="3"/>
  <c r="F61" i="3"/>
  <c r="F60" i="3"/>
  <c r="F59" i="3"/>
  <c r="F178" i="3"/>
  <c r="F43" i="3"/>
  <c r="F51" i="3"/>
  <c r="F169" i="3"/>
  <c r="F244" i="3"/>
  <c r="F352" i="3"/>
  <c r="F44" i="3"/>
  <c r="F45" i="3"/>
  <c r="F46" i="3"/>
  <c r="F54" i="3"/>
  <c r="F172" i="3"/>
  <c r="F247" i="3"/>
  <c r="F355" i="3"/>
  <c r="F47" i="3"/>
  <c r="F55" i="3"/>
  <c r="F173" i="3"/>
  <c r="F248" i="3"/>
  <c r="F356" i="3"/>
  <c r="F50" i="3"/>
  <c r="F52" i="3"/>
  <c r="F56" i="3"/>
  <c r="F42" i="3"/>
  <c r="F168" i="3"/>
  <c r="F243" i="3"/>
  <c r="F351" i="3"/>
  <c r="H138" i="3"/>
  <c r="F30" i="3"/>
  <c r="K138" i="3"/>
  <c r="F170" i="3"/>
  <c r="F245" i="3"/>
  <c r="F353" i="3"/>
  <c r="F179" i="3"/>
  <c r="F254" i="3"/>
  <c r="F362" i="3"/>
  <c r="O138" i="3"/>
  <c r="J138" i="3"/>
  <c r="F136" i="3"/>
  <c r="F137" i="3"/>
  <c r="N138" i="3"/>
  <c r="I138" i="3"/>
  <c r="F253" i="3"/>
  <c r="I340" i="3"/>
  <c r="I341" i="3"/>
  <c r="I233" i="3"/>
  <c r="N232" i="3"/>
  <c r="J232" i="3"/>
  <c r="F65" i="3"/>
  <c r="F184" i="3"/>
  <c r="F259" i="3"/>
  <c r="F367" i="3"/>
  <c r="F232" i="3"/>
  <c r="L232" i="3"/>
  <c r="H232" i="3"/>
  <c r="F66" i="3"/>
  <c r="G120" i="3"/>
  <c r="G136" i="3"/>
  <c r="G137" i="3"/>
  <c r="F128" i="3"/>
  <c r="F138" i="3"/>
  <c r="F150" i="3"/>
  <c r="L138" i="3"/>
  <c r="O232" i="3"/>
  <c r="K232" i="3"/>
  <c r="G232" i="3"/>
  <c r="F183" i="3"/>
  <c r="F258" i="3"/>
  <c r="F366" i="3"/>
  <c r="N126" i="3"/>
  <c r="F148" i="3"/>
  <c r="F227" i="3"/>
  <c r="M232" i="3"/>
  <c r="F149" i="3"/>
  <c r="F228" i="3"/>
  <c r="F174" i="3"/>
  <c r="F249" i="3"/>
  <c r="F357" i="3"/>
  <c r="F139" i="3"/>
  <c r="L128" i="3"/>
  <c r="J126" i="3"/>
  <c r="H128" i="3"/>
  <c r="O128" i="3"/>
  <c r="K128" i="3"/>
  <c r="G128" i="3"/>
  <c r="M126" i="3"/>
  <c r="I126" i="3"/>
  <c r="N128" i="3"/>
  <c r="J128" i="3"/>
  <c r="L126" i="3"/>
  <c r="H126" i="3"/>
  <c r="F126" i="3"/>
  <c r="M128" i="3"/>
  <c r="I128" i="3"/>
  <c r="O126" i="3"/>
  <c r="K126" i="3"/>
  <c r="F180" i="3"/>
  <c r="H120" i="3"/>
  <c r="H136" i="3"/>
  <c r="H137" i="3"/>
  <c r="O233" i="3"/>
  <c r="O340" i="3"/>
  <c r="O341" i="3"/>
  <c r="F233" i="3"/>
  <c r="F340" i="3"/>
  <c r="F341" i="3"/>
  <c r="F229" i="3"/>
  <c r="F235" i="3"/>
  <c r="M233" i="3"/>
  <c r="M340" i="3"/>
  <c r="M341" i="3"/>
  <c r="G340" i="3"/>
  <c r="G341" i="3"/>
  <c r="G233" i="3"/>
  <c r="H340" i="3"/>
  <c r="H341" i="3"/>
  <c r="H233" i="3"/>
  <c r="J233" i="3"/>
  <c r="J340" i="3"/>
  <c r="J341" i="3"/>
  <c r="F361" i="3"/>
  <c r="F363" i="3"/>
  <c r="F255" i="3"/>
  <c r="K340" i="3"/>
  <c r="K341" i="3"/>
  <c r="K233" i="3"/>
  <c r="L233" i="3"/>
  <c r="L340" i="3"/>
  <c r="L341" i="3"/>
  <c r="N233" i="3"/>
  <c r="N340" i="3"/>
  <c r="N341" i="3"/>
  <c r="F151" i="3"/>
  <c r="G139" i="3"/>
  <c r="F73" i="3"/>
  <c r="I120" i="3"/>
  <c r="J120" i="3"/>
  <c r="K120" i="3"/>
  <c r="H139" i="3"/>
  <c r="F185" i="3"/>
  <c r="J66" i="3"/>
  <c r="I136" i="3"/>
  <c r="I137" i="3"/>
  <c r="I139" i="3"/>
  <c r="J136" i="3"/>
  <c r="J137" i="3"/>
  <c r="J139" i="3"/>
  <c r="L120" i="3"/>
  <c r="K136" i="3"/>
  <c r="F260" i="3"/>
  <c r="E29" i="12"/>
  <c r="F29" i="12"/>
  <c r="G29" i="12"/>
  <c r="H29" i="12"/>
  <c r="I29" i="12"/>
  <c r="J29" i="12"/>
  <c r="K29" i="12"/>
  <c r="D29" i="12"/>
  <c r="C34" i="12"/>
  <c r="C33" i="12"/>
  <c r="C32" i="12"/>
  <c r="C31" i="12"/>
  <c r="C36" i="12"/>
  <c r="C37" i="12"/>
  <c r="C38" i="12"/>
  <c r="F69" i="8"/>
  <c r="D21" i="11"/>
  <c r="F35" i="4"/>
  <c r="I31" i="4"/>
  <c r="K137" i="3"/>
  <c r="M120" i="3"/>
  <c r="L136" i="3"/>
  <c r="F368" i="3"/>
  <c r="J525" i="10"/>
  <c r="I525" i="10"/>
  <c r="H525" i="10"/>
  <c r="G525" i="10"/>
  <c r="F525" i="10"/>
  <c r="J463" i="9"/>
  <c r="I463" i="9"/>
  <c r="H463" i="9"/>
  <c r="G463" i="9"/>
  <c r="F463" i="9"/>
  <c r="J500" i="8"/>
  <c r="I500" i="8"/>
  <c r="H500" i="8"/>
  <c r="G500" i="8"/>
  <c r="F500" i="8"/>
  <c r="J473" i="7"/>
  <c r="I473" i="7"/>
  <c r="H473" i="7"/>
  <c r="G473" i="7"/>
  <c r="F473" i="7"/>
  <c r="J512" i="6"/>
  <c r="I512" i="6"/>
  <c r="H512" i="6"/>
  <c r="G512" i="6"/>
  <c r="F512" i="6"/>
  <c r="F462" i="5"/>
  <c r="J462" i="5"/>
  <c r="I462" i="5"/>
  <c r="H462" i="5"/>
  <c r="G462" i="5"/>
  <c r="J476" i="4"/>
  <c r="I476" i="4"/>
  <c r="H476" i="4"/>
  <c r="G476" i="4"/>
  <c r="F476" i="4"/>
  <c r="F437" i="3"/>
  <c r="J437" i="3"/>
  <c r="I437" i="3"/>
  <c r="H437" i="3"/>
  <c r="G437" i="3"/>
  <c r="J24" i="1"/>
  <c r="I24" i="1"/>
  <c r="H24" i="1"/>
  <c r="G24" i="1"/>
  <c r="F24" i="1"/>
  <c r="E24" i="1"/>
  <c r="D24" i="1"/>
  <c r="C24" i="1"/>
  <c r="I83" i="4"/>
  <c r="F82" i="4"/>
  <c r="I82" i="4"/>
  <c r="I50" i="4"/>
  <c r="F189" i="5"/>
  <c r="F274" i="5"/>
  <c r="F195" i="5"/>
  <c r="F87" i="5"/>
  <c r="I36" i="5"/>
  <c r="I38" i="8"/>
  <c r="I37" i="7"/>
  <c r="L147" i="8"/>
  <c r="L148" i="8"/>
  <c r="I58" i="8"/>
  <c r="O213" i="8"/>
  <c r="N213" i="8"/>
  <c r="M213" i="8"/>
  <c r="L213" i="8"/>
  <c r="K213" i="8"/>
  <c r="J213" i="8"/>
  <c r="I213" i="8"/>
  <c r="H213" i="8"/>
  <c r="G213" i="8"/>
  <c r="F213" i="8"/>
  <c r="I68" i="8"/>
  <c r="N120" i="3"/>
  <c r="M136" i="3"/>
  <c r="L137" i="3"/>
  <c r="K139" i="3"/>
  <c r="K147" i="8"/>
  <c r="K148" i="8"/>
  <c r="K149" i="8"/>
  <c r="F147" i="8"/>
  <c r="M147" i="8"/>
  <c r="M148" i="8"/>
  <c r="I69" i="8"/>
  <c r="L152" i="8"/>
  <c r="L153" i="8"/>
  <c r="G147" i="8"/>
  <c r="G148" i="8"/>
  <c r="O147" i="8"/>
  <c r="O148" i="8"/>
  <c r="O149" i="8"/>
  <c r="O282" i="8"/>
  <c r="O401" i="8"/>
  <c r="J147" i="8"/>
  <c r="J148" i="8"/>
  <c r="I147" i="8"/>
  <c r="I148" i="8"/>
  <c r="N147" i="8"/>
  <c r="N148" i="8"/>
  <c r="F313" i="8"/>
  <c r="F428" i="8"/>
  <c r="H147" i="8"/>
  <c r="H148" i="8"/>
  <c r="L149" i="8"/>
  <c r="J80" i="3"/>
  <c r="F80" i="3"/>
  <c r="F367" i="8"/>
  <c r="F478" i="8"/>
  <c r="F190" i="3"/>
  <c r="M137" i="3"/>
  <c r="L139" i="3"/>
  <c r="O120" i="3"/>
  <c r="N136" i="3"/>
  <c r="G152" i="8"/>
  <c r="G153" i="8"/>
  <c r="G154" i="8"/>
  <c r="F148" i="8"/>
  <c r="F226" i="8"/>
  <c r="F312" i="8"/>
  <c r="F427" i="8"/>
  <c r="N149" i="8"/>
  <c r="G149" i="8"/>
  <c r="H149" i="8"/>
  <c r="I149" i="8"/>
  <c r="L154" i="8"/>
  <c r="J149" i="8"/>
  <c r="M149" i="8"/>
  <c r="N152" i="8"/>
  <c r="N153" i="8"/>
  <c r="M152" i="8"/>
  <c r="M153" i="8"/>
  <c r="H152" i="8"/>
  <c r="H153" i="8"/>
  <c r="I152" i="8"/>
  <c r="I153" i="8"/>
  <c r="O152" i="8"/>
  <c r="O153" i="8"/>
  <c r="J152" i="8"/>
  <c r="J153" i="8"/>
  <c r="K152" i="8"/>
  <c r="K153" i="8"/>
  <c r="F152" i="8"/>
  <c r="F153" i="8"/>
  <c r="N137" i="3"/>
  <c r="N139" i="3"/>
  <c r="O136" i="3"/>
  <c r="M139" i="3"/>
  <c r="F265" i="3"/>
  <c r="F149" i="8"/>
  <c r="K154" i="8"/>
  <c r="H154" i="8"/>
  <c r="J154" i="8"/>
  <c r="M154" i="8"/>
  <c r="O154" i="8"/>
  <c r="O336" i="8"/>
  <c r="O451" i="8"/>
  <c r="N154" i="8"/>
  <c r="F154" i="8"/>
  <c r="F258" i="8"/>
  <c r="I154" i="8"/>
  <c r="F86" i="10"/>
  <c r="I86" i="10"/>
  <c r="I43" i="10"/>
  <c r="F373" i="3"/>
  <c r="O137" i="3"/>
  <c r="O139" i="3"/>
  <c r="I40" i="9"/>
  <c r="I44" i="6"/>
  <c r="I43" i="6"/>
  <c r="I40" i="6"/>
  <c r="C111" i="11"/>
  <c r="C95" i="11"/>
  <c r="G132" i="3"/>
  <c r="H132" i="3"/>
  <c r="I132" i="3"/>
  <c r="J132" i="3"/>
  <c r="K132" i="3"/>
  <c r="L132" i="3"/>
  <c r="M132" i="3"/>
  <c r="N132" i="3"/>
  <c r="O132" i="3"/>
  <c r="F132" i="3"/>
  <c r="F197" i="3"/>
  <c r="F207" i="3"/>
  <c r="F211" i="3"/>
  <c r="D22" i="11"/>
  <c r="I80" i="7"/>
  <c r="F80" i="7"/>
  <c r="F85" i="7"/>
  <c r="F93" i="8"/>
  <c r="C251" i="11"/>
  <c r="C217" i="11"/>
  <c r="C196" i="11"/>
  <c r="C234" i="11"/>
  <c r="D33" i="11"/>
  <c r="C189" i="11"/>
  <c r="C190" i="11"/>
  <c r="G190" i="11"/>
  <c r="C199" i="11"/>
  <c r="G199" i="11"/>
  <c r="C198" i="11"/>
  <c r="G189" i="11"/>
  <c r="D86" i="11"/>
  <c r="D16" i="12"/>
  <c r="E13" i="12"/>
  <c r="I107" i="5"/>
  <c r="F192" i="8"/>
  <c r="F193" i="8"/>
  <c r="F194" i="8"/>
  <c r="E15" i="12"/>
  <c r="J100" i="3"/>
  <c r="E11" i="12"/>
  <c r="I114" i="10"/>
  <c r="E14" i="12"/>
  <c r="I111" i="6"/>
  <c r="E8" i="12"/>
  <c r="I114" i="8"/>
  <c r="I106" i="7"/>
  <c r="E12" i="12"/>
  <c r="I104" i="4"/>
  <c r="E10" i="12"/>
  <c r="I111" i="9"/>
  <c r="G198" i="11"/>
  <c r="F147" i="10"/>
  <c r="I75" i="10"/>
  <c r="I99" i="8"/>
  <c r="F102" i="8"/>
  <c r="F99" i="8"/>
  <c r="O144" i="8"/>
  <c r="N144" i="8"/>
  <c r="M144" i="8"/>
  <c r="L144" i="8"/>
  <c r="K144" i="8"/>
  <c r="J144" i="8"/>
  <c r="I144" i="8"/>
  <c r="H144" i="8"/>
  <c r="G144" i="8"/>
  <c r="F144" i="8"/>
  <c r="F327" i="7"/>
  <c r="G136" i="7"/>
  <c r="H136" i="7"/>
  <c r="I136" i="7"/>
  <c r="J136" i="7"/>
  <c r="K136" i="7"/>
  <c r="L136" i="7"/>
  <c r="M136" i="7"/>
  <c r="N136" i="7"/>
  <c r="O136" i="7"/>
  <c r="F136" i="7"/>
  <c r="F91" i="7"/>
  <c r="F283" i="7"/>
  <c r="G283" i="7"/>
  <c r="H283" i="7"/>
  <c r="I283" i="7"/>
  <c r="J283" i="7"/>
  <c r="K283" i="7"/>
  <c r="L283" i="7"/>
  <c r="M283" i="7"/>
  <c r="N283" i="7"/>
  <c r="O283" i="7"/>
  <c r="I95" i="7"/>
  <c r="I91" i="7"/>
  <c r="F334" i="7"/>
  <c r="F335" i="7"/>
  <c r="E446" i="5"/>
  <c r="E400" i="5"/>
  <c r="O135" i="4"/>
  <c r="N135" i="4"/>
  <c r="M135" i="4"/>
  <c r="L135" i="4"/>
  <c r="K135" i="4"/>
  <c r="J135" i="4"/>
  <c r="I135" i="4"/>
  <c r="H135" i="4"/>
  <c r="G135" i="4"/>
  <c r="F135" i="4"/>
  <c r="O134" i="4"/>
  <c r="N134" i="4"/>
  <c r="M134" i="4"/>
  <c r="L134" i="4"/>
  <c r="K134" i="4"/>
  <c r="J134" i="4"/>
  <c r="I134" i="4"/>
  <c r="H134" i="4"/>
  <c r="G134" i="4"/>
  <c r="F134" i="4"/>
  <c r="J53" i="3"/>
  <c r="F53" i="3"/>
  <c r="F171" i="3"/>
  <c r="N180" i="8"/>
  <c r="F180" i="8"/>
  <c r="F168" i="8"/>
  <c r="G180" i="8"/>
  <c r="K180" i="8"/>
  <c r="O180" i="8"/>
  <c r="J180" i="8"/>
  <c r="H180" i="8"/>
  <c r="L180" i="8"/>
  <c r="I180" i="8"/>
  <c r="M180" i="8"/>
  <c r="K168" i="8"/>
  <c r="H168" i="8"/>
  <c r="L168" i="8"/>
  <c r="I168" i="8"/>
  <c r="M168" i="8"/>
  <c r="J168" i="8"/>
  <c r="N168" i="8"/>
  <c r="G168" i="8"/>
  <c r="O168" i="8"/>
  <c r="F246" i="3"/>
  <c r="F175" i="3"/>
  <c r="F274" i="10"/>
  <c r="F250" i="8"/>
  <c r="E16" i="12"/>
  <c r="F354" i="3"/>
  <c r="F358" i="3"/>
  <c r="F250" i="3"/>
  <c r="F146" i="5"/>
  <c r="F165" i="5"/>
  <c r="F147" i="5"/>
  <c r="F166" i="5"/>
  <c r="C197" i="11"/>
  <c r="G197" i="11"/>
  <c r="D29" i="11"/>
  <c r="C177" i="11"/>
  <c r="C178" i="11"/>
  <c r="C180" i="11"/>
  <c r="D31" i="11"/>
  <c r="I37" i="9"/>
  <c r="I31" i="7"/>
  <c r="C181" i="11"/>
  <c r="G180" i="11"/>
  <c r="O256" i="6"/>
  <c r="N256" i="6"/>
  <c r="M256" i="6"/>
  <c r="L256" i="6"/>
  <c r="K256" i="6"/>
  <c r="J256" i="6"/>
  <c r="O226" i="6"/>
  <c r="N226" i="6"/>
  <c r="M226" i="6"/>
  <c r="L226" i="6"/>
  <c r="K226" i="6"/>
  <c r="J226" i="6"/>
  <c r="O196" i="6"/>
  <c r="N196" i="6"/>
  <c r="M196" i="6"/>
  <c r="L196" i="6"/>
  <c r="K196" i="6"/>
  <c r="J196" i="6"/>
  <c r="I196" i="6"/>
  <c r="H196" i="6"/>
  <c r="G196" i="6"/>
  <c r="F196" i="6"/>
  <c r="F312" i="6"/>
  <c r="F427" i="6"/>
  <c r="F202" i="3"/>
  <c r="F297" i="3"/>
  <c r="F405" i="3"/>
  <c r="O202" i="3"/>
  <c r="N202" i="3"/>
  <c r="M202" i="3"/>
  <c r="L202" i="3"/>
  <c r="K202" i="3"/>
  <c r="J202" i="3"/>
  <c r="O264" i="10"/>
  <c r="N264" i="10"/>
  <c r="M264" i="10"/>
  <c r="L264" i="10"/>
  <c r="K264" i="10"/>
  <c r="J264" i="10"/>
  <c r="F264" i="10"/>
  <c r="O233" i="10"/>
  <c r="N233" i="10"/>
  <c r="M233" i="10"/>
  <c r="L233" i="10"/>
  <c r="K233" i="10"/>
  <c r="J233" i="10"/>
  <c r="O202" i="10"/>
  <c r="N202" i="10"/>
  <c r="M202" i="10"/>
  <c r="L202" i="10"/>
  <c r="K202" i="10"/>
  <c r="J202" i="10"/>
  <c r="O182" i="9"/>
  <c r="N182" i="9"/>
  <c r="M182" i="9"/>
  <c r="L182" i="9"/>
  <c r="K182" i="9"/>
  <c r="O212" i="9"/>
  <c r="N212" i="9"/>
  <c r="M212" i="9"/>
  <c r="L212" i="9"/>
  <c r="K212" i="9"/>
  <c r="J212" i="9"/>
  <c r="S527" i="10"/>
  <c r="R527" i="10"/>
  <c r="Q527" i="10"/>
  <c r="P527" i="10"/>
  <c r="O527" i="10"/>
  <c r="N527" i="10"/>
  <c r="M527" i="10"/>
  <c r="L527" i="10"/>
  <c r="K527" i="10"/>
  <c r="J527" i="10"/>
  <c r="I527" i="10"/>
  <c r="H527" i="10"/>
  <c r="G527" i="10"/>
  <c r="F527" i="10"/>
  <c r="S526" i="10"/>
  <c r="R526" i="10"/>
  <c r="Q526" i="10"/>
  <c r="P526" i="10"/>
  <c r="O526" i="10"/>
  <c r="N526" i="10"/>
  <c r="M526" i="10"/>
  <c r="L526" i="10"/>
  <c r="K526" i="10"/>
  <c r="J526" i="10"/>
  <c r="I526" i="10"/>
  <c r="H526" i="10"/>
  <c r="G526" i="10"/>
  <c r="F526" i="10"/>
  <c r="O363" i="10"/>
  <c r="O364" i="10"/>
  <c r="N363" i="10"/>
  <c r="N480" i="10"/>
  <c r="N481" i="10"/>
  <c r="M363" i="10"/>
  <c r="M364" i="10"/>
  <c r="L363" i="10"/>
  <c r="K363" i="10"/>
  <c r="J363" i="10"/>
  <c r="J480" i="10"/>
  <c r="J481" i="10"/>
  <c r="I363" i="10"/>
  <c r="I364" i="10"/>
  <c r="H363" i="10"/>
  <c r="G363" i="10"/>
  <c r="G364" i="10"/>
  <c r="F363" i="10"/>
  <c r="F480" i="10"/>
  <c r="F481" i="10"/>
  <c r="O356" i="10"/>
  <c r="O473" i="10"/>
  <c r="N356" i="10"/>
  <c r="N473" i="10"/>
  <c r="M356" i="10"/>
  <c r="M473" i="10"/>
  <c r="L356" i="10"/>
  <c r="L473" i="10"/>
  <c r="K356" i="10"/>
  <c r="K473" i="10"/>
  <c r="J356" i="10"/>
  <c r="J473" i="10"/>
  <c r="I356" i="10"/>
  <c r="I473" i="10"/>
  <c r="H356" i="10"/>
  <c r="H473" i="10"/>
  <c r="G356" i="10"/>
  <c r="G473" i="10"/>
  <c r="F356" i="10"/>
  <c r="F473" i="10"/>
  <c r="O355" i="10"/>
  <c r="N355" i="10"/>
  <c r="M355" i="10"/>
  <c r="L355" i="10"/>
  <c r="K355" i="10"/>
  <c r="J355" i="10"/>
  <c r="I355" i="10"/>
  <c r="I357" i="10"/>
  <c r="H355" i="10"/>
  <c r="G355" i="10"/>
  <c r="F355" i="10"/>
  <c r="O311" i="10"/>
  <c r="N311" i="10"/>
  <c r="N428" i="10"/>
  <c r="N429" i="10"/>
  <c r="M311" i="10"/>
  <c r="M312" i="10"/>
  <c r="L311" i="10"/>
  <c r="L312" i="10"/>
  <c r="K311" i="10"/>
  <c r="K312" i="10"/>
  <c r="J311" i="10"/>
  <c r="J428" i="10"/>
  <c r="J429" i="10"/>
  <c r="I311" i="10"/>
  <c r="H311" i="10"/>
  <c r="H428" i="10"/>
  <c r="H429" i="10"/>
  <c r="G311" i="10"/>
  <c r="G312" i="10"/>
  <c r="F311" i="10"/>
  <c r="O304" i="10"/>
  <c r="N304" i="10"/>
  <c r="N421" i="10"/>
  <c r="M304" i="10"/>
  <c r="M421" i="10"/>
  <c r="L304" i="10"/>
  <c r="K304" i="10"/>
  <c r="J304" i="10"/>
  <c r="I304" i="10"/>
  <c r="I421" i="10"/>
  <c r="H304" i="10"/>
  <c r="H421" i="10"/>
  <c r="G304" i="10"/>
  <c r="F304" i="10"/>
  <c r="O303" i="10"/>
  <c r="O420" i="10"/>
  <c r="N303" i="10"/>
  <c r="N420" i="10"/>
  <c r="M303" i="10"/>
  <c r="L303" i="10"/>
  <c r="L420" i="10"/>
  <c r="K303" i="10"/>
  <c r="K420" i="10"/>
  <c r="J303" i="10"/>
  <c r="J420" i="10"/>
  <c r="I303" i="10"/>
  <c r="I420" i="10"/>
  <c r="H303" i="10"/>
  <c r="H420" i="10"/>
  <c r="G303" i="10"/>
  <c r="G420" i="10"/>
  <c r="F303" i="10"/>
  <c r="F420" i="10"/>
  <c r="F284" i="10"/>
  <c r="F283" i="10"/>
  <c r="O168" i="10"/>
  <c r="N168" i="10"/>
  <c r="M168" i="10"/>
  <c r="L168" i="10"/>
  <c r="K168" i="10"/>
  <c r="J168" i="10"/>
  <c r="I168" i="10"/>
  <c r="H168" i="10"/>
  <c r="G168" i="10"/>
  <c r="F168" i="10"/>
  <c r="F189" i="10"/>
  <c r="O154" i="10"/>
  <c r="N154" i="10"/>
  <c r="M154" i="10"/>
  <c r="L154" i="10"/>
  <c r="K154" i="10"/>
  <c r="J154" i="10"/>
  <c r="I154" i="10"/>
  <c r="H154" i="10"/>
  <c r="G154" i="10"/>
  <c r="F154" i="10"/>
  <c r="F175" i="10"/>
  <c r="O148" i="10"/>
  <c r="O386" i="10"/>
  <c r="O503" i="10"/>
  <c r="N148" i="10"/>
  <c r="M148" i="10"/>
  <c r="M386" i="10"/>
  <c r="M503" i="10"/>
  <c r="L148" i="10"/>
  <c r="K148" i="10"/>
  <c r="K386" i="10"/>
  <c r="J148" i="10"/>
  <c r="I148" i="10"/>
  <c r="I386" i="10"/>
  <c r="I503" i="10"/>
  <c r="H148" i="10"/>
  <c r="G148" i="10"/>
  <c r="G386" i="10"/>
  <c r="G503" i="10"/>
  <c r="F148" i="10"/>
  <c r="O147" i="10"/>
  <c r="O334" i="10"/>
  <c r="O451" i="10"/>
  <c r="N147" i="10"/>
  <c r="M147" i="10"/>
  <c r="M334" i="10"/>
  <c r="M451" i="10"/>
  <c r="L147" i="10"/>
  <c r="L334" i="10"/>
  <c r="L451" i="10"/>
  <c r="K147" i="10"/>
  <c r="J147" i="10"/>
  <c r="I147" i="10"/>
  <c r="I334" i="10"/>
  <c r="I451" i="10"/>
  <c r="H147" i="10"/>
  <c r="H334" i="10"/>
  <c r="H451" i="10"/>
  <c r="G147" i="10"/>
  <c r="G334" i="10"/>
  <c r="G451" i="10"/>
  <c r="O169" i="10"/>
  <c r="M169" i="10"/>
  <c r="L169" i="10"/>
  <c r="K169" i="10"/>
  <c r="J169" i="10"/>
  <c r="I169" i="10"/>
  <c r="H169" i="10"/>
  <c r="G169" i="10"/>
  <c r="O143" i="10"/>
  <c r="N143" i="10"/>
  <c r="M143" i="10"/>
  <c r="L143" i="10"/>
  <c r="K143" i="10"/>
  <c r="J143" i="10"/>
  <c r="I143" i="10"/>
  <c r="H143" i="10"/>
  <c r="G143" i="10"/>
  <c r="F143" i="10"/>
  <c r="O139" i="10"/>
  <c r="N139" i="10"/>
  <c r="M139" i="10"/>
  <c r="L139" i="10"/>
  <c r="K139" i="10"/>
  <c r="J139" i="10"/>
  <c r="I139" i="10"/>
  <c r="H139" i="10"/>
  <c r="G139" i="10"/>
  <c r="G140" i="10"/>
  <c r="F139" i="10"/>
  <c r="O137" i="10"/>
  <c r="N137" i="10"/>
  <c r="M137" i="10"/>
  <c r="L137" i="10"/>
  <c r="K137" i="10"/>
  <c r="J137" i="10"/>
  <c r="I137" i="10"/>
  <c r="H137" i="10"/>
  <c r="G137" i="10"/>
  <c r="G138" i="10"/>
  <c r="F137" i="10"/>
  <c r="O133" i="10"/>
  <c r="N133" i="10"/>
  <c r="M133" i="10"/>
  <c r="L133" i="10"/>
  <c r="K133" i="10"/>
  <c r="J133" i="10"/>
  <c r="I133" i="10"/>
  <c r="H133" i="10"/>
  <c r="G133" i="10"/>
  <c r="G134" i="10"/>
  <c r="F133" i="10"/>
  <c r="O128" i="10"/>
  <c r="N128" i="10"/>
  <c r="M128" i="10"/>
  <c r="L128" i="10"/>
  <c r="K128" i="10"/>
  <c r="J128" i="10"/>
  <c r="I128" i="10"/>
  <c r="H128" i="10"/>
  <c r="G128" i="10"/>
  <c r="F128" i="10"/>
  <c r="O127" i="10"/>
  <c r="N127" i="10"/>
  <c r="M127" i="10"/>
  <c r="L127" i="10"/>
  <c r="K127" i="10"/>
  <c r="J127" i="10"/>
  <c r="I127" i="10"/>
  <c r="H127" i="10"/>
  <c r="G127" i="10"/>
  <c r="F127" i="10"/>
  <c r="F126" i="10"/>
  <c r="O124" i="10"/>
  <c r="N124" i="10"/>
  <c r="M124" i="10"/>
  <c r="L124" i="10"/>
  <c r="K124" i="10"/>
  <c r="J124" i="10"/>
  <c r="I124" i="10"/>
  <c r="H124" i="10"/>
  <c r="G124" i="10"/>
  <c r="G125" i="10"/>
  <c r="F124" i="10"/>
  <c r="O122" i="10"/>
  <c r="N122" i="10"/>
  <c r="M122" i="10"/>
  <c r="L122" i="10"/>
  <c r="K122" i="10"/>
  <c r="J122" i="10"/>
  <c r="I122" i="10"/>
  <c r="H122" i="10"/>
  <c r="G122" i="10"/>
  <c r="G123" i="10"/>
  <c r="F122" i="10"/>
  <c r="F102" i="10"/>
  <c r="I91" i="10"/>
  <c r="F91" i="10"/>
  <c r="F92" i="10"/>
  <c r="F71" i="10"/>
  <c r="I90" i="10"/>
  <c r="F87" i="10"/>
  <c r="I87" i="10"/>
  <c r="I77" i="10"/>
  <c r="I76" i="10"/>
  <c r="I72" i="10"/>
  <c r="I57" i="10"/>
  <c r="I53" i="10"/>
  <c r="I52" i="10"/>
  <c r="I51" i="10"/>
  <c r="I50" i="10"/>
  <c r="I49" i="10"/>
  <c r="I48" i="10"/>
  <c r="I45" i="10"/>
  <c r="I44" i="10"/>
  <c r="I42" i="10"/>
  <c r="I41" i="10"/>
  <c r="I40" i="10"/>
  <c r="I37" i="10"/>
  <c r="F36" i="10"/>
  <c r="O135" i="10"/>
  <c r="I27" i="10"/>
  <c r="O161" i="10"/>
  <c r="I26" i="10"/>
  <c r="I25" i="10"/>
  <c r="S465" i="9"/>
  <c r="R465" i="9"/>
  <c r="Q465" i="9"/>
  <c r="P465" i="9"/>
  <c r="O465" i="9"/>
  <c r="N465" i="9"/>
  <c r="M465" i="9"/>
  <c r="L465" i="9"/>
  <c r="K465" i="9"/>
  <c r="J465" i="9"/>
  <c r="I465" i="9"/>
  <c r="H465" i="9"/>
  <c r="G465" i="9"/>
  <c r="F465" i="9"/>
  <c r="S464" i="9"/>
  <c r="R464" i="9"/>
  <c r="Q464" i="9"/>
  <c r="P464" i="9"/>
  <c r="O464" i="9"/>
  <c r="N464" i="9"/>
  <c r="M464" i="9"/>
  <c r="L464" i="9"/>
  <c r="K464" i="9"/>
  <c r="J464" i="9"/>
  <c r="I464" i="9"/>
  <c r="H464" i="9"/>
  <c r="G464" i="9"/>
  <c r="F464" i="9"/>
  <c r="O304" i="9"/>
  <c r="O305" i="9"/>
  <c r="N304" i="9"/>
  <c r="N305" i="9"/>
  <c r="M304" i="9"/>
  <c r="M305" i="9"/>
  <c r="L304" i="9"/>
  <c r="L419" i="9"/>
  <c r="L420" i="9"/>
  <c r="K304" i="9"/>
  <c r="K419" i="9"/>
  <c r="K420" i="9"/>
  <c r="J304" i="9"/>
  <c r="J305" i="9"/>
  <c r="I304" i="9"/>
  <c r="I419" i="9"/>
  <c r="I420" i="9"/>
  <c r="H304" i="9"/>
  <c r="H419" i="9"/>
  <c r="H420" i="9"/>
  <c r="G304" i="9"/>
  <c r="G305" i="9"/>
  <c r="F304" i="9"/>
  <c r="F419" i="9"/>
  <c r="F420" i="9"/>
  <c r="O297" i="9"/>
  <c r="O412" i="9"/>
  <c r="N297" i="9"/>
  <c r="N412" i="9"/>
  <c r="M297" i="9"/>
  <c r="M412" i="9"/>
  <c r="L297" i="9"/>
  <c r="L412" i="9"/>
  <c r="K297" i="9"/>
  <c r="K412" i="9"/>
  <c r="J297" i="9"/>
  <c r="J412" i="9"/>
  <c r="I297" i="9"/>
  <c r="I412" i="9"/>
  <c r="H297" i="9"/>
  <c r="H412" i="9"/>
  <c r="G297" i="9"/>
  <c r="G412" i="9"/>
  <c r="F297" i="9"/>
  <c r="F412" i="9"/>
  <c r="O296" i="9"/>
  <c r="N296" i="9"/>
  <c r="M296" i="9"/>
  <c r="L296" i="9"/>
  <c r="K296" i="9"/>
  <c r="J296" i="9"/>
  <c r="I296" i="9"/>
  <c r="H296" i="9"/>
  <c r="G296" i="9"/>
  <c r="F296" i="9"/>
  <c r="O253" i="9"/>
  <c r="O368" i="9"/>
  <c r="O369" i="9"/>
  <c r="N253" i="9"/>
  <c r="N254" i="9"/>
  <c r="M253" i="9"/>
  <c r="M254" i="9"/>
  <c r="L253" i="9"/>
  <c r="L368" i="9"/>
  <c r="L369" i="9"/>
  <c r="K253" i="9"/>
  <c r="K254" i="9"/>
  <c r="J253" i="9"/>
  <c r="J254" i="9"/>
  <c r="I253" i="9"/>
  <c r="I368" i="9"/>
  <c r="I369" i="9"/>
  <c r="H253" i="9"/>
  <c r="H368" i="9"/>
  <c r="H369" i="9"/>
  <c r="G253" i="9"/>
  <c r="G368" i="9"/>
  <c r="G369" i="9"/>
  <c r="F253" i="9"/>
  <c r="F254" i="9"/>
  <c r="O246" i="9"/>
  <c r="O361" i="9"/>
  <c r="N246" i="9"/>
  <c r="N361" i="9"/>
  <c r="M246" i="9"/>
  <c r="M361" i="9"/>
  <c r="L246" i="9"/>
  <c r="L361" i="9"/>
  <c r="K246" i="9"/>
  <c r="K361" i="9"/>
  <c r="J246" i="9"/>
  <c r="J361" i="9"/>
  <c r="I246" i="9"/>
  <c r="I361" i="9"/>
  <c r="H246" i="9"/>
  <c r="H361" i="9"/>
  <c r="G246" i="9"/>
  <c r="G361" i="9"/>
  <c r="F246" i="9"/>
  <c r="F361" i="9"/>
  <c r="O245" i="9"/>
  <c r="O360" i="9"/>
  <c r="N245" i="9"/>
  <c r="N360" i="9"/>
  <c r="M245" i="9"/>
  <c r="L245" i="9"/>
  <c r="L360" i="9"/>
  <c r="K245" i="9"/>
  <c r="K360" i="9"/>
  <c r="J245" i="9"/>
  <c r="J360" i="9"/>
  <c r="I245" i="9"/>
  <c r="I360" i="9"/>
  <c r="H245" i="9"/>
  <c r="H360" i="9"/>
  <c r="G245" i="9"/>
  <c r="G360" i="9"/>
  <c r="F245" i="9"/>
  <c r="F360" i="9"/>
  <c r="O148" i="9"/>
  <c r="N148" i="9"/>
  <c r="M148" i="9"/>
  <c r="L148" i="9"/>
  <c r="K148" i="9"/>
  <c r="J148" i="9"/>
  <c r="I148" i="9"/>
  <c r="H148" i="9"/>
  <c r="G148" i="9"/>
  <c r="F148" i="9"/>
  <c r="F162" i="9"/>
  <c r="F141" i="9"/>
  <c r="O140" i="9"/>
  <c r="N140" i="9"/>
  <c r="M140" i="9"/>
  <c r="L140" i="9"/>
  <c r="K140" i="9"/>
  <c r="J140" i="9"/>
  <c r="I140" i="9"/>
  <c r="H140" i="9"/>
  <c r="G140" i="9"/>
  <c r="O136" i="9"/>
  <c r="N136" i="9"/>
  <c r="M136" i="9"/>
  <c r="L136" i="9"/>
  <c r="K136" i="9"/>
  <c r="J136" i="9"/>
  <c r="I136" i="9"/>
  <c r="H136" i="9"/>
  <c r="G136" i="9"/>
  <c r="G137" i="9"/>
  <c r="F136" i="9"/>
  <c r="O134" i="9"/>
  <c r="N134" i="9"/>
  <c r="M134" i="9"/>
  <c r="L134" i="9"/>
  <c r="K134" i="9"/>
  <c r="J134" i="9"/>
  <c r="I134" i="9"/>
  <c r="H134" i="9"/>
  <c r="G134" i="9"/>
  <c r="G135" i="9"/>
  <c r="F134" i="9"/>
  <c r="O132" i="9"/>
  <c r="N132" i="9"/>
  <c r="M132" i="9"/>
  <c r="L132" i="9"/>
  <c r="K132" i="9"/>
  <c r="J132" i="9"/>
  <c r="I132" i="9"/>
  <c r="H132" i="9"/>
  <c r="G132" i="9"/>
  <c r="G133" i="9"/>
  <c r="F132" i="9"/>
  <c r="O130" i="9"/>
  <c r="N130" i="9"/>
  <c r="M130" i="9"/>
  <c r="L130" i="9"/>
  <c r="K130" i="9"/>
  <c r="J130" i="9"/>
  <c r="I130" i="9"/>
  <c r="H130" i="9"/>
  <c r="G130" i="9"/>
  <c r="G131" i="9"/>
  <c r="G146" i="9"/>
  <c r="F130" i="9"/>
  <c r="O125" i="9"/>
  <c r="N125" i="9"/>
  <c r="M125" i="9"/>
  <c r="L125" i="9"/>
  <c r="K125" i="9"/>
  <c r="J125" i="9"/>
  <c r="I125" i="9"/>
  <c r="H125" i="9"/>
  <c r="G125" i="9"/>
  <c r="F125" i="9"/>
  <c r="O124" i="9"/>
  <c r="N124" i="9"/>
  <c r="M124" i="9"/>
  <c r="L124" i="9"/>
  <c r="K124" i="9"/>
  <c r="J124" i="9"/>
  <c r="I124" i="9"/>
  <c r="H124" i="9"/>
  <c r="G124" i="9"/>
  <c r="F124" i="9"/>
  <c r="F123" i="9"/>
  <c r="O121" i="9"/>
  <c r="N121" i="9"/>
  <c r="M121" i="9"/>
  <c r="L121" i="9"/>
  <c r="K121" i="9"/>
  <c r="J121" i="9"/>
  <c r="I121" i="9"/>
  <c r="H121" i="9"/>
  <c r="G121" i="9"/>
  <c r="G122" i="9"/>
  <c r="F121" i="9"/>
  <c r="O119" i="9"/>
  <c r="N119" i="9"/>
  <c r="M119" i="9"/>
  <c r="L119" i="9"/>
  <c r="K119" i="9"/>
  <c r="J119" i="9"/>
  <c r="I119" i="9"/>
  <c r="H119" i="9"/>
  <c r="G119" i="9"/>
  <c r="G120" i="9"/>
  <c r="F119" i="9"/>
  <c r="F99" i="9"/>
  <c r="I89" i="9"/>
  <c r="I88" i="9"/>
  <c r="F85" i="9"/>
  <c r="I85" i="9"/>
  <c r="F84" i="9"/>
  <c r="I84" i="9"/>
  <c r="I75" i="9"/>
  <c r="I74" i="9"/>
  <c r="I57" i="9"/>
  <c r="I53" i="9"/>
  <c r="I52" i="9"/>
  <c r="I51" i="9"/>
  <c r="I50" i="9"/>
  <c r="I49" i="9"/>
  <c r="I48" i="9"/>
  <c r="I45" i="9"/>
  <c r="I44" i="9"/>
  <c r="I43" i="9"/>
  <c r="I42" i="9"/>
  <c r="I41" i="9"/>
  <c r="I28" i="9"/>
  <c r="I27" i="9"/>
  <c r="F142" i="9"/>
  <c r="I25" i="9"/>
  <c r="J141" i="9"/>
  <c r="S526" i="6"/>
  <c r="R526" i="6"/>
  <c r="Q526" i="6"/>
  <c r="P526" i="6"/>
  <c r="O526" i="6"/>
  <c r="N526" i="6"/>
  <c r="M526" i="6"/>
  <c r="L526" i="6"/>
  <c r="K526" i="6"/>
  <c r="S514" i="6"/>
  <c r="R514" i="6"/>
  <c r="Q514" i="6"/>
  <c r="P514" i="6"/>
  <c r="O514" i="6"/>
  <c r="N514" i="6"/>
  <c r="M514" i="6"/>
  <c r="L514" i="6"/>
  <c r="K514" i="6"/>
  <c r="J514" i="6"/>
  <c r="I514" i="6"/>
  <c r="H514" i="6"/>
  <c r="G514" i="6"/>
  <c r="F514" i="6"/>
  <c r="S513" i="6"/>
  <c r="R513" i="6"/>
  <c r="Q513" i="6"/>
  <c r="P513" i="6"/>
  <c r="O513" i="6"/>
  <c r="N513" i="6"/>
  <c r="M513" i="6"/>
  <c r="L513" i="6"/>
  <c r="K513" i="6"/>
  <c r="J513" i="6"/>
  <c r="I513" i="6"/>
  <c r="H513" i="6"/>
  <c r="G513" i="6"/>
  <c r="F513" i="6"/>
  <c r="O353" i="6"/>
  <c r="O468" i="6"/>
  <c r="O469" i="6"/>
  <c r="N353" i="6"/>
  <c r="N468" i="6"/>
  <c r="N469" i="6"/>
  <c r="M353" i="6"/>
  <c r="M354" i="6"/>
  <c r="L353" i="6"/>
  <c r="L468" i="6"/>
  <c r="L469" i="6"/>
  <c r="K353" i="6"/>
  <c r="K354" i="6"/>
  <c r="J353" i="6"/>
  <c r="J354" i="6"/>
  <c r="I353" i="6"/>
  <c r="I354" i="6"/>
  <c r="H353" i="6"/>
  <c r="H354" i="6"/>
  <c r="G353" i="6"/>
  <c r="G468" i="6"/>
  <c r="G469" i="6"/>
  <c r="F353" i="6"/>
  <c r="F468" i="6"/>
  <c r="F469" i="6"/>
  <c r="O346" i="6"/>
  <c r="O461" i="6"/>
  <c r="N346" i="6"/>
  <c r="N461" i="6"/>
  <c r="M346" i="6"/>
  <c r="M461" i="6"/>
  <c r="L346" i="6"/>
  <c r="L461" i="6"/>
  <c r="K346" i="6"/>
  <c r="K461" i="6"/>
  <c r="J346" i="6"/>
  <c r="J461" i="6"/>
  <c r="I346" i="6"/>
  <c r="I461" i="6"/>
  <c r="H346" i="6"/>
  <c r="H461" i="6"/>
  <c r="G346" i="6"/>
  <c r="G461" i="6"/>
  <c r="F346" i="6"/>
  <c r="F461" i="6"/>
  <c r="O345" i="6"/>
  <c r="O347" i="6"/>
  <c r="N345" i="6"/>
  <c r="M345" i="6"/>
  <c r="L345" i="6"/>
  <c r="K345" i="6"/>
  <c r="K347" i="6"/>
  <c r="J345" i="6"/>
  <c r="I345" i="6"/>
  <c r="H345" i="6"/>
  <c r="G345" i="6"/>
  <c r="F345" i="6"/>
  <c r="O302" i="6"/>
  <c r="O417" i="6"/>
  <c r="O418" i="6"/>
  <c r="N302" i="6"/>
  <c r="N417" i="6"/>
  <c r="N418" i="6"/>
  <c r="M302" i="6"/>
  <c r="M303" i="6"/>
  <c r="L302" i="6"/>
  <c r="L417" i="6"/>
  <c r="L418" i="6"/>
  <c r="K302" i="6"/>
  <c r="K303" i="6"/>
  <c r="J302" i="6"/>
  <c r="J303" i="6"/>
  <c r="I302" i="6"/>
  <c r="I303" i="6"/>
  <c r="H302" i="6"/>
  <c r="H303" i="6"/>
  <c r="G302" i="6"/>
  <c r="G303" i="6"/>
  <c r="F302" i="6"/>
  <c r="O295" i="6"/>
  <c r="O410" i="6"/>
  <c r="N295" i="6"/>
  <c r="N410" i="6"/>
  <c r="M295" i="6"/>
  <c r="M410" i="6"/>
  <c r="L295" i="6"/>
  <c r="L410" i="6"/>
  <c r="K295" i="6"/>
  <c r="K410" i="6"/>
  <c r="J295" i="6"/>
  <c r="J410" i="6"/>
  <c r="I295" i="6"/>
  <c r="I410" i="6"/>
  <c r="H295" i="6"/>
  <c r="H410" i="6"/>
  <c r="G295" i="6"/>
  <c r="G410" i="6"/>
  <c r="F295" i="6"/>
  <c r="F410" i="6"/>
  <c r="O294" i="6"/>
  <c r="N294" i="6"/>
  <c r="N409" i="6"/>
  <c r="M294" i="6"/>
  <c r="M409" i="6"/>
  <c r="L294" i="6"/>
  <c r="K294" i="6"/>
  <c r="K409" i="6"/>
  <c r="J294" i="6"/>
  <c r="I294" i="6"/>
  <c r="I409" i="6"/>
  <c r="H294" i="6"/>
  <c r="H409" i="6"/>
  <c r="G294" i="6"/>
  <c r="G409" i="6"/>
  <c r="F294" i="6"/>
  <c r="F409" i="6"/>
  <c r="F275" i="6"/>
  <c r="F274" i="6"/>
  <c r="O148" i="6"/>
  <c r="N148" i="6"/>
  <c r="M148" i="6"/>
  <c r="L148" i="6"/>
  <c r="K148" i="6"/>
  <c r="J148" i="6"/>
  <c r="I148" i="6"/>
  <c r="H148" i="6"/>
  <c r="G148" i="6"/>
  <c r="F148" i="6"/>
  <c r="O141" i="6"/>
  <c r="N141" i="6"/>
  <c r="M141" i="6"/>
  <c r="L141" i="6"/>
  <c r="K141" i="6"/>
  <c r="J141" i="6"/>
  <c r="I141" i="6"/>
  <c r="H141" i="6"/>
  <c r="G141" i="6"/>
  <c r="G156" i="6"/>
  <c r="F141" i="6"/>
  <c r="O140" i="6"/>
  <c r="N140" i="6"/>
  <c r="M140" i="6"/>
  <c r="L140" i="6"/>
  <c r="K140" i="6"/>
  <c r="J140" i="6"/>
  <c r="I140" i="6"/>
  <c r="H140" i="6"/>
  <c r="G140" i="6"/>
  <c r="F140" i="6"/>
  <c r="O136" i="6"/>
  <c r="N136" i="6"/>
  <c r="M136" i="6"/>
  <c r="L136" i="6"/>
  <c r="K136" i="6"/>
  <c r="J136" i="6"/>
  <c r="I136" i="6"/>
  <c r="H136" i="6"/>
  <c r="G136" i="6"/>
  <c r="G137" i="6"/>
  <c r="F136" i="6"/>
  <c r="O134" i="6"/>
  <c r="N134" i="6"/>
  <c r="M134" i="6"/>
  <c r="L134" i="6"/>
  <c r="K134" i="6"/>
  <c r="J134" i="6"/>
  <c r="I134" i="6"/>
  <c r="H134" i="6"/>
  <c r="G134" i="6"/>
  <c r="G135" i="6"/>
  <c r="F134" i="6"/>
  <c r="O132" i="6"/>
  <c r="N132" i="6"/>
  <c r="M132" i="6"/>
  <c r="L132" i="6"/>
  <c r="K132" i="6"/>
  <c r="J132" i="6"/>
  <c r="I132" i="6"/>
  <c r="H132" i="6"/>
  <c r="G132" i="6"/>
  <c r="G133" i="6"/>
  <c r="F132" i="6"/>
  <c r="O130" i="6"/>
  <c r="N130" i="6"/>
  <c r="M130" i="6"/>
  <c r="L130" i="6"/>
  <c r="K130" i="6"/>
  <c r="J130" i="6"/>
  <c r="I130" i="6"/>
  <c r="H130" i="6"/>
  <c r="G130" i="6"/>
  <c r="G131" i="6"/>
  <c r="F130" i="6"/>
  <c r="O125" i="6"/>
  <c r="N125" i="6"/>
  <c r="M125" i="6"/>
  <c r="L125" i="6"/>
  <c r="K125" i="6"/>
  <c r="J125" i="6"/>
  <c r="I125" i="6"/>
  <c r="H125" i="6"/>
  <c r="G125" i="6"/>
  <c r="F125" i="6"/>
  <c r="O124" i="6"/>
  <c r="N124" i="6"/>
  <c r="M124" i="6"/>
  <c r="L124" i="6"/>
  <c r="K124" i="6"/>
  <c r="J124" i="6"/>
  <c r="I124" i="6"/>
  <c r="H124" i="6"/>
  <c r="G124" i="6"/>
  <c r="F124" i="6"/>
  <c r="F123" i="6"/>
  <c r="O121" i="6"/>
  <c r="N121" i="6"/>
  <c r="M121" i="6"/>
  <c r="L121" i="6"/>
  <c r="K121" i="6"/>
  <c r="J121" i="6"/>
  <c r="I121" i="6"/>
  <c r="H121" i="6"/>
  <c r="G121" i="6"/>
  <c r="G122" i="6"/>
  <c r="F121" i="6"/>
  <c r="O119" i="6"/>
  <c r="N119" i="6"/>
  <c r="M119" i="6"/>
  <c r="L119" i="6"/>
  <c r="K119" i="6"/>
  <c r="J119" i="6"/>
  <c r="I119" i="6"/>
  <c r="H119" i="6"/>
  <c r="G119" i="6"/>
  <c r="G120" i="6"/>
  <c r="F119" i="6"/>
  <c r="F99" i="6"/>
  <c r="I89" i="6"/>
  <c r="F89" i="6"/>
  <c r="F85" i="6"/>
  <c r="I85" i="6"/>
  <c r="F84" i="6"/>
  <c r="I84" i="6"/>
  <c r="I75" i="6"/>
  <c r="I74" i="6"/>
  <c r="I71" i="6"/>
  <c r="I57" i="6"/>
  <c r="I53" i="6"/>
  <c r="I52" i="6"/>
  <c r="I51" i="6"/>
  <c r="I50" i="6"/>
  <c r="I49" i="6"/>
  <c r="I48" i="6"/>
  <c r="I45" i="6"/>
  <c r="I42" i="6"/>
  <c r="I41" i="6"/>
  <c r="I37" i="6"/>
  <c r="I28" i="6"/>
  <c r="M155" i="6"/>
  <c r="I27" i="6"/>
  <c r="F142" i="6"/>
  <c r="S439" i="3"/>
  <c r="R439" i="3"/>
  <c r="Q439" i="3"/>
  <c r="P439" i="3"/>
  <c r="O439" i="3"/>
  <c r="N439" i="3"/>
  <c r="M439" i="3"/>
  <c r="L439" i="3"/>
  <c r="K439" i="3"/>
  <c r="J439" i="3"/>
  <c r="I439" i="3"/>
  <c r="H439" i="3"/>
  <c r="G439" i="3"/>
  <c r="F439" i="3"/>
  <c r="S438" i="3"/>
  <c r="R438" i="3"/>
  <c r="Q438" i="3"/>
  <c r="P438" i="3"/>
  <c r="O438" i="3"/>
  <c r="N438" i="3"/>
  <c r="M438" i="3"/>
  <c r="L438" i="3"/>
  <c r="K438" i="3"/>
  <c r="J438" i="3"/>
  <c r="I438" i="3"/>
  <c r="H438" i="3"/>
  <c r="G438" i="3"/>
  <c r="F438" i="3"/>
  <c r="O395" i="3"/>
  <c r="O396" i="3"/>
  <c r="N395" i="3"/>
  <c r="N396" i="3"/>
  <c r="M395" i="3"/>
  <c r="M396" i="3"/>
  <c r="L395" i="3"/>
  <c r="L396" i="3"/>
  <c r="K395" i="3"/>
  <c r="K396" i="3"/>
  <c r="J395" i="3"/>
  <c r="J396" i="3"/>
  <c r="I395" i="3"/>
  <c r="I396" i="3"/>
  <c r="H395" i="3"/>
  <c r="H396" i="3"/>
  <c r="G395" i="3"/>
  <c r="G396" i="3"/>
  <c r="F395" i="3"/>
  <c r="F396" i="3"/>
  <c r="O287" i="3"/>
  <c r="O288" i="3"/>
  <c r="N287" i="3"/>
  <c r="N288" i="3"/>
  <c r="M287" i="3"/>
  <c r="M288" i="3"/>
  <c r="L287" i="3"/>
  <c r="L288" i="3"/>
  <c r="K287" i="3"/>
  <c r="K288" i="3"/>
  <c r="J287" i="3"/>
  <c r="J288" i="3"/>
  <c r="I287" i="3"/>
  <c r="I288" i="3"/>
  <c r="H287" i="3"/>
  <c r="H288" i="3"/>
  <c r="G287" i="3"/>
  <c r="G288" i="3"/>
  <c r="F287" i="3"/>
  <c r="F288" i="3"/>
  <c r="O280" i="3"/>
  <c r="O388" i="3"/>
  <c r="O389" i="3"/>
  <c r="N280" i="3"/>
  <c r="N281" i="3"/>
  <c r="M280" i="3"/>
  <c r="M388" i="3"/>
  <c r="M389" i="3"/>
  <c r="L280" i="3"/>
  <c r="L281" i="3"/>
  <c r="K280" i="3"/>
  <c r="K281" i="3"/>
  <c r="J280" i="3"/>
  <c r="J388" i="3"/>
  <c r="J389" i="3"/>
  <c r="I280" i="3"/>
  <c r="I388" i="3"/>
  <c r="I389" i="3"/>
  <c r="H280" i="3"/>
  <c r="H281" i="3"/>
  <c r="G280" i="3"/>
  <c r="G388" i="3"/>
  <c r="G389" i="3"/>
  <c r="F280" i="3"/>
  <c r="F388" i="3"/>
  <c r="F389" i="3"/>
  <c r="F162" i="3"/>
  <c r="O144" i="3"/>
  <c r="N144" i="3"/>
  <c r="M144" i="3"/>
  <c r="L144" i="3"/>
  <c r="K144" i="3"/>
  <c r="J144" i="3"/>
  <c r="I144" i="3"/>
  <c r="H144" i="3"/>
  <c r="G144" i="3"/>
  <c r="F144" i="3"/>
  <c r="F156" i="3"/>
  <c r="F142" i="3"/>
  <c r="F143" i="3"/>
  <c r="F155" i="3"/>
  <c r="O123" i="3"/>
  <c r="N123" i="3"/>
  <c r="M123" i="3"/>
  <c r="L123" i="3"/>
  <c r="K123" i="3"/>
  <c r="J123" i="3"/>
  <c r="I123" i="3"/>
  <c r="H123" i="3"/>
  <c r="G123" i="3"/>
  <c r="G124" i="3"/>
  <c r="F123" i="3"/>
  <c r="O121" i="3"/>
  <c r="N121" i="3"/>
  <c r="M121" i="3"/>
  <c r="L121" i="3"/>
  <c r="K121" i="3"/>
  <c r="J121" i="3"/>
  <c r="I121" i="3"/>
  <c r="H121" i="3"/>
  <c r="G121" i="3"/>
  <c r="G122" i="3"/>
  <c r="F121" i="3"/>
  <c r="O114" i="3"/>
  <c r="N114" i="3"/>
  <c r="M114" i="3"/>
  <c r="L114" i="3"/>
  <c r="K114" i="3"/>
  <c r="J114" i="3"/>
  <c r="I114" i="3"/>
  <c r="H114" i="3"/>
  <c r="G114" i="3"/>
  <c r="F114" i="3"/>
  <c r="O113" i="3"/>
  <c r="N113" i="3"/>
  <c r="M113" i="3"/>
  <c r="L113" i="3"/>
  <c r="K113" i="3"/>
  <c r="J113" i="3"/>
  <c r="I113" i="3"/>
  <c r="H113" i="3"/>
  <c r="G113" i="3"/>
  <c r="F113" i="3"/>
  <c r="F112" i="3"/>
  <c r="O110" i="3"/>
  <c r="N110" i="3"/>
  <c r="M110" i="3"/>
  <c r="L110" i="3"/>
  <c r="K110" i="3"/>
  <c r="J110" i="3"/>
  <c r="I110" i="3"/>
  <c r="H110" i="3"/>
  <c r="G110" i="3"/>
  <c r="G111" i="3"/>
  <c r="F110" i="3"/>
  <c r="O108" i="3"/>
  <c r="N108" i="3"/>
  <c r="M108" i="3"/>
  <c r="L108" i="3"/>
  <c r="K108" i="3"/>
  <c r="J108" i="3"/>
  <c r="I108" i="3"/>
  <c r="H108" i="3"/>
  <c r="G108" i="3"/>
  <c r="G109" i="3"/>
  <c r="F108" i="3"/>
  <c r="J81" i="3"/>
  <c r="F81" i="3"/>
  <c r="C54" i="3"/>
  <c r="C53" i="3"/>
  <c r="C52" i="3"/>
  <c r="C51" i="3"/>
  <c r="C50" i="3"/>
  <c r="F161" i="3"/>
  <c r="G155" i="9"/>
  <c r="I254" i="9"/>
  <c r="L305" i="9"/>
  <c r="K334" i="10"/>
  <c r="K451" i="10"/>
  <c r="F198" i="10"/>
  <c r="F259" i="10"/>
  <c r="N169" i="10"/>
  <c r="H312" i="10"/>
  <c r="G428" i="10"/>
  <c r="G429" i="10"/>
  <c r="F502" i="8"/>
  <c r="F501" i="8"/>
  <c r="S502" i="8"/>
  <c r="R502" i="8"/>
  <c r="Q502" i="8"/>
  <c r="P502" i="8"/>
  <c r="O502" i="8"/>
  <c r="N502" i="8"/>
  <c r="M502" i="8"/>
  <c r="L502" i="8"/>
  <c r="K502" i="8"/>
  <c r="J502" i="8"/>
  <c r="I502" i="8"/>
  <c r="H502" i="8"/>
  <c r="G502" i="8"/>
  <c r="S501" i="8"/>
  <c r="S660" i="8"/>
  <c r="R501" i="8"/>
  <c r="Q501" i="8"/>
  <c r="S662" i="8"/>
  <c r="P501" i="8"/>
  <c r="O501" i="8"/>
  <c r="N501" i="8"/>
  <c r="M501" i="8"/>
  <c r="L501" i="8"/>
  <c r="K501" i="8"/>
  <c r="J501" i="8"/>
  <c r="I501" i="8"/>
  <c r="H501" i="8"/>
  <c r="G501" i="8"/>
  <c r="S475" i="7"/>
  <c r="R475" i="7"/>
  <c r="Q475" i="7"/>
  <c r="P475" i="7"/>
  <c r="O475" i="7"/>
  <c r="N475" i="7"/>
  <c r="M475" i="7"/>
  <c r="L475" i="7"/>
  <c r="K475" i="7"/>
  <c r="J475" i="7"/>
  <c r="I475" i="7"/>
  <c r="H475" i="7"/>
  <c r="G475" i="7"/>
  <c r="F475" i="7"/>
  <c r="S474" i="7"/>
  <c r="R474" i="7"/>
  <c r="Q474" i="7"/>
  <c r="P474" i="7"/>
  <c r="O474" i="7"/>
  <c r="N474" i="7"/>
  <c r="M474" i="7"/>
  <c r="L474" i="7"/>
  <c r="K474" i="7"/>
  <c r="J474" i="7"/>
  <c r="I474" i="7"/>
  <c r="H474" i="7"/>
  <c r="G474" i="7"/>
  <c r="F474" i="7"/>
  <c r="S464" i="5"/>
  <c r="R464" i="5"/>
  <c r="Q464" i="5"/>
  <c r="P464" i="5"/>
  <c r="O464" i="5"/>
  <c r="N464" i="5"/>
  <c r="M464" i="5"/>
  <c r="L464" i="5"/>
  <c r="K464" i="5"/>
  <c r="J464" i="5"/>
  <c r="I464" i="5"/>
  <c r="H464" i="5"/>
  <c r="G464" i="5"/>
  <c r="F464" i="5"/>
  <c r="S463" i="5"/>
  <c r="R463" i="5"/>
  <c r="Q463" i="5"/>
  <c r="P463" i="5"/>
  <c r="O463" i="5"/>
  <c r="N463" i="5"/>
  <c r="M463" i="5"/>
  <c r="L463" i="5"/>
  <c r="K463" i="5"/>
  <c r="J463" i="5"/>
  <c r="I463" i="5"/>
  <c r="H463" i="5"/>
  <c r="G463" i="5"/>
  <c r="F463" i="5"/>
  <c r="D249" i="11"/>
  <c r="D232" i="11"/>
  <c r="D215" i="11"/>
  <c r="D188" i="11"/>
  <c r="D171" i="11"/>
  <c r="C160" i="11"/>
  <c r="D153" i="11"/>
  <c r="D137" i="11"/>
  <c r="D121" i="11"/>
  <c r="D105" i="11"/>
  <c r="D90" i="11"/>
  <c r="C188" i="11"/>
  <c r="D89" i="11"/>
  <c r="D88" i="11"/>
  <c r="D87" i="11"/>
  <c r="C137" i="11"/>
  <c r="C153" i="11"/>
  <c r="D85" i="11"/>
  <c r="D36" i="11"/>
  <c r="D35" i="11"/>
  <c r="D28" i="11"/>
  <c r="C239" i="11"/>
  <c r="C240" i="11"/>
  <c r="D27" i="11"/>
  <c r="C222" i="11"/>
  <c r="C223" i="11"/>
  <c r="D26" i="11"/>
  <c r="D25" i="11"/>
  <c r="P477" i="4"/>
  <c r="Q477" i="4"/>
  <c r="R477" i="4"/>
  <c r="S477" i="4"/>
  <c r="P478" i="4"/>
  <c r="Q478" i="4"/>
  <c r="R478" i="4"/>
  <c r="S478" i="4"/>
  <c r="K477" i="4"/>
  <c r="L477" i="4"/>
  <c r="M477" i="4"/>
  <c r="N477" i="4"/>
  <c r="O477" i="4"/>
  <c r="O176" i="7"/>
  <c r="N176" i="7"/>
  <c r="M176" i="7"/>
  <c r="L176" i="7"/>
  <c r="K176" i="7"/>
  <c r="J176" i="7"/>
  <c r="I176" i="7"/>
  <c r="H176" i="7"/>
  <c r="G176" i="7"/>
  <c r="F176" i="7"/>
  <c r="F293" i="7"/>
  <c r="F397" i="7"/>
  <c r="O245" i="8"/>
  <c r="N245" i="8"/>
  <c r="M245" i="8"/>
  <c r="L245" i="8"/>
  <c r="K245" i="8"/>
  <c r="J245" i="8"/>
  <c r="O206" i="7"/>
  <c r="N206" i="7"/>
  <c r="M206" i="7"/>
  <c r="L206" i="7"/>
  <c r="K206" i="7"/>
  <c r="J206" i="7"/>
  <c r="O216" i="5"/>
  <c r="N216" i="5"/>
  <c r="M216" i="5"/>
  <c r="L216" i="5"/>
  <c r="K216" i="5"/>
  <c r="J216" i="5"/>
  <c r="G185" i="5"/>
  <c r="H185" i="5"/>
  <c r="I185" i="5"/>
  <c r="J185" i="5"/>
  <c r="K185" i="5"/>
  <c r="L185" i="5"/>
  <c r="M185" i="5"/>
  <c r="N185" i="5"/>
  <c r="O185" i="5"/>
  <c r="F185" i="5"/>
  <c r="F270" i="5"/>
  <c r="F381" i="5"/>
  <c r="O175" i="4"/>
  <c r="N175" i="4"/>
  <c r="M175" i="4"/>
  <c r="L175" i="4"/>
  <c r="K175" i="4"/>
  <c r="J175" i="4"/>
  <c r="I175" i="4"/>
  <c r="H175" i="4"/>
  <c r="G175" i="4"/>
  <c r="F175" i="4"/>
  <c r="F290" i="4"/>
  <c r="F397" i="4"/>
  <c r="O204" i="4"/>
  <c r="N204" i="4"/>
  <c r="M204" i="4"/>
  <c r="L204" i="4"/>
  <c r="K204" i="4"/>
  <c r="J204" i="4"/>
  <c r="O141" i="5"/>
  <c r="N141" i="5"/>
  <c r="M141" i="5"/>
  <c r="L141" i="5"/>
  <c r="K141" i="5"/>
  <c r="J141" i="5"/>
  <c r="I141" i="5"/>
  <c r="H141" i="5"/>
  <c r="G141" i="5"/>
  <c r="F141" i="5"/>
  <c r="G139" i="5"/>
  <c r="G140" i="5"/>
  <c r="H139" i="5"/>
  <c r="H140" i="5"/>
  <c r="I139" i="5"/>
  <c r="I140" i="5"/>
  <c r="J139" i="5"/>
  <c r="J140" i="5"/>
  <c r="K139" i="5"/>
  <c r="K140" i="5"/>
  <c r="L139" i="5"/>
  <c r="L140" i="5"/>
  <c r="M139" i="5"/>
  <c r="M140" i="5"/>
  <c r="N139" i="5"/>
  <c r="N140" i="5"/>
  <c r="O139" i="5"/>
  <c r="O140" i="5"/>
  <c r="F139" i="5"/>
  <c r="F140" i="5"/>
  <c r="F191" i="5"/>
  <c r="F276" i="5"/>
  <c r="F387" i="5"/>
  <c r="F190" i="5"/>
  <c r="F275" i="5"/>
  <c r="F386" i="5"/>
  <c r="F184" i="5"/>
  <c r="F269" i="5"/>
  <c r="F380" i="5"/>
  <c r="F183" i="5"/>
  <c r="F268" i="5"/>
  <c r="F379" i="5"/>
  <c r="F182" i="5"/>
  <c r="F267" i="5"/>
  <c r="F378" i="5"/>
  <c r="F181" i="5"/>
  <c r="F266" i="5"/>
  <c r="F377" i="5"/>
  <c r="F180" i="5"/>
  <c r="F265" i="5"/>
  <c r="F376" i="5"/>
  <c r="F179" i="5"/>
  <c r="F280" i="5"/>
  <c r="F391" i="5"/>
  <c r="F134" i="5"/>
  <c r="F135" i="5"/>
  <c r="I73" i="5"/>
  <c r="I53" i="8"/>
  <c r="F243" i="8"/>
  <c r="I52" i="8"/>
  <c r="F242" i="8"/>
  <c r="I51" i="8"/>
  <c r="F241" i="8"/>
  <c r="I50" i="8"/>
  <c r="F240" i="8"/>
  <c r="I49" i="8"/>
  <c r="F239" i="8"/>
  <c r="F54" i="8"/>
  <c r="I54" i="8"/>
  <c r="O248" i="5"/>
  <c r="O368" i="5"/>
  <c r="F123" i="4"/>
  <c r="I33" i="4"/>
  <c r="I64" i="5"/>
  <c r="I44" i="5"/>
  <c r="I43" i="5"/>
  <c r="I41" i="5"/>
  <c r="I40" i="5"/>
  <c r="I39" i="5"/>
  <c r="I69" i="5"/>
  <c r="I68" i="5"/>
  <c r="I67" i="5"/>
  <c r="I25" i="5"/>
  <c r="O315" i="5"/>
  <c r="O316" i="5"/>
  <c r="N315" i="5"/>
  <c r="N316" i="5"/>
  <c r="M315" i="5"/>
  <c r="M316" i="5"/>
  <c r="L315" i="5"/>
  <c r="L316" i="5"/>
  <c r="K315" i="5"/>
  <c r="K316" i="5"/>
  <c r="J315" i="5"/>
  <c r="J316" i="5"/>
  <c r="I315" i="5"/>
  <c r="I316" i="5"/>
  <c r="H315" i="5"/>
  <c r="H316" i="5"/>
  <c r="G315" i="5"/>
  <c r="G316" i="5"/>
  <c r="F315" i="5"/>
  <c r="F316" i="5"/>
  <c r="O308" i="5"/>
  <c r="N308" i="5"/>
  <c r="M308" i="5"/>
  <c r="L308" i="5"/>
  <c r="K308" i="5"/>
  <c r="J308" i="5"/>
  <c r="I308" i="5"/>
  <c r="H308" i="5"/>
  <c r="G308" i="5"/>
  <c r="F308" i="5"/>
  <c r="O307" i="5"/>
  <c r="O309" i="5"/>
  <c r="N307" i="5"/>
  <c r="M307" i="5"/>
  <c r="L307" i="5"/>
  <c r="K307" i="5"/>
  <c r="K309" i="5"/>
  <c r="J307" i="5"/>
  <c r="I307" i="5"/>
  <c r="H307" i="5"/>
  <c r="G307" i="5"/>
  <c r="G309" i="5"/>
  <c r="F307" i="5"/>
  <c r="O260" i="5"/>
  <c r="O261" i="5"/>
  <c r="N260" i="5"/>
  <c r="N261" i="5"/>
  <c r="M260" i="5"/>
  <c r="M261" i="5"/>
  <c r="L260" i="5"/>
  <c r="L261" i="5"/>
  <c r="K260" i="5"/>
  <c r="K261" i="5"/>
  <c r="J260" i="5"/>
  <c r="J261" i="5"/>
  <c r="I260" i="5"/>
  <c r="I261" i="5"/>
  <c r="H260" i="5"/>
  <c r="H261" i="5"/>
  <c r="G260" i="5"/>
  <c r="G261" i="5"/>
  <c r="F260" i="5"/>
  <c r="F261" i="5"/>
  <c r="O253" i="5"/>
  <c r="N253" i="5"/>
  <c r="M253" i="5"/>
  <c r="L253" i="5"/>
  <c r="K253" i="5"/>
  <c r="J253" i="5"/>
  <c r="I253" i="5"/>
  <c r="H253" i="5"/>
  <c r="G253" i="5"/>
  <c r="F253" i="5"/>
  <c r="O252" i="5"/>
  <c r="N252" i="5"/>
  <c r="M252" i="5"/>
  <c r="L252" i="5"/>
  <c r="K252" i="5"/>
  <c r="J252" i="5"/>
  <c r="I252" i="5"/>
  <c r="H252" i="5"/>
  <c r="G252" i="5"/>
  <c r="F252" i="5"/>
  <c r="O154" i="5"/>
  <c r="N154" i="5"/>
  <c r="M154" i="5"/>
  <c r="L154" i="5"/>
  <c r="K154" i="5"/>
  <c r="J154" i="5"/>
  <c r="I154" i="5"/>
  <c r="H154" i="5"/>
  <c r="G154" i="5"/>
  <c r="F154" i="5"/>
  <c r="O148" i="5"/>
  <c r="N148" i="5"/>
  <c r="M148" i="5"/>
  <c r="L148" i="5"/>
  <c r="K148" i="5"/>
  <c r="J148" i="5"/>
  <c r="I148" i="5"/>
  <c r="H148" i="5"/>
  <c r="G148" i="5"/>
  <c r="F148" i="5"/>
  <c r="O130" i="5"/>
  <c r="N130" i="5"/>
  <c r="M130" i="5"/>
  <c r="L130" i="5"/>
  <c r="K130" i="5"/>
  <c r="J130" i="5"/>
  <c r="I130" i="5"/>
  <c r="H130" i="5"/>
  <c r="G130" i="5"/>
  <c r="G131" i="5"/>
  <c r="F130" i="5"/>
  <c r="O128" i="5"/>
  <c r="N128" i="5"/>
  <c r="M128" i="5"/>
  <c r="L128" i="5"/>
  <c r="K128" i="5"/>
  <c r="J128" i="5"/>
  <c r="I128" i="5"/>
  <c r="H128" i="5"/>
  <c r="G128" i="5"/>
  <c r="G129" i="5"/>
  <c r="F128" i="5"/>
  <c r="O126" i="5"/>
  <c r="N126" i="5"/>
  <c r="M126" i="5"/>
  <c r="L126" i="5"/>
  <c r="K126" i="5"/>
  <c r="J126" i="5"/>
  <c r="I126" i="5"/>
  <c r="H126" i="5"/>
  <c r="G126" i="5"/>
  <c r="G127" i="5"/>
  <c r="F126" i="5"/>
  <c r="O121" i="5"/>
  <c r="N121" i="5"/>
  <c r="M121" i="5"/>
  <c r="L121" i="5"/>
  <c r="K121" i="5"/>
  <c r="J121" i="5"/>
  <c r="I121" i="5"/>
  <c r="H121" i="5"/>
  <c r="G121" i="5"/>
  <c r="F121" i="5"/>
  <c r="F119" i="5"/>
  <c r="F96" i="5"/>
  <c r="I83" i="5"/>
  <c r="I82" i="5"/>
  <c r="I87" i="5"/>
  <c r="I78" i="5"/>
  <c r="I75" i="5"/>
  <c r="I56" i="5"/>
  <c r="I52" i="5"/>
  <c r="F216" i="5"/>
  <c r="F325" i="5"/>
  <c r="F427" i="5"/>
  <c r="I51" i="5"/>
  <c r="I50" i="5"/>
  <c r="I49" i="5"/>
  <c r="I48" i="5"/>
  <c r="I47" i="5"/>
  <c r="I30" i="5"/>
  <c r="I26" i="5"/>
  <c r="J117" i="5"/>
  <c r="N115" i="5"/>
  <c r="N120" i="5"/>
  <c r="L120" i="5"/>
  <c r="J120" i="5"/>
  <c r="H120" i="5"/>
  <c r="F120" i="5"/>
  <c r="O120" i="5"/>
  <c r="M120" i="5"/>
  <c r="K120" i="5"/>
  <c r="I120" i="5"/>
  <c r="G120" i="5"/>
  <c r="N160" i="5"/>
  <c r="L160" i="5"/>
  <c r="J160" i="5"/>
  <c r="H160" i="5"/>
  <c r="F160" i="5"/>
  <c r="O160" i="5"/>
  <c r="M160" i="5"/>
  <c r="K160" i="5"/>
  <c r="I160" i="5"/>
  <c r="G160" i="5"/>
  <c r="G115" i="5"/>
  <c r="G116" i="5"/>
  <c r="I115" i="5"/>
  <c r="K115" i="5"/>
  <c r="M115" i="5"/>
  <c r="O115" i="5"/>
  <c r="F117" i="5"/>
  <c r="H117" i="5"/>
  <c r="O117" i="5"/>
  <c r="M117" i="5"/>
  <c r="N117" i="5"/>
  <c r="L117" i="5"/>
  <c r="F115" i="5"/>
  <c r="H115" i="5"/>
  <c r="J115" i="5"/>
  <c r="L115" i="5"/>
  <c r="G117" i="5"/>
  <c r="G118" i="5"/>
  <c r="I117" i="5"/>
  <c r="K117" i="5"/>
  <c r="I72" i="4"/>
  <c r="F94" i="7"/>
  <c r="I69" i="4"/>
  <c r="I61" i="4"/>
  <c r="F158" i="5"/>
  <c r="F385" i="5"/>
  <c r="F125" i="4"/>
  <c r="G125" i="4"/>
  <c r="H125" i="4"/>
  <c r="I125" i="4"/>
  <c r="J125" i="4"/>
  <c r="K125" i="4"/>
  <c r="L125" i="4"/>
  <c r="M125" i="4"/>
  <c r="N125" i="4"/>
  <c r="O125" i="4"/>
  <c r="F126" i="4"/>
  <c r="P138" i="4"/>
  <c r="P139" i="4"/>
  <c r="O139" i="4"/>
  <c r="N139" i="4"/>
  <c r="M139" i="4"/>
  <c r="M214" i="4"/>
  <c r="L139" i="4"/>
  <c r="K139" i="4"/>
  <c r="K214" i="4"/>
  <c r="J139" i="4"/>
  <c r="I139" i="4"/>
  <c r="H139" i="4"/>
  <c r="H214" i="4"/>
  <c r="G139" i="4"/>
  <c r="G214" i="4"/>
  <c r="F139" i="4"/>
  <c r="O138" i="4"/>
  <c r="N138" i="4"/>
  <c r="M138" i="4"/>
  <c r="L138" i="4"/>
  <c r="K138" i="4"/>
  <c r="K185" i="4"/>
  <c r="J138" i="4"/>
  <c r="J185" i="4"/>
  <c r="I138" i="4"/>
  <c r="H138" i="4"/>
  <c r="G138" i="4"/>
  <c r="F138" i="4"/>
  <c r="O151" i="4"/>
  <c r="J151" i="4"/>
  <c r="I92" i="8"/>
  <c r="I84" i="7"/>
  <c r="I85" i="7"/>
  <c r="I36" i="4"/>
  <c r="O478" i="4"/>
  <c r="N478" i="4"/>
  <c r="M478" i="4"/>
  <c r="L478" i="4"/>
  <c r="K478" i="4"/>
  <c r="J478" i="4"/>
  <c r="I478" i="4"/>
  <c r="H478" i="4"/>
  <c r="G478" i="4"/>
  <c r="F478" i="4"/>
  <c r="J477" i="4"/>
  <c r="I477" i="4"/>
  <c r="H477" i="4"/>
  <c r="G477" i="4"/>
  <c r="F477" i="4"/>
  <c r="O330" i="4"/>
  <c r="O331" i="4"/>
  <c r="N330" i="4"/>
  <c r="N331" i="4"/>
  <c r="M330" i="4"/>
  <c r="M331" i="4"/>
  <c r="L330" i="4"/>
  <c r="L331" i="4"/>
  <c r="K330" i="4"/>
  <c r="K331" i="4"/>
  <c r="J330" i="4"/>
  <c r="J331" i="4"/>
  <c r="I330" i="4"/>
  <c r="I331" i="4"/>
  <c r="H330" i="4"/>
  <c r="H331" i="4"/>
  <c r="G330" i="4"/>
  <c r="G331" i="4"/>
  <c r="F330" i="4"/>
  <c r="F331" i="4"/>
  <c r="O322" i="4"/>
  <c r="O429" i="4"/>
  <c r="N322" i="4"/>
  <c r="N429" i="4"/>
  <c r="M322" i="4"/>
  <c r="M429" i="4"/>
  <c r="L322" i="4"/>
  <c r="L429" i="4"/>
  <c r="K322" i="4"/>
  <c r="K429" i="4"/>
  <c r="J322" i="4"/>
  <c r="J429" i="4"/>
  <c r="I322" i="4"/>
  <c r="I429" i="4"/>
  <c r="H322" i="4"/>
  <c r="H429" i="4"/>
  <c r="G322" i="4"/>
  <c r="G429" i="4"/>
  <c r="F322" i="4"/>
  <c r="F429" i="4"/>
  <c r="O280" i="4"/>
  <c r="O281" i="4"/>
  <c r="N280" i="4"/>
  <c r="N281" i="4"/>
  <c r="M280" i="4"/>
  <c r="M281" i="4"/>
  <c r="L280" i="4"/>
  <c r="L281" i="4"/>
  <c r="K280" i="4"/>
  <c r="K281" i="4"/>
  <c r="J280" i="4"/>
  <c r="J281" i="4"/>
  <c r="I280" i="4"/>
  <c r="I281" i="4"/>
  <c r="H280" i="4"/>
  <c r="H281" i="4"/>
  <c r="G280" i="4"/>
  <c r="G281" i="4"/>
  <c r="F280" i="4"/>
  <c r="F281" i="4"/>
  <c r="O272" i="4"/>
  <c r="O383" i="4"/>
  <c r="N272" i="4"/>
  <c r="N383" i="4"/>
  <c r="M272" i="4"/>
  <c r="M383" i="4"/>
  <c r="L272" i="4"/>
  <c r="L383" i="4"/>
  <c r="K272" i="4"/>
  <c r="K383" i="4"/>
  <c r="J272" i="4"/>
  <c r="J383" i="4"/>
  <c r="I272" i="4"/>
  <c r="I383" i="4"/>
  <c r="H272" i="4"/>
  <c r="H383" i="4"/>
  <c r="G272" i="4"/>
  <c r="G383" i="4"/>
  <c r="F272" i="4"/>
  <c r="F383" i="4"/>
  <c r="F252" i="4"/>
  <c r="O133" i="4"/>
  <c r="N133" i="4"/>
  <c r="M133" i="4"/>
  <c r="L133" i="4"/>
  <c r="K133" i="4"/>
  <c r="J133" i="4"/>
  <c r="I133" i="4"/>
  <c r="H133" i="4"/>
  <c r="G133" i="4"/>
  <c r="F133" i="4"/>
  <c r="O129" i="4"/>
  <c r="N129" i="4"/>
  <c r="M129" i="4"/>
  <c r="L129" i="4"/>
  <c r="K129" i="4"/>
  <c r="J129" i="4"/>
  <c r="I129" i="4"/>
  <c r="H129" i="4"/>
  <c r="G129" i="4"/>
  <c r="G130" i="4"/>
  <c r="F129" i="4"/>
  <c r="O127" i="4"/>
  <c r="N127" i="4"/>
  <c r="M127" i="4"/>
  <c r="L127" i="4"/>
  <c r="K127" i="4"/>
  <c r="J127" i="4"/>
  <c r="I127" i="4"/>
  <c r="H127" i="4"/>
  <c r="G127" i="4"/>
  <c r="G128" i="4"/>
  <c r="F127" i="4"/>
  <c r="O123" i="4"/>
  <c r="N123" i="4"/>
  <c r="M123" i="4"/>
  <c r="L123" i="4"/>
  <c r="K123" i="4"/>
  <c r="J123" i="4"/>
  <c r="I123" i="4"/>
  <c r="H123" i="4"/>
  <c r="G123" i="4"/>
  <c r="G124" i="4"/>
  <c r="O118" i="4"/>
  <c r="N118" i="4"/>
  <c r="M118" i="4"/>
  <c r="L118" i="4"/>
  <c r="K118" i="4"/>
  <c r="J118" i="4"/>
  <c r="I118" i="4"/>
  <c r="H118" i="4"/>
  <c r="G118" i="4"/>
  <c r="F118" i="4"/>
  <c r="F116" i="4"/>
  <c r="F92" i="4"/>
  <c r="I78" i="4"/>
  <c r="I56" i="4"/>
  <c r="I52" i="4"/>
  <c r="F203" i="4"/>
  <c r="F339" i="4"/>
  <c r="F442" i="4"/>
  <c r="I51" i="4"/>
  <c r="I49" i="4"/>
  <c r="F200" i="4"/>
  <c r="F336" i="4"/>
  <c r="F439" i="4"/>
  <c r="I48" i="4"/>
  <c r="I47" i="4"/>
  <c r="I43" i="4"/>
  <c r="F202" i="4"/>
  <c r="I26" i="4"/>
  <c r="F246" i="4"/>
  <c r="L117" i="4"/>
  <c r="M114" i="4"/>
  <c r="L112" i="4"/>
  <c r="O228" i="4"/>
  <c r="O243" i="4"/>
  <c r="M243" i="4"/>
  <c r="K243" i="4"/>
  <c r="I243" i="4"/>
  <c r="G243" i="4"/>
  <c r="L243" i="4"/>
  <c r="I228" i="4"/>
  <c r="H243" i="4"/>
  <c r="F242" i="4"/>
  <c r="M117" i="4"/>
  <c r="J117" i="4"/>
  <c r="J114" i="4"/>
  <c r="N112" i="4"/>
  <c r="K114" i="4"/>
  <c r="F117" i="4"/>
  <c r="N117" i="4"/>
  <c r="J112" i="4"/>
  <c r="F112" i="4"/>
  <c r="G114" i="4"/>
  <c r="G115" i="4"/>
  <c r="O114" i="4"/>
  <c r="F114" i="4"/>
  <c r="N114" i="4"/>
  <c r="I117" i="4"/>
  <c r="F209" i="4"/>
  <c r="F345" i="4"/>
  <c r="F448" i="4"/>
  <c r="F233" i="4"/>
  <c r="F208" i="4"/>
  <c r="F344" i="4"/>
  <c r="F245" i="4"/>
  <c r="I112" i="4"/>
  <c r="F231" i="4"/>
  <c r="I79" i="4"/>
  <c r="G112" i="4"/>
  <c r="G113" i="4"/>
  <c r="K112" i="4"/>
  <c r="O112" i="4"/>
  <c r="H114" i="4"/>
  <c r="L114" i="4"/>
  <c r="G117" i="4"/>
  <c r="K117" i="4"/>
  <c r="O117" i="4"/>
  <c r="F238" i="4"/>
  <c r="F232" i="4"/>
  <c r="F229" i="4"/>
  <c r="F247" i="4"/>
  <c r="M112" i="4"/>
  <c r="H112" i="4"/>
  <c r="I114" i="4"/>
  <c r="H117" i="4"/>
  <c r="M228" i="4"/>
  <c r="I32" i="8"/>
  <c r="O343" i="8"/>
  <c r="O344" i="8"/>
  <c r="N343" i="8"/>
  <c r="N344" i="8"/>
  <c r="M343" i="8"/>
  <c r="M344" i="8"/>
  <c r="L343" i="8"/>
  <c r="L344" i="8"/>
  <c r="K343" i="8"/>
  <c r="K344" i="8"/>
  <c r="J343" i="8"/>
  <c r="J344" i="8"/>
  <c r="I343" i="8"/>
  <c r="I344" i="8"/>
  <c r="H343" i="8"/>
  <c r="H344" i="8"/>
  <c r="G343" i="8"/>
  <c r="G344" i="8"/>
  <c r="F343" i="8"/>
  <c r="F344" i="8"/>
  <c r="O335" i="8"/>
  <c r="O450" i="8"/>
  <c r="N335" i="8"/>
  <c r="N450" i="8"/>
  <c r="M335" i="8"/>
  <c r="M450" i="8"/>
  <c r="L335" i="8"/>
  <c r="L450" i="8"/>
  <c r="K335" i="8"/>
  <c r="K450" i="8"/>
  <c r="J335" i="8"/>
  <c r="J450" i="8"/>
  <c r="I335" i="8"/>
  <c r="I450" i="8"/>
  <c r="H335" i="8"/>
  <c r="H450" i="8"/>
  <c r="G335" i="8"/>
  <c r="G450" i="8"/>
  <c r="F335" i="8"/>
  <c r="F450" i="8"/>
  <c r="O334" i="8"/>
  <c r="N334" i="8"/>
  <c r="M334" i="8"/>
  <c r="L334" i="8"/>
  <c r="K334" i="8"/>
  <c r="J334" i="8"/>
  <c r="I334" i="8"/>
  <c r="H334" i="8"/>
  <c r="G334" i="8"/>
  <c r="F334" i="8"/>
  <c r="O289" i="8"/>
  <c r="O290" i="8"/>
  <c r="N289" i="8"/>
  <c r="N290" i="8"/>
  <c r="M289" i="8"/>
  <c r="M290" i="8"/>
  <c r="L289" i="8"/>
  <c r="L290" i="8"/>
  <c r="K289" i="8"/>
  <c r="K290" i="8"/>
  <c r="J289" i="8"/>
  <c r="J290" i="8"/>
  <c r="I289" i="8"/>
  <c r="I290" i="8"/>
  <c r="H289" i="8"/>
  <c r="H290" i="8"/>
  <c r="G289" i="8"/>
  <c r="G290" i="8"/>
  <c r="F289" i="8"/>
  <c r="F290" i="8"/>
  <c r="O281" i="8"/>
  <c r="O400" i="8"/>
  <c r="N281" i="8"/>
  <c r="N400" i="8"/>
  <c r="M281" i="8"/>
  <c r="M400" i="8"/>
  <c r="L281" i="8"/>
  <c r="L400" i="8"/>
  <c r="K281" i="8"/>
  <c r="K400" i="8"/>
  <c r="J281" i="8"/>
  <c r="J400" i="8"/>
  <c r="I281" i="8"/>
  <c r="I400" i="8"/>
  <c r="H281" i="8"/>
  <c r="H400" i="8"/>
  <c r="G281" i="8"/>
  <c r="G400" i="8"/>
  <c r="F281" i="8"/>
  <c r="F400" i="8"/>
  <c r="O280" i="8"/>
  <c r="N280" i="8"/>
  <c r="M280" i="8"/>
  <c r="L280" i="8"/>
  <c r="K280" i="8"/>
  <c r="J280" i="8"/>
  <c r="I280" i="8"/>
  <c r="H280" i="8"/>
  <c r="G280" i="8"/>
  <c r="F280" i="8"/>
  <c r="F283" i="8"/>
  <c r="O143" i="8"/>
  <c r="N143" i="8"/>
  <c r="M143" i="8"/>
  <c r="L143" i="8"/>
  <c r="K143" i="8"/>
  <c r="J143" i="8"/>
  <c r="I143" i="8"/>
  <c r="H143" i="8"/>
  <c r="G143" i="8"/>
  <c r="O139" i="8"/>
  <c r="N139" i="8"/>
  <c r="M139" i="8"/>
  <c r="L139" i="8"/>
  <c r="K139" i="8"/>
  <c r="J139" i="8"/>
  <c r="I139" i="8"/>
  <c r="H139" i="8"/>
  <c r="G139" i="8"/>
  <c r="G140" i="8"/>
  <c r="F139" i="8"/>
  <c r="O137" i="8"/>
  <c r="N137" i="8"/>
  <c r="M137" i="8"/>
  <c r="L137" i="8"/>
  <c r="K137" i="8"/>
  <c r="J137" i="8"/>
  <c r="I137" i="8"/>
  <c r="H137" i="8"/>
  <c r="G137" i="8"/>
  <c r="F137" i="8"/>
  <c r="O135" i="8"/>
  <c r="N135" i="8"/>
  <c r="M135" i="8"/>
  <c r="L135" i="8"/>
  <c r="K135" i="8"/>
  <c r="J135" i="8"/>
  <c r="I135" i="8"/>
  <c r="H135" i="8"/>
  <c r="G135" i="8"/>
  <c r="G136" i="8"/>
  <c r="F135" i="8"/>
  <c r="O133" i="8"/>
  <c r="N133" i="8"/>
  <c r="M133" i="8"/>
  <c r="L133" i="8"/>
  <c r="K133" i="8"/>
  <c r="J133" i="8"/>
  <c r="I133" i="8"/>
  <c r="H133" i="8"/>
  <c r="G133" i="8"/>
  <c r="G134" i="8"/>
  <c r="F133" i="8"/>
  <c r="O128" i="8"/>
  <c r="N128" i="8"/>
  <c r="M128" i="8"/>
  <c r="L128" i="8"/>
  <c r="K128" i="8"/>
  <c r="J128" i="8"/>
  <c r="I128" i="8"/>
  <c r="H128" i="8"/>
  <c r="G128" i="8"/>
  <c r="F128" i="8"/>
  <c r="F126" i="8"/>
  <c r="F77" i="8"/>
  <c r="I88" i="8"/>
  <c r="I83" i="8"/>
  <c r="I78" i="8"/>
  <c r="I26" i="8"/>
  <c r="O127" i="8"/>
  <c r="N124" i="8"/>
  <c r="O122" i="8"/>
  <c r="I52" i="7"/>
  <c r="I44" i="7"/>
  <c r="F299" i="8"/>
  <c r="F414" i="8"/>
  <c r="F122" i="8"/>
  <c r="H122" i="8"/>
  <c r="J122" i="8"/>
  <c r="L122" i="8"/>
  <c r="N122" i="8"/>
  <c r="G124" i="8"/>
  <c r="G125" i="8"/>
  <c r="I124" i="8"/>
  <c r="K124" i="8"/>
  <c r="M124" i="8"/>
  <c r="O124" i="8"/>
  <c r="F127" i="8"/>
  <c r="H127" i="8"/>
  <c r="J127" i="8"/>
  <c r="L127" i="8"/>
  <c r="N127" i="8"/>
  <c r="N186" i="8"/>
  <c r="L186" i="8"/>
  <c r="J186" i="8"/>
  <c r="H186" i="8"/>
  <c r="F186" i="8"/>
  <c r="O186" i="8"/>
  <c r="M186" i="8"/>
  <c r="K186" i="8"/>
  <c r="I186" i="8"/>
  <c r="G186" i="8"/>
  <c r="O187" i="8"/>
  <c r="G122" i="8"/>
  <c r="G123" i="8"/>
  <c r="G172" i="8"/>
  <c r="G173" i="8"/>
  <c r="G174" i="8"/>
  <c r="G175" i="8"/>
  <c r="G158" i="8"/>
  <c r="G159" i="8"/>
  <c r="G161" i="8"/>
  <c r="G162" i="8"/>
  <c r="G233" i="8"/>
  <c r="I122" i="8"/>
  <c r="K122" i="8"/>
  <c r="M122" i="8"/>
  <c r="F124" i="8"/>
  <c r="H124" i="8"/>
  <c r="J124" i="8"/>
  <c r="L124" i="8"/>
  <c r="G127" i="8"/>
  <c r="I127" i="8"/>
  <c r="K127" i="8"/>
  <c r="M127" i="8"/>
  <c r="I187" i="8"/>
  <c r="K187" i="8"/>
  <c r="M187" i="8"/>
  <c r="F184" i="8"/>
  <c r="N187" i="8"/>
  <c r="J187" i="8"/>
  <c r="L187" i="8"/>
  <c r="H187" i="8"/>
  <c r="F81" i="7"/>
  <c r="I81" i="7"/>
  <c r="F70" i="7"/>
  <c r="L228" i="4"/>
  <c r="I57" i="7"/>
  <c r="F210" i="7"/>
  <c r="F255" i="7"/>
  <c r="I53" i="7"/>
  <c r="F206" i="7"/>
  <c r="F344" i="7"/>
  <c r="F439" i="7"/>
  <c r="G327" i="7"/>
  <c r="H327" i="7"/>
  <c r="I327" i="7"/>
  <c r="J327" i="7"/>
  <c r="K327" i="7"/>
  <c r="L327" i="7"/>
  <c r="M327" i="7"/>
  <c r="N327" i="7"/>
  <c r="O327" i="7"/>
  <c r="G276" i="7"/>
  <c r="H276" i="7"/>
  <c r="I276" i="7"/>
  <c r="J276" i="7"/>
  <c r="K276" i="7"/>
  <c r="L276" i="7"/>
  <c r="M276" i="7"/>
  <c r="N276" i="7"/>
  <c r="O276" i="7"/>
  <c r="F276" i="7"/>
  <c r="G334" i="7"/>
  <c r="G335" i="7"/>
  <c r="H334" i="7"/>
  <c r="H335" i="7"/>
  <c r="I334" i="7"/>
  <c r="I335" i="7"/>
  <c r="J334" i="7"/>
  <c r="J335" i="7"/>
  <c r="K334" i="7"/>
  <c r="K335" i="7"/>
  <c r="L334" i="7"/>
  <c r="L335" i="7"/>
  <c r="M334" i="7"/>
  <c r="M335" i="7"/>
  <c r="N334" i="7"/>
  <c r="N335" i="7"/>
  <c r="O334" i="7"/>
  <c r="O335" i="7"/>
  <c r="G284" i="7"/>
  <c r="H284" i="7"/>
  <c r="I284" i="7"/>
  <c r="J284" i="7"/>
  <c r="K284" i="7"/>
  <c r="L284" i="7"/>
  <c r="M284" i="7"/>
  <c r="N284" i="7"/>
  <c r="O284" i="7"/>
  <c r="F284" i="7"/>
  <c r="O275" i="7"/>
  <c r="N275" i="7"/>
  <c r="M275" i="7"/>
  <c r="L275" i="7"/>
  <c r="K275" i="7"/>
  <c r="J275" i="7"/>
  <c r="I275" i="7"/>
  <c r="H275" i="7"/>
  <c r="G275" i="7"/>
  <c r="F275" i="7"/>
  <c r="O326" i="7"/>
  <c r="N326" i="7"/>
  <c r="M326" i="7"/>
  <c r="L326" i="7"/>
  <c r="K326" i="7"/>
  <c r="J326" i="7"/>
  <c r="I326" i="7"/>
  <c r="H326" i="7"/>
  <c r="G326" i="7"/>
  <c r="F326" i="7"/>
  <c r="F328" i="7"/>
  <c r="F256" i="7"/>
  <c r="F211" i="7"/>
  <c r="F349" i="7"/>
  <c r="F444" i="7"/>
  <c r="O135" i="7"/>
  <c r="O143" i="7"/>
  <c r="N135" i="7"/>
  <c r="N143" i="7"/>
  <c r="M135" i="7"/>
  <c r="M143" i="7"/>
  <c r="L135" i="7"/>
  <c r="L143" i="7"/>
  <c r="K135" i="7"/>
  <c r="K143" i="7"/>
  <c r="J135" i="7"/>
  <c r="J143" i="7"/>
  <c r="I135" i="7"/>
  <c r="I143" i="7"/>
  <c r="H135" i="7"/>
  <c r="H143" i="7"/>
  <c r="G135" i="7"/>
  <c r="G143" i="7"/>
  <c r="I75" i="7"/>
  <c r="I74" i="7"/>
  <c r="I50" i="7"/>
  <c r="I51" i="7"/>
  <c r="I48" i="7"/>
  <c r="F149" i="7"/>
  <c r="O149" i="7"/>
  <c r="N149" i="7"/>
  <c r="M149" i="7"/>
  <c r="L149" i="7"/>
  <c r="K149" i="7"/>
  <c r="J149" i="7"/>
  <c r="I149" i="7"/>
  <c r="H149" i="7"/>
  <c r="G149" i="7"/>
  <c r="O131" i="7"/>
  <c r="N131" i="7"/>
  <c r="M131" i="7"/>
  <c r="L131" i="7"/>
  <c r="K131" i="7"/>
  <c r="J131" i="7"/>
  <c r="I131" i="7"/>
  <c r="H131" i="7"/>
  <c r="G131" i="7"/>
  <c r="G132" i="7"/>
  <c r="F131" i="7"/>
  <c r="O129" i="7"/>
  <c r="N129" i="7"/>
  <c r="M129" i="7"/>
  <c r="L129" i="7"/>
  <c r="K129" i="7"/>
  <c r="J129" i="7"/>
  <c r="I129" i="7"/>
  <c r="H129" i="7"/>
  <c r="G129" i="7"/>
  <c r="G130" i="7"/>
  <c r="F129" i="7"/>
  <c r="O127" i="7"/>
  <c r="N127" i="7"/>
  <c r="M127" i="7"/>
  <c r="L127" i="7"/>
  <c r="K127" i="7"/>
  <c r="J127" i="7"/>
  <c r="I127" i="7"/>
  <c r="H127" i="7"/>
  <c r="G127" i="7"/>
  <c r="G128" i="7"/>
  <c r="F127" i="7"/>
  <c r="O125" i="7"/>
  <c r="N125" i="7"/>
  <c r="M125" i="7"/>
  <c r="L125" i="7"/>
  <c r="K125" i="7"/>
  <c r="J125" i="7"/>
  <c r="I125" i="7"/>
  <c r="H125" i="7"/>
  <c r="G125" i="7"/>
  <c r="G126" i="7"/>
  <c r="F125" i="7"/>
  <c r="O120" i="7"/>
  <c r="N120" i="7"/>
  <c r="M120" i="7"/>
  <c r="L120" i="7"/>
  <c r="K120" i="7"/>
  <c r="J120" i="7"/>
  <c r="I120" i="7"/>
  <c r="H120" i="7"/>
  <c r="G120" i="7"/>
  <c r="F120" i="7"/>
  <c r="F118" i="7"/>
  <c r="I71" i="7"/>
  <c r="F216" i="7"/>
  <c r="I49" i="7"/>
  <c r="F142" i="7"/>
  <c r="F156" i="7"/>
  <c r="I27" i="7"/>
  <c r="O116" i="7"/>
  <c r="N114" i="7"/>
  <c r="F236" i="7"/>
  <c r="L150" i="7"/>
  <c r="O150" i="7"/>
  <c r="K150" i="7"/>
  <c r="I150" i="7"/>
  <c r="F230" i="7"/>
  <c r="L119" i="7"/>
  <c r="H119" i="7"/>
  <c r="N119" i="7"/>
  <c r="M142" i="7"/>
  <c r="I142" i="7"/>
  <c r="L142" i="7"/>
  <c r="H142" i="7"/>
  <c r="O142" i="7"/>
  <c r="K142" i="7"/>
  <c r="G142" i="7"/>
  <c r="N142" i="7"/>
  <c r="J142" i="7"/>
  <c r="G114" i="7"/>
  <c r="G115" i="7"/>
  <c r="K114" i="7"/>
  <c r="O114" i="7"/>
  <c r="H116" i="7"/>
  <c r="L116" i="7"/>
  <c r="G119" i="7"/>
  <c r="M119" i="7"/>
  <c r="H114" i="7"/>
  <c r="L114" i="7"/>
  <c r="I116" i="7"/>
  <c r="M116" i="7"/>
  <c r="I119" i="7"/>
  <c r="O119" i="7"/>
  <c r="I114" i="7"/>
  <c r="M114" i="7"/>
  <c r="F116" i="7"/>
  <c r="J116" i="7"/>
  <c r="N116" i="7"/>
  <c r="J119" i="7"/>
  <c r="F114" i="7"/>
  <c r="J114" i="7"/>
  <c r="G116" i="7"/>
  <c r="G117" i="7"/>
  <c r="K116" i="7"/>
  <c r="F119" i="7"/>
  <c r="K119" i="7"/>
  <c r="M150" i="7"/>
  <c r="J150" i="7"/>
  <c r="G234" i="8"/>
  <c r="G229" i="8"/>
  <c r="S663" i="8"/>
  <c r="R662" i="8"/>
  <c r="G194" i="8"/>
  <c r="G191" i="8"/>
  <c r="G193" i="8"/>
  <c r="G192" i="8"/>
  <c r="Q661" i="8"/>
  <c r="P660" i="8"/>
  <c r="R661" i="8"/>
  <c r="Q660" i="8"/>
  <c r="S661" i="8"/>
  <c r="R660" i="8"/>
  <c r="I161" i="8"/>
  <c r="I174" i="8"/>
  <c r="M161" i="8"/>
  <c r="M174" i="8"/>
  <c r="F178" i="8"/>
  <c r="G178" i="8"/>
  <c r="G179" i="8"/>
  <c r="J174" i="8"/>
  <c r="J161" i="8"/>
  <c r="N174" i="8"/>
  <c r="N161" i="8"/>
  <c r="K161" i="8"/>
  <c r="K174" i="8"/>
  <c r="O174" i="8"/>
  <c r="O161" i="8"/>
  <c r="H174" i="8"/>
  <c r="H161" i="8"/>
  <c r="L161" i="8"/>
  <c r="L174" i="8"/>
  <c r="G138" i="8"/>
  <c r="G209" i="8"/>
  <c r="G295" i="8"/>
  <c r="G410" i="8"/>
  <c r="I30" i="8"/>
  <c r="F165" i="8"/>
  <c r="G227" i="8"/>
  <c r="G313" i="8"/>
  <c r="G428" i="8"/>
  <c r="G259" i="8"/>
  <c r="G367" i="8"/>
  <c r="G478" i="8"/>
  <c r="G197" i="3"/>
  <c r="G292" i="3"/>
  <c r="G400" i="3"/>
  <c r="F191" i="3"/>
  <c r="G191" i="3"/>
  <c r="G266" i="3"/>
  <c r="G374" i="3"/>
  <c r="G178" i="3"/>
  <c r="G150" i="3"/>
  <c r="G179" i="3"/>
  <c r="G254" i="3"/>
  <c r="G362" i="3"/>
  <c r="G148" i="3"/>
  <c r="G183" i="3"/>
  <c r="G184" i="3"/>
  <c r="G259" i="3"/>
  <c r="G367" i="3"/>
  <c r="G149" i="3"/>
  <c r="G228" i="3"/>
  <c r="G185" i="3"/>
  <c r="G260" i="3"/>
  <c r="G368" i="3"/>
  <c r="G190" i="3"/>
  <c r="G170" i="3"/>
  <c r="G245" i="3"/>
  <c r="G353" i="3"/>
  <c r="G171" i="3"/>
  <c r="G246" i="3"/>
  <c r="G354" i="3"/>
  <c r="G169" i="3"/>
  <c r="G244" i="3"/>
  <c r="G352" i="3"/>
  <c r="G172" i="3"/>
  <c r="G247" i="3"/>
  <c r="G355" i="3"/>
  <c r="G168" i="3"/>
  <c r="G173" i="3"/>
  <c r="G248" i="3"/>
  <c r="G356" i="3"/>
  <c r="G174" i="3"/>
  <c r="G249" i="3"/>
  <c r="G357" i="3"/>
  <c r="L303" i="6"/>
  <c r="H122" i="3"/>
  <c r="F213" i="5"/>
  <c r="F322" i="5"/>
  <c r="F424" i="5"/>
  <c r="H309" i="5"/>
  <c r="L309" i="5"/>
  <c r="F193" i="6"/>
  <c r="F309" i="6"/>
  <c r="F424" i="6"/>
  <c r="F206" i="6"/>
  <c r="F322" i="6"/>
  <c r="F437" i="6"/>
  <c r="J149" i="6"/>
  <c r="N149" i="6"/>
  <c r="L156" i="6"/>
  <c r="F266" i="6"/>
  <c r="G149" i="6"/>
  <c r="G206" i="6"/>
  <c r="K149" i="6"/>
  <c r="O149" i="6"/>
  <c r="I156" i="6"/>
  <c r="M156" i="6"/>
  <c r="H149" i="6"/>
  <c r="L149" i="6"/>
  <c r="F156" i="6"/>
  <c r="F236" i="6"/>
  <c r="F373" i="6"/>
  <c r="F488" i="6"/>
  <c r="J156" i="6"/>
  <c r="N156" i="6"/>
  <c r="I149" i="6"/>
  <c r="M149" i="6"/>
  <c r="G236" i="6"/>
  <c r="G373" i="6"/>
  <c r="G488" i="6"/>
  <c r="K156" i="6"/>
  <c r="O156" i="6"/>
  <c r="F264" i="5"/>
  <c r="F186" i="5"/>
  <c r="F167" i="5"/>
  <c r="F168" i="5"/>
  <c r="F149" i="5"/>
  <c r="F309" i="5"/>
  <c r="J309" i="5"/>
  <c r="F226" i="5"/>
  <c r="F335" i="5"/>
  <c r="F437" i="5"/>
  <c r="F212" i="3"/>
  <c r="F307" i="3"/>
  <c r="F415" i="3"/>
  <c r="G212" i="3"/>
  <c r="G211" i="3"/>
  <c r="G306" i="3"/>
  <c r="G414" i="3"/>
  <c r="G213" i="3"/>
  <c r="G308" i="3"/>
  <c r="G416" i="3"/>
  <c r="F213" i="3"/>
  <c r="F308" i="3"/>
  <c r="F416" i="3"/>
  <c r="G274" i="10"/>
  <c r="H155" i="10"/>
  <c r="L155" i="10"/>
  <c r="I155" i="10"/>
  <c r="M155" i="10"/>
  <c r="F202" i="10"/>
  <c r="F212" i="10"/>
  <c r="F331" i="10"/>
  <c r="F448" i="10"/>
  <c r="J155" i="10"/>
  <c r="N155" i="10"/>
  <c r="G212" i="10"/>
  <c r="K155" i="10"/>
  <c r="O155" i="10"/>
  <c r="F176" i="9"/>
  <c r="J149" i="9"/>
  <c r="N149" i="9"/>
  <c r="J156" i="9"/>
  <c r="G149" i="9"/>
  <c r="K149" i="9"/>
  <c r="O149" i="9"/>
  <c r="H149" i="9"/>
  <c r="L149" i="9"/>
  <c r="F153" i="9"/>
  <c r="F167" i="9"/>
  <c r="I149" i="9"/>
  <c r="M149" i="9"/>
  <c r="H129" i="8"/>
  <c r="H514" i="8"/>
  <c r="F629" i="7"/>
  <c r="G629" i="7"/>
  <c r="H629" i="7"/>
  <c r="I629" i="7"/>
  <c r="J629" i="7"/>
  <c r="K629" i="7"/>
  <c r="L629" i="7"/>
  <c r="M629" i="7"/>
  <c r="N629" i="7"/>
  <c r="O629" i="7"/>
  <c r="P629" i="7"/>
  <c r="Q629" i="7"/>
  <c r="R629" i="7"/>
  <c r="S629" i="7"/>
  <c r="F627" i="7"/>
  <c r="G627" i="7"/>
  <c r="H627" i="7"/>
  <c r="I627" i="7"/>
  <c r="J627" i="7"/>
  <c r="K627" i="7"/>
  <c r="L627" i="7"/>
  <c r="M627" i="7"/>
  <c r="N627" i="7"/>
  <c r="O627" i="7"/>
  <c r="P627" i="7"/>
  <c r="Q627" i="7"/>
  <c r="R627" i="7"/>
  <c r="S627" i="7"/>
  <c r="F630" i="7"/>
  <c r="G630" i="7"/>
  <c r="H630" i="7"/>
  <c r="I630" i="7"/>
  <c r="J630" i="7"/>
  <c r="K630" i="7"/>
  <c r="L630" i="7"/>
  <c r="M630" i="7"/>
  <c r="N630" i="7"/>
  <c r="O630" i="7"/>
  <c r="P630" i="7"/>
  <c r="Q630" i="7"/>
  <c r="R630" i="7"/>
  <c r="S630" i="7"/>
  <c r="F628" i="7"/>
  <c r="G628" i="7"/>
  <c r="H628" i="7"/>
  <c r="I628" i="7"/>
  <c r="J628" i="7"/>
  <c r="K628" i="7"/>
  <c r="L628" i="7"/>
  <c r="M628" i="7"/>
  <c r="N628" i="7"/>
  <c r="O628" i="7"/>
  <c r="P628" i="7"/>
  <c r="Q628" i="7"/>
  <c r="R628" i="7"/>
  <c r="S628" i="7"/>
  <c r="R633" i="7"/>
  <c r="S634" i="7"/>
  <c r="S633" i="7"/>
  <c r="P633" i="7"/>
  <c r="S636" i="7"/>
  <c r="Q634" i="7"/>
  <c r="R635" i="7"/>
  <c r="F171" i="7"/>
  <c r="F288" i="7"/>
  <c r="F392" i="7"/>
  <c r="F186" i="7"/>
  <c r="F303" i="7"/>
  <c r="F407" i="7"/>
  <c r="Q633" i="7"/>
  <c r="R634" i="7"/>
  <c r="S635" i="7"/>
  <c r="G186" i="7"/>
  <c r="G303" i="7"/>
  <c r="G407" i="7"/>
  <c r="G216" i="7"/>
  <c r="G354" i="7"/>
  <c r="G449" i="7"/>
  <c r="R484" i="4"/>
  <c r="S485" i="4"/>
  <c r="F169" i="4"/>
  <c r="G185" i="4"/>
  <c r="G300" i="4"/>
  <c r="G407" i="4"/>
  <c r="O145" i="4"/>
  <c r="O185" i="4"/>
  <c r="F174" i="4"/>
  <c r="F289" i="4"/>
  <c r="F396" i="4"/>
  <c r="F184" i="4"/>
  <c r="F299" i="4"/>
  <c r="H145" i="4"/>
  <c r="H185" i="4"/>
  <c r="L145" i="4"/>
  <c r="L185" i="4"/>
  <c r="G126" i="4"/>
  <c r="G149" i="4"/>
  <c r="G201" i="4"/>
  <c r="G337" i="4"/>
  <c r="G440" i="4"/>
  <c r="F214" i="4"/>
  <c r="F350" i="4"/>
  <c r="F453" i="4"/>
  <c r="I151" i="4"/>
  <c r="I145" i="4"/>
  <c r="I185" i="4"/>
  <c r="M145" i="4"/>
  <c r="M185" i="4"/>
  <c r="F185" i="4"/>
  <c r="F300" i="4"/>
  <c r="F407" i="4"/>
  <c r="N145" i="4"/>
  <c r="N185" i="4"/>
  <c r="F213" i="4"/>
  <c r="F349" i="4"/>
  <c r="F119" i="4"/>
  <c r="F490" i="4"/>
  <c r="G184" i="4"/>
  <c r="G213" i="4"/>
  <c r="G223" i="8"/>
  <c r="F337" i="8"/>
  <c r="S509" i="8"/>
  <c r="F656" i="8"/>
  <c r="G656" i="8"/>
  <c r="H656" i="8"/>
  <c r="I656" i="8"/>
  <c r="J656" i="8"/>
  <c r="K656" i="8"/>
  <c r="L656" i="8"/>
  <c r="M656" i="8"/>
  <c r="N656" i="8"/>
  <c r="O656" i="8"/>
  <c r="P656" i="8"/>
  <c r="Q656" i="8"/>
  <c r="R656" i="8"/>
  <c r="S656" i="8"/>
  <c r="F654" i="8"/>
  <c r="G654" i="8"/>
  <c r="H654" i="8"/>
  <c r="I654" i="8"/>
  <c r="J654" i="8"/>
  <c r="K654" i="8"/>
  <c r="L654" i="8"/>
  <c r="M654" i="8"/>
  <c r="N654" i="8"/>
  <c r="O654" i="8"/>
  <c r="P654" i="8"/>
  <c r="Q654" i="8"/>
  <c r="R654" i="8"/>
  <c r="S654" i="8"/>
  <c r="F657" i="8"/>
  <c r="G657" i="8"/>
  <c r="H657" i="8"/>
  <c r="I657" i="8"/>
  <c r="J657" i="8"/>
  <c r="K657" i="8"/>
  <c r="L657" i="8"/>
  <c r="M657" i="8"/>
  <c r="N657" i="8"/>
  <c r="O657" i="8"/>
  <c r="P657" i="8"/>
  <c r="Q657" i="8"/>
  <c r="R657" i="8"/>
  <c r="S657" i="8"/>
  <c r="F655" i="8"/>
  <c r="G655" i="8"/>
  <c r="H655" i="8"/>
  <c r="I655" i="8"/>
  <c r="J655" i="8"/>
  <c r="K655" i="8"/>
  <c r="L655" i="8"/>
  <c r="M655" i="8"/>
  <c r="N655" i="8"/>
  <c r="O655" i="8"/>
  <c r="P655" i="8"/>
  <c r="Q655" i="8"/>
  <c r="R655" i="8"/>
  <c r="S655" i="8"/>
  <c r="F255" i="8"/>
  <c r="F363" i="8"/>
  <c r="F474" i="8"/>
  <c r="G255" i="8"/>
  <c r="G363" i="8"/>
  <c r="G474" i="8"/>
  <c r="G226" i="8"/>
  <c r="G312" i="8"/>
  <c r="G427" i="8"/>
  <c r="G258" i="8"/>
  <c r="G366" i="8"/>
  <c r="G477" i="8"/>
  <c r="F223" i="8"/>
  <c r="F309" i="8"/>
  <c r="F424" i="8"/>
  <c r="F226" i="6"/>
  <c r="F363" i="6"/>
  <c r="F478" i="6"/>
  <c r="S484" i="4"/>
  <c r="R532" i="10"/>
  <c r="F173" i="4"/>
  <c r="F288" i="4"/>
  <c r="F395" i="4"/>
  <c r="R482" i="4"/>
  <c r="F151" i="4"/>
  <c r="N151" i="4"/>
  <c r="F227" i="4"/>
  <c r="G167" i="5"/>
  <c r="F173" i="5"/>
  <c r="G173" i="5"/>
  <c r="I309" i="5"/>
  <c r="M309" i="5"/>
  <c r="N309" i="5"/>
  <c r="I89" i="8"/>
  <c r="F245" i="8"/>
  <c r="F353" i="8"/>
  <c r="F464" i="8"/>
  <c r="F218" i="8"/>
  <c r="F304" i="8"/>
  <c r="F419" i="8"/>
  <c r="F207" i="8"/>
  <c r="F217" i="8"/>
  <c r="F222" i="8"/>
  <c r="F211" i="8"/>
  <c r="F297" i="8"/>
  <c r="F412" i="8"/>
  <c r="I337" i="8"/>
  <c r="I449" i="8"/>
  <c r="I452" i="8"/>
  <c r="M337" i="8"/>
  <c r="M449" i="8"/>
  <c r="M452" i="8"/>
  <c r="F449" i="8"/>
  <c r="F452" i="8"/>
  <c r="J337" i="8"/>
  <c r="J449" i="8"/>
  <c r="J452" i="8"/>
  <c r="N337" i="8"/>
  <c r="N449" i="8"/>
  <c r="N452" i="8"/>
  <c r="G337" i="8"/>
  <c r="G449" i="8"/>
  <c r="G452" i="8"/>
  <c r="K337" i="8"/>
  <c r="K449" i="8"/>
  <c r="K452" i="8"/>
  <c r="O337" i="8"/>
  <c r="O449" i="8"/>
  <c r="O452" i="8"/>
  <c r="H337" i="8"/>
  <c r="H449" i="8"/>
  <c r="H452" i="8"/>
  <c r="L337" i="8"/>
  <c r="L449" i="8"/>
  <c r="L452" i="8"/>
  <c r="G283" i="8"/>
  <c r="G399" i="8"/>
  <c r="G402" i="8"/>
  <c r="K283" i="8"/>
  <c r="K399" i="8"/>
  <c r="K402" i="8"/>
  <c r="O283" i="8"/>
  <c r="O399" i="8"/>
  <c r="H283" i="8"/>
  <c r="H399" i="8"/>
  <c r="H402" i="8"/>
  <c r="L283" i="8"/>
  <c r="L399" i="8"/>
  <c r="L402" i="8"/>
  <c r="I283" i="8"/>
  <c r="I399" i="8"/>
  <c r="I402" i="8"/>
  <c r="M283" i="8"/>
  <c r="M399" i="8"/>
  <c r="M402" i="8"/>
  <c r="F399" i="8"/>
  <c r="F402" i="8"/>
  <c r="J283" i="8"/>
  <c r="J399" i="8"/>
  <c r="J402" i="8"/>
  <c r="N283" i="8"/>
  <c r="N399" i="8"/>
  <c r="N402" i="8"/>
  <c r="F198" i="4"/>
  <c r="K151" i="4"/>
  <c r="F211" i="5"/>
  <c r="F320" i="5"/>
  <c r="F422" i="5"/>
  <c r="G254" i="5"/>
  <c r="J121" i="7"/>
  <c r="J487" i="7"/>
  <c r="I129" i="8"/>
  <c r="I514" i="8"/>
  <c r="F199" i="4"/>
  <c r="F335" i="4"/>
  <c r="F438" i="4"/>
  <c r="F220" i="5"/>
  <c r="F329" i="5"/>
  <c r="O354" i="6"/>
  <c r="Q518" i="6"/>
  <c r="F357" i="10"/>
  <c r="J357" i="10"/>
  <c r="N357" i="10"/>
  <c r="I90" i="9"/>
  <c r="F277" i="7"/>
  <c r="K468" i="6"/>
  <c r="K469" i="6"/>
  <c r="G277" i="7"/>
  <c r="O277" i="7"/>
  <c r="G156" i="7"/>
  <c r="G157" i="7"/>
  <c r="G185" i="7"/>
  <c r="I277" i="7"/>
  <c r="M277" i="7"/>
  <c r="M129" i="8"/>
  <c r="F210" i="8"/>
  <c r="F296" i="8"/>
  <c r="F411" i="8"/>
  <c r="I93" i="8"/>
  <c r="G200" i="8"/>
  <c r="L129" i="8"/>
  <c r="I70" i="7"/>
  <c r="K247" i="9"/>
  <c r="C166" i="11"/>
  <c r="G166" i="11"/>
  <c r="C167" i="11"/>
  <c r="G167" i="11"/>
  <c r="C168" i="11"/>
  <c r="G168" i="11"/>
  <c r="C249" i="11"/>
  <c r="G196" i="11"/>
  <c r="C187" i="11"/>
  <c r="G187" i="11"/>
  <c r="C182" i="11"/>
  <c r="C185" i="11"/>
  <c r="G181" i="11"/>
  <c r="F223" i="11"/>
  <c r="G223" i="11"/>
  <c r="G227" i="11"/>
  <c r="C225" i="11"/>
  <c r="C227" i="11"/>
  <c r="F240" i="11"/>
  <c r="G240" i="11"/>
  <c r="G244" i="11"/>
  <c r="C105" i="11"/>
  <c r="F105" i="11"/>
  <c r="C215" i="11"/>
  <c r="C162" i="11"/>
  <c r="C163" i="11"/>
  <c r="C96" i="11"/>
  <c r="C120" i="11"/>
  <c r="G120" i="11"/>
  <c r="C104" i="11"/>
  <c r="G104" i="11"/>
  <c r="G472" i="10"/>
  <c r="G474" i="10"/>
  <c r="G357" i="10"/>
  <c r="K357" i="10"/>
  <c r="O472" i="10"/>
  <c r="O474" i="10"/>
  <c r="O357" i="10"/>
  <c r="H357" i="10"/>
  <c r="H472" i="10"/>
  <c r="H474" i="10"/>
  <c r="L472" i="10"/>
  <c r="L474" i="10"/>
  <c r="L357" i="10"/>
  <c r="H364" i="10"/>
  <c r="H480" i="10"/>
  <c r="M472" i="10"/>
  <c r="M474" i="10"/>
  <c r="M357" i="10"/>
  <c r="J328" i="7"/>
  <c r="N328" i="7"/>
  <c r="I347" i="6"/>
  <c r="M460" i="6"/>
  <c r="M462" i="6"/>
  <c r="M347" i="6"/>
  <c r="F460" i="6"/>
  <c r="F462" i="6"/>
  <c r="F347" i="6"/>
  <c r="J460" i="6"/>
  <c r="J462" i="6"/>
  <c r="J347" i="6"/>
  <c r="N460" i="6"/>
  <c r="N462" i="6"/>
  <c r="N347" i="6"/>
  <c r="G460" i="6"/>
  <c r="G462" i="6"/>
  <c r="G347" i="6"/>
  <c r="H460" i="6"/>
  <c r="H462" i="6"/>
  <c r="H347" i="6"/>
  <c r="L460" i="6"/>
  <c r="L462" i="6"/>
  <c r="L347" i="6"/>
  <c r="F152" i="5"/>
  <c r="G152" i="5"/>
  <c r="G153" i="5"/>
  <c r="G172" i="5"/>
  <c r="F204" i="4"/>
  <c r="F340" i="4"/>
  <c r="F443" i="4"/>
  <c r="G204" i="4"/>
  <c r="G340" i="4"/>
  <c r="G443" i="4"/>
  <c r="K144" i="10"/>
  <c r="N144" i="10"/>
  <c r="J144" i="10"/>
  <c r="F144" i="10"/>
  <c r="F243" i="10"/>
  <c r="M144" i="10"/>
  <c r="I144" i="10"/>
  <c r="L144" i="10"/>
  <c r="H144" i="10"/>
  <c r="O144" i="10"/>
  <c r="G144" i="10"/>
  <c r="I92" i="10"/>
  <c r="I71" i="10"/>
  <c r="H411" i="9"/>
  <c r="H413" i="9"/>
  <c r="H298" i="9"/>
  <c r="L411" i="9"/>
  <c r="L413" i="9"/>
  <c r="L298" i="9"/>
  <c r="I298" i="9"/>
  <c r="M411" i="9"/>
  <c r="M413" i="9"/>
  <c r="M298" i="9"/>
  <c r="Q469" i="9"/>
  <c r="S472" i="9"/>
  <c r="F411" i="9"/>
  <c r="F413" i="9"/>
  <c r="F298" i="9"/>
  <c r="J411" i="9"/>
  <c r="J413" i="9"/>
  <c r="J298" i="9"/>
  <c r="N411" i="9"/>
  <c r="N413" i="9"/>
  <c r="N298" i="9"/>
  <c r="G411" i="9"/>
  <c r="G413" i="9"/>
  <c r="G298" i="9"/>
  <c r="K411" i="9"/>
  <c r="K413" i="9"/>
  <c r="K298" i="9"/>
  <c r="O411" i="9"/>
  <c r="O413" i="9"/>
  <c r="O298" i="9"/>
  <c r="F208" i="8"/>
  <c r="F294" i="8"/>
  <c r="F409" i="8"/>
  <c r="F303" i="8"/>
  <c r="F418" i="8"/>
  <c r="F209" i="8"/>
  <c r="F295" i="8"/>
  <c r="F410" i="8"/>
  <c r="F212" i="8"/>
  <c r="F298" i="8"/>
  <c r="F413" i="8"/>
  <c r="K129" i="8"/>
  <c r="S507" i="8"/>
  <c r="G129" i="8"/>
  <c r="G514" i="8"/>
  <c r="R508" i="8"/>
  <c r="S506" i="8"/>
  <c r="L121" i="7"/>
  <c r="G328" i="7"/>
  <c r="K328" i="7"/>
  <c r="O328" i="7"/>
  <c r="M121" i="7"/>
  <c r="I328" i="7"/>
  <c r="M328" i="7"/>
  <c r="H328" i="7"/>
  <c r="L328" i="7"/>
  <c r="N121" i="7"/>
  <c r="F121" i="7"/>
  <c r="L135" i="5"/>
  <c r="H135" i="5"/>
  <c r="O135" i="5"/>
  <c r="K135" i="5"/>
  <c r="G135" i="5"/>
  <c r="N135" i="5"/>
  <c r="J135" i="5"/>
  <c r="M135" i="5"/>
  <c r="I135" i="5"/>
  <c r="F245" i="5"/>
  <c r="I122" i="5"/>
  <c r="I476" i="5"/>
  <c r="G335" i="5"/>
  <c r="G437" i="5"/>
  <c r="N243" i="4"/>
  <c r="M227" i="4"/>
  <c r="M234" i="4"/>
  <c r="K119" i="4"/>
  <c r="F243" i="4"/>
  <c r="G119" i="4"/>
  <c r="G490" i="4"/>
  <c r="L227" i="4"/>
  <c r="L234" i="4"/>
  <c r="F180" i="4"/>
  <c r="F295" i="4"/>
  <c r="F402" i="4"/>
  <c r="O119" i="4"/>
  <c r="S443" i="3"/>
  <c r="I281" i="3"/>
  <c r="S444" i="3"/>
  <c r="F199" i="3"/>
  <c r="F294" i="3"/>
  <c r="F402" i="3"/>
  <c r="F200" i="3"/>
  <c r="F295" i="3"/>
  <c r="F403" i="3"/>
  <c r="N305" i="10"/>
  <c r="F169" i="10"/>
  <c r="F190" i="10"/>
  <c r="F273" i="10"/>
  <c r="F268" i="10"/>
  <c r="N422" i="10"/>
  <c r="N129" i="8"/>
  <c r="F129" i="8"/>
  <c r="F514" i="8"/>
  <c r="F347" i="8"/>
  <c r="F458" i="8"/>
  <c r="F350" i="8"/>
  <c r="F461" i="8"/>
  <c r="F351" i="8"/>
  <c r="F462" i="8"/>
  <c r="P506" i="8"/>
  <c r="F366" i="8"/>
  <c r="F477" i="8"/>
  <c r="G211" i="5"/>
  <c r="G320" i="5"/>
  <c r="G422" i="5"/>
  <c r="H116" i="5"/>
  <c r="P443" i="3"/>
  <c r="F281" i="3"/>
  <c r="S446" i="3"/>
  <c r="J281" i="3"/>
  <c r="F358" i="8"/>
  <c r="F469" i="8"/>
  <c r="F349" i="8"/>
  <c r="F460" i="8"/>
  <c r="F348" i="8"/>
  <c r="F459" i="8"/>
  <c r="J129" i="8"/>
  <c r="J514" i="8"/>
  <c r="F249" i="8"/>
  <c r="F122" i="5"/>
  <c r="F476" i="5"/>
  <c r="N122" i="5"/>
  <c r="L254" i="5"/>
  <c r="R469" i="5"/>
  <c r="G183" i="5"/>
  <c r="G268" i="5"/>
  <c r="G379" i="5"/>
  <c r="F214" i="5"/>
  <c r="F323" i="5"/>
  <c r="F425" i="5"/>
  <c r="G227" i="4"/>
  <c r="G228" i="4"/>
  <c r="F228" i="4"/>
  <c r="Q482" i="4"/>
  <c r="S483" i="4"/>
  <c r="G151" i="4"/>
  <c r="M155" i="9"/>
  <c r="M296" i="6"/>
  <c r="I142" i="6"/>
  <c r="I163" i="6"/>
  <c r="G417" i="6"/>
  <c r="G418" i="6"/>
  <c r="F159" i="5"/>
  <c r="M368" i="9"/>
  <c r="M369" i="9"/>
  <c r="F177" i="9"/>
  <c r="F258" i="9"/>
  <c r="F373" i="9"/>
  <c r="F303" i="6"/>
  <c r="F417" i="6"/>
  <c r="F418" i="6"/>
  <c r="Q469" i="5"/>
  <c r="G184" i="5"/>
  <c r="G269" i="5"/>
  <c r="G380" i="5"/>
  <c r="H305" i="9"/>
  <c r="F149" i="9"/>
  <c r="F163" i="9"/>
  <c r="F200" i="6"/>
  <c r="F316" i="6"/>
  <c r="F431" i="6"/>
  <c r="F191" i="6"/>
  <c r="F307" i="6"/>
  <c r="F422" i="6"/>
  <c r="G216" i="5"/>
  <c r="G325" i="5"/>
  <c r="G427" i="5"/>
  <c r="F145" i="4"/>
  <c r="F157" i="4"/>
  <c r="F187" i="9"/>
  <c r="F268" i="9"/>
  <c r="F383" i="9"/>
  <c r="I155" i="9"/>
  <c r="I411" i="9"/>
  <c r="I413" i="9"/>
  <c r="S469" i="9"/>
  <c r="S471" i="9"/>
  <c r="H136" i="8"/>
  <c r="I136" i="8"/>
  <c r="I184" i="8"/>
  <c r="H117" i="7"/>
  <c r="I117" i="7"/>
  <c r="J117" i="7"/>
  <c r="K117" i="7"/>
  <c r="L117" i="7"/>
  <c r="M117" i="7"/>
  <c r="N117" i="7"/>
  <c r="O117" i="7"/>
  <c r="H277" i="7"/>
  <c r="L277" i="7"/>
  <c r="R480" i="7"/>
  <c r="G231" i="6"/>
  <c r="G368" i="6"/>
  <c r="G483" i="6"/>
  <c r="F411" i="6"/>
  <c r="N411" i="6"/>
  <c r="L122" i="5"/>
  <c r="F212" i="5"/>
  <c r="F321" i="5"/>
  <c r="F423" i="5"/>
  <c r="F192" i="5"/>
  <c r="K227" i="4"/>
  <c r="K234" i="4"/>
  <c r="J228" i="4"/>
  <c r="H151" i="4"/>
  <c r="J227" i="4"/>
  <c r="J234" i="4"/>
  <c r="F210" i="4"/>
  <c r="F143" i="4"/>
  <c r="J145" i="4"/>
  <c r="H124" i="3"/>
  <c r="J364" i="10"/>
  <c r="N364" i="10"/>
  <c r="J129" i="10"/>
  <c r="J539" i="10"/>
  <c r="N129" i="10"/>
  <c r="F364" i="10"/>
  <c r="H254" i="9"/>
  <c r="S470" i="9"/>
  <c r="G187" i="9"/>
  <c r="G268" i="9"/>
  <c r="G383" i="9"/>
  <c r="H140" i="8"/>
  <c r="I140" i="8"/>
  <c r="J140" i="8"/>
  <c r="K140" i="8"/>
  <c r="L140" i="8"/>
  <c r="M140" i="8"/>
  <c r="N140" i="8"/>
  <c r="O140" i="8"/>
  <c r="I121" i="7"/>
  <c r="I487" i="7"/>
  <c r="P518" i="6"/>
  <c r="S520" i="6"/>
  <c r="F237" i="4"/>
  <c r="F197" i="10"/>
  <c r="F316" i="10"/>
  <c r="F433" i="10"/>
  <c r="O162" i="10"/>
  <c r="J247" i="9"/>
  <c r="N155" i="9"/>
  <c r="G275" i="6"/>
  <c r="N303" i="6"/>
  <c r="F195" i="6"/>
  <c r="F311" i="6"/>
  <c r="F426" i="6"/>
  <c r="F296" i="6"/>
  <c r="F146" i="6"/>
  <c r="J417" i="6"/>
  <c r="J418" i="6"/>
  <c r="R518" i="6"/>
  <c r="L354" i="6"/>
  <c r="F207" i="10"/>
  <c r="F326" i="10"/>
  <c r="F443" i="10"/>
  <c r="M135" i="10"/>
  <c r="N312" i="10"/>
  <c r="J312" i="10"/>
  <c r="F206" i="10"/>
  <c r="F135" i="10"/>
  <c r="G189" i="10"/>
  <c r="F196" i="10"/>
  <c r="G135" i="10"/>
  <c r="G136" i="10"/>
  <c r="G166" i="10"/>
  <c r="G160" i="9"/>
  <c r="G240" i="9"/>
  <c r="F250" i="7"/>
  <c r="F245" i="7"/>
  <c r="F354" i="7"/>
  <c r="F449" i="7"/>
  <c r="O296" i="6"/>
  <c r="I305" i="10"/>
  <c r="I480" i="10"/>
  <c r="I481" i="10"/>
  <c r="K428" i="10"/>
  <c r="K429" i="10"/>
  <c r="H123" i="10"/>
  <c r="H190" i="10"/>
  <c r="H305" i="10"/>
  <c r="M480" i="10"/>
  <c r="M481" i="10"/>
  <c r="F285" i="10"/>
  <c r="F317" i="10"/>
  <c r="F434" i="10"/>
  <c r="I126" i="9"/>
  <c r="I477" i="9"/>
  <c r="O247" i="9"/>
  <c r="F247" i="9"/>
  <c r="I247" i="9"/>
  <c r="F208" i="9"/>
  <c r="F310" i="9"/>
  <c r="F425" i="9"/>
  <c r="K362" i="9"/>
  <c r="S482" i="7"/>
  <c r="H126" i="7"/>
  <c r="H140" i="7"/>
  <c r="H141" i="7"/>
  <c r="N277" i="7"/>
  <c r="H417" i="6"/>
  <c r="H418" i="6"/>
  <c r="K155" i="6"/>
  <c r="F354" i="6"/>
  <c r="K142" i="6"/>
  <c r="K163" i="6"/>
  <c r="F224" i="6"/>
  <c r="F361" i="6"/>
  <c r="F476" i="6"/>
  <c r="F249" i="4"/>
  <c r="N119" i="4"/>
  <c r="R483" i="4"/>
  <c r="J119" i="4"/>
  <c r="J490" i="4"/>
  <c r="K145" i="4"/>
  <c r="F261" i="10"/>
  <c r="G181" i="9"/>
  <c r="G262" i="9"/>
  <c r="G377" i="9"/>
  <c r="F126" i="9"/>
  <c r="F477" i="9"/>
  <c r="J126" i="9"/>
  <c r="J477" i="9"/>
  <c r="O362" i="9"/>
  <c r="F185" i="8"/>
  <c r="O129" i="8"/>
  <c r="G121" i="7"/>
  <c r="G487" i="7"/>
  <c r="F172" i="7"/>
  <c r="F289" i="7"/>
  <c r="F393" i="7"/>
  <c r="F143" i="7"/>
  <c r="F181" i="7"/>
  <c r="F298" i="7"/>
  <c r="F402" i="7"/>
  <c r="F235" i="7"/>
  <c r="F163" i="7"/>
  <c r="R479" i="7"/>
  <c r="H142" i="6"/>
  <c r="H163" i="6"/>
  <c r="O142" i="6"/>
  <c r="O163" i="6"/>
  <c r="F201" i="6"/>
  <c r="F317" i="6"/>
  <c r="F432" i="6"/>
  <c r="F190" i="6"/>
  <c r="I126" i="6"/>
  <c r="I526" i="6"/>
  <c r="R519" i="6"/>
  <c r="F260" i="6"/>
  <c r="H126" i="6"/>
  <c r="H526" i="6"/>
  <c r="L126" i="6"/>
  <c r="L296" i="6"/>
  <c r="R520" i="6"/>
  <c r="K254" i="5"/>
  <c r="O254" i="5"/>
  <c r="I254" i="5"/>
  <c r="M254" i="5"/>
  <c r="G181" i="5"/>
  <c r="G266" i="5"/>
  <c r="G377" i="5"/>
  <c r="H122" i="5"/>
  <c r="H476" i="5"/>
  <c r="S470" i="5"/>
  <c r="F149" i="4"/>
  <c r="L119" i="4"/>
  <c r="O227" i="4"/>
  <c r="O234" i="4"/>
  <c r="I227" i="4"/>
  <c r="I234" i="4"/>
  <c r="F179" i="4"/>
  <c r="F254" i="4"/>
  <c r="S482" i="4"/>
  <c r="M151" i="4"/>
  <c r="G145" i="4"/>
  <c r="G157" i="4"/>
  <c r="J243" i="4"/>
  <c r="H119" i="4"/>
  <c r="H490" i="4"/>
  <c r="F171" i="4"/>
  <c r="F286" i="4"/>
  <c r="F393" i="4"/>
  <c r="F170" i="4"/>
  <c r="F285" i="4"/>
  <c r="F392" i="4"/>
  <c r="N388" i="3"/>
  <c r="N389" i="3"/>
  <c r="F201" i="10"/>
  <c r="F320" i="10"/>
  <c r="F437" i="10"/>
  <c r="J161" i="10"/>
  <c r="F155" i="10"/>
  <c r="F176" i="10"/>
  <c r="F200" i="10"/>
  <c r="F319" i="10"/>
  <c r="F436" i="10"/>
  <c r="L135" i="10"/>
  <c r="K135" i="10"/>
  <c r="I422" i="10"/>
  <c r="H129" i="10"/>
  <c r="H539" i="10"/>
  <c r="L129" i="10"/>
  <c r="G177" i="9"/>
  <c r="G258" i="9"/>
  <c r="G373" i="9"/>
  <c r="G163" i="9"/>
  <c r="F181" i="9"/>
  <c r="F262" i="9"/>
  <c r="F377" i="9"/>
  <c r="M419" i="9"/>
  <c r="M420" i="9"/>
  <c r="F362" i="9"/>
  <c r="O254" i="9"/>
  <c r="H247" i="9"/>
  <c r="F179" i="9"/>
  <c r="F260" i="9"/>
  <c r="F375" i="9"/>
  <c r="G178" i="9"/>
  <c r="G259" i="9"/>
  <c r="G374" i="9"/>
  <c r="G179" i="9"/>
  <c r="G260" i="9"/>
  <c r="G375" i="9"/>
  <c r="H362" i="9"/>
  <c r="S508" i="8"/>
  <c r="R507" i="8"/>
  <c r="F221" i="6"/>
  <c r="F358" i="6"/>
  <c r="F473" i="6"/>
  <c r="L409" i="6"/>
  <c r="L411" i="6"/>
  <c r="G155" i="6"/>
  <c r="F194" i="6"/>
  <c r="F310" i="6"/>
  <c r="F425" i="6"/>
  <c r="S521" i="6"/>
  <c r="M411" i="6"/>
  <c r="J126" i="6"/>
  <c r="J526" i="6"/>
  <c r="J296" i="6"/>
  <c r="S469" i="5"/>
  <c r="H254" i="5"/>
  <c r="F254" i="5"/>
  <c r="J254" i="5"/>
  <c r="N254" i="5"/>
  <c r="F221" i="5"/>
  <c r="F330" i="5"/>
  <c r="F432" i="5"/>
  <c r="S471" i="5"/>
  <c r="H134" i="10"/>
  <c r="H152" i="10"/>
  <c r="H140" i="10"/>
  <c r="I140" i="10"/>
  <c r="J140" i="10"/>
  <c r="K140" i="10"/>
  <c r="L140" i="10"/>
  <c r="M140" i="10"/>
  <c r="N140" i="10"/>
  <c r="O140" i="10"/>
  <c r="H125" i="10"/>
  <c r="G147" i="9"/>
  <c r="G161" i="9"/>
  <c r="G241" i="9"/>
  <c r="J155" i="9"/>
  <c r="G180" i="9"/>
  <c r="G261" i="9"/>
  <c r="G376" i="9"/>
  <c r="F216" i="9"/>
  <c r="F318" i="9"/>
  <c r="H122" i="9"/>
  <c r="I122" i="9"/>
  <c r="J122" i="9"/>
  <c r="K122" i="9"/>
  <c r="L122" i="9"/>
  <c r="M122" i="9"/>
  <c r="N122" i="9"/>
  <c r="O122" i="9"/>
  <c r="H137" i="9"/>
  <c r="I137" i="9"/>
  <c r="J137" i="9"/>
  <c r="K137" i="9"/>
  <c r="L137" i="9"/>
  <c r="M137" i="9"/>
  <c r="N137" i="9"/>
  <c r="O137" i="9"/>
  <c r="R470" i="9"/>
  <c r="H131" i="9"/>
  <c r="I131" i="9"/>
  <c r="I146" i="9"/>
  <c r="I147" i="9"/>
  <c r="H135" i="9"/>
  <c r="I135" i="9"/>
  <c r="G176" i="9"/>
  <c r="H123" i="8"/>
  <c r="H134" i="8"/>
  <c r="H172" i="8"/>
  <c r="H173" i="8"/>
  <c r="H175" i="8"/>
  <c r="H158" i="8"/>
  <c r="H159" i="8"/>
  <c r="H162" i="8"/>
  <c r="H233" i="8"/>
  <c r="G249" i="8"/>
  <c r="G250" i="8"/>
  <c r="G358" i="8"/>
  <c r="G469" i="8"/>
  <c r="G299" i="8"/>
  <c r="G414" i="8"/>
  <c r="Q506" i="8"/>
  <c r="R506" i="8"/>
  <c r="Q507" i="8"/>
  <c r="H135" i="6"/>
  <c r="I135" i="6"/>
  <c r="J135" i="6"/>
  <c r="K135" i="6"/>
  <c r="L135" i="6"/>
  <c r="M135" i="6"/>
  <c r="N135" i="6"/>
  <c r="O135" i="6"/>
  <c r="G221" i="6"/>
  <c r="G358" i="6"/>
  <c r="G473" i="6"/>
  <c r="G192" i="6"/>
  <c r="G308" i="6"/>
  <c r="S519" i="6"/>
  <c r="G296" i="6"/>
  <c r="O303" i="6"/>
  <c r="F230" i="6"/>
  <c r="G354" i="6"/>
  <c r="F222" i="6"/>
  <c r="F359" i="6"/>
  <c r="F474" i="6"/>
  <c r="F231" i="6"/>
  <c r="F368" i="6"/>
  <c r="F483" i="6"/>
  <c r="K417" i="6"/>
  <c r="K418" i="6"/>
  <c r="F276" i="6"/>
  <c r="F220" i="6"/>
  <c r="G170" i="6"/>
  <c r="G122" i="5"/>
  <c r="G476" i="5"/>
  <c r="O122" i="5"/>
  <c r="F210" i="5"/>
  <c r="F215" i="5"/>
  <c r="F324" i="5"/>
  <c r="F426" i="5"/>
  <c r="R470" i="5"/>
  <c r="S468" i="5"/>
  <c r="G214" i="5"/>
  <c r="G323" i="5"/>
  <c r="G425" i="5"/>
  <c r="K122" i="5"/>
  <c r="H128" i="4"/>
  <c r="I128" i="4"/>
  <c r="J128" i="4"/>
  <c r="K128" i="4"/>
  <c r="L128" i="4"/>
  <c r="M128" i="4"/>
  <c r="N128" i="4"/>
  <c r="O128" i="4"/>
  <c r="Q444" i="3"/>
  <c r="O281" i="3"/>
  <c r="R443" i="3"/>
  <c r="H135" i="10"/>
  <c r="J135" i="10"/>
  <c r="M129" i="10"/>
  <c r="K129" i="10"/>
  <c r="N472" i="10"/>
  <c r="N474" i="10"/>
  <c r="Q532" i="10"/>
  <c r="F129" i="10"/>
  <c r="F539" i="10"/>
  <c r="L428" i="10"/>
  <c r="L429" i="10"/>
  <c r="J362" i="9"/>
  <c r="K155" i="9"/>
  <c r="F155" i="9"/>
  <c r="F169" i="9"/>
  <c r="G186" i="9"/>
  <c r="G267" i="9"/>
  <c r="G382" i="9"/>
  <c r="O155" i="9"/>
  <c r="N126" i="9"/>
  <c r="N362" i="9"/>
  <c r="G362" i="9"/>
  <c r="M126" i="9"/>
  <c r="G419" i="9"/>
  <c r="G420" i="9"/>
  <c r="K368" i="9"/>
  <c r="K369" i="9"/>
  <c r="R471" i="9"/>
  <c r="P469" i="9"/>
  <c r="H155" i="9"/>
  <c r="H125" i="8"/>
  <c r="I125" i="8"/>
  <c r="J125" i="8"/>
  <c r="K125" i="8"/>
  <c r="L125" i="8"/>
  <c r="M125" i="8"/>
  <c r="N125" i="8"/>
  <c r="O125" i="8"/>
  <c r="I134" i="8"/>
  <c r="I172" i="8"/>
  <c r="J277" i="7"/>
  <c r="R481" i="7"/>
  <c r="G123" i="6"/>
  <c r="H122" i="6"/>
  <c r="S518" i="6"/>
  <c r="I296" i="6"/>
  <c r="L142" i="6"/>
  <c r="L163" i="6"/>
  <c r="G224" i="6"/>
  <c r="G361" i="6"/>
  <c r="G476" i="6"/>
  <c r="G193" i="6"/>
  <c r="G309" i="6"/>
  <c r="G370" i="10"/>
  <c r="G487" i="10"/>
  <c r="G142" i="6"/>
  <c r="F192" i="6"/>
  <c r="F149" i="6"/>
  <c r="I411" i="6"/>
  <c r="O460" i="6"/>
  <c r="O462" i="6"/>
  <c r="N354" i="6"/>
  <c r="F225" i="6"/>
  <c r="F362" i="6"/>
  <c r="F477" i="6"/>
  <c r="G222" i="6"/>
  <c r="G359" i="6"/>
  <c r="G474" i="6"/>
  <c r="G191" i="6"/>
  <c r="G307" i="6"/>
  <c r="H137" i="6"/>
  <c r="I137" i="6"/>
  <c r="J137" i="6"/>
  <c r="K137" i="6"/>
  <c r="L137" i="6"/>
  <c r="M137" i="6"/>
  <c r="N137" i="6"/>
  <c r="O137" i="6"/>
  <c r="J409" i="6"/>
  <c r="J411" i="6"/>
  <c r="K296" i="6"/>
  <c r="G220" i="6"/>
  <c r="H296" i="6"/>
  <c r="Q519" i="6"/>
  <c r="H129" i="5"/>
  <c r="H158" i="5"/>
  <c r="G158" i="5"/>
  <c r="G329" i="5"/>
  <c r="G431" i="5"/>
  <c r="F388" i="5"/>
  <c r="G182" i="5"/>
  <c r="G267" i="5"/>
  <c r="G378" i="5"/>
  <c r="G179" i="5"/>
  <c r="R468" i="5"/>
  <c r="G119" i="5"/>
  <c r="G213" i="5"/>
  <c r="G322" i="5"/>
  <c r="G424" i="5"/>
  <c r="G210" i="5"/>
  <c r="G221" i="5"/>
  <c r="G330" i="5"/>
  <c r="G432" i="5"/>
  <c r="P468" i="5"/>
  <c r="Q468" i="5"/>
  <c r="G274" i="5"/>
  <c r="G385" i="5"/>
  <c r="G180" i="5"/>
  <c r="G265" i="5"/>
  <c r="G376" i="5"/>
  <c r="G215" i="5"/>
  <c r="G324" i="5"/>
  <c r="G426" i="5"/>
  <c r="G190" i="5"/>
  <c r="G275" i="5"/>
  <c r="G386" i="5"/>
  <c r="M122" i="5"/>
  <c r="J122" i="5"/>
  <c r="J476" i="5"/>
  <c r="H115" i="4"/>
  <c r="I115" i="4"/>
  <c r="J115" i="4"/>
  <c r="K115" i="4"/>
  <c r="L115" i="4"/>
  <c r="M115" i="4"/>
  <c r="N115" i="4"/>
  <c r="O115" i="4"/>
  <c r="H124" i="4"/>
  <c r="I124" i="4"/>
  <c r="H130" i="4"/>
  <c r="I130" i="4"/>
  <c r="J130" i="4"/>
  <c r="K130" i="4"/>
  <c r="L130" i="4"/>
  <c r="M130" i="4"/>
  <c r="N130" i="4"/>
  <c r="O130" i="4"/>
  <c r="I119" i="4"/>
  <c r="I490" i="4"/>
  <c r="M119" i="4"/>
  <c r="P482" i="4"/>
  <c r="G161" i="3"/>
  <c r="F115" i="3"/>
  <c r="F451" i="3"/>
  <c r="J115" i="3"/>
  <c r="J451" i="3"/>
  <c r="N115" i="3"/>
  <c r="L388" i="3"/>
  <c r="L389" i="3"/>
  <c r="I115" i="3"/>
  <c r="I451" i="3"/>
  <c r="M115" i="3"/>
  <c r="S532" i="10"/>
  <c r="S534" i="10"/>
  <c r="S531" i="10"/>
  <c r="N161" i="10"/>
  <c r="K161" i="10"/>
  <c r="L161" i="10"/>
  <c r="I161" i="10"/>
  <c r="M161" i="10"/>
  <c r="H161" i="10"/>
  <c r="F161" i="10"/>
  <c r="F182" i="10"/>
  <c r="G126" i="10"/>
  <c r="G283" i="10"/>
  <c r="G284" i="10"/>
  <c r="G268" i="10"/>
  <c r="G269" i="10"/>
  <c r="G190" i="10"/>
  <c r="G206" i="10"/>
  <c r="K472" i="10"/>
  <c r="K474" i="10"/>
  <c r="G261" i="10"/>
  <c r="G262" i="10"/>
  <c r="H138" i="10"/>
  <c r="G198" i="10"/>
  <c r="G260" i="10"/>
  <c r="G197" i="10"/>
  <c r="G258" i="10"/>
  <c r="G263" i="10"/>
  <c r="S533" i="10"/>
  <c r="R533" i="10"/>
  <c r="O421" i="10"/>
  <c r="O422" i="10"/>
  <c r="O305" i="10"/>
  <c r="I428" i="10"/>
  <c r="I429" i="10"/>
  <c r="I312" i="10"/>
  <c r="O312" i="10"/>
  <c r="O428" i="10"/>
  <c r="O429" i="10"/>
  <c r="G129" i="10"/>
  <c r="G539" i="10"/>
  <c r="G202" i="10"/>
  <c r="G155" i="10"/>
  <c r="G176" i="10"/>
  <c r="G211" i="10"/>
  <c r="G201" i="10"/>
  <c r="G207" i="10"/>
  <c r="G196" i="10"/>
  <c r="G152" i="10"/>
  <c r="G199" i="10"/>
  <c r="F321" i="10"/>
  <c r="F438" i="10"/>
  <c r="F421" i="10"/>
  <c r="F422" i="10"/>
  <c r="F305" i="10"/>
  <c r="F312" i="10"/>
  <c r="F428" i="10"/>
  <c r="F429" i="10"/>
  <c r="I472" i="10"/>
  <c r="I474" i="10"/>
  <c r="O129" i="10"/>
  <c r="I129" i="10"/>
  <c r="I539" i="10"/>
  <c r="M420" i="10"/>
  <c r="M422" i="10"/>
  <c r="M305" i="10"/>
  <c r="G421" i="10"/>
  <c r="G422" i="10"/>
  <c r="G305" i="10"/>
  <c r="J305" i="10"/>
  <c r="F472" i="10"/>
  <c r="F474" i="10"/>
  <c r="K364" i="10"/>
  <c r="K480" i="10"/>
  <c r="K481" i="10"/>
  <c r="Q531" i="10"/>
  <c r="R531" i="10"/>
  <c r="P531" i="10"/>
  <c r="F166" i="10"/>
  <c r="F260" i="10"/>
  <c r="F263" i="10"/>
  <c r="F262" i="10"/>
  <c r="F258" i="10"/>
  <c r="F265" i="10"/>
  <c r="F269" i="10"/>
  <c r="G175" i="10"/>
  <c r="K421" i="10"/>
  <c r="K422" i="10"/>
  <c r="K305" i="10"/>
  <c r="L364" i="10"/>
  <c r="L480" i="10"/>
  <c r="L481" i="10"/>
  <c r="G233" i="10"/>
  <c r="L305" i="10"/>
  <c r="Q470" i="9"/>
  <c r="N247" i="9"/>
  <c r="F211" i="9"/>
  <c r="F313" i="9"/>
  <c r="F428" i="9"/>
  <c r="I305" i="9"/>
  <c r="F206" i="9"/>
  <c r="L126" i="9"/>
  <c r="L155" i="9"/>
  <c r="F305" i="9"/>
  <c r="L362" i="9"/>
  <c r="R469" i="9"/>
  <c r="G247" i="9"/>
  <c r="K141" i="9"/>
  <c r="F210" i="9"/>
  <c r="F312" i="9"/>
  <c r="F427" i="9"/>
  <c r="M247" i="9"/>
  <c r="N368" i="9"/>
  <c r="N369" i="9"/>
  <c r="G254" i="9"/>
  <c r="N419" i="9"/>
  <c r="N420" i="9"/>
  <c r="K305" i="9"/>
  <c r="L247" i="9"/>
  <c r="L254" i="9"/>
  <c r="F207" i="9"/>
  <c r="F309" i="9"/>
  <c r="F424" i="9"/>
  <c r="G141" i="9"/>
  <c r="F156" i="9"/>
  <c r="F170" i="9"/>
  <c r="F217" i="9"/>
  <c r="F319" i="9"/>
  <c r="F434" i="9"/>
  <c r="F209" i="9"/>
  <c r="F311" i="9"/>
  <c r="F426" i="9"/>
  <c r="H126" i="9"/>
  <c r="H477" i="9"/>
  <c r="G126" i="9"/>
  <c r="G477" i="9"/>
  <c r="K126" i="9"/>
  <c r="O126" i="9"/>
  <c r="G233" i="7"/>
  <c r="G231" i="7"/>
  <c r="G245" i="7"/>
  <c r="F247" i="7"/>
  <c r="F234" i="7"/>
  <c r="F147" i="7"/>
  <c r="H121" i="7"/>
  <c r="H487" i="7"/>
  <c r="F202" i="7"/>
  <c r="F340" i="7"/>
  <c r="F435" i="7"/>
  <c r="P479" i="7"/>
  <c r="S479" i="7"/>
  <c r="F233" i="7"/>
  <c r="F231" i="7"/>
  <c r="F240" i="7"/>
  <c r="F241" i="7"/>
  <c r="F200" i="7"/>
  <c r="F212" i="7"/>
  <c r="F248" i="7"/>
  <c r="F246" i="7"/>
  <c r="F232" i="7"/>
  <c r="K121" i="7"/>
  <c r="O121" i="7"/>
  <c r="F201" i="7"/>
  <c r="F339" i="7"/>
  <c r="F434" i="7"/>
  <c r="F348" i="7"/>
  <c r="F150" i="7"/>
  <c r="F164" i="7"/>
  <c r="F205" i="7"/>
  <c r="F343" i="7"/>
  <c r="F438" i="7"/>
  <c r="K277" i="7"/>
  <c r="K411" i="6"/>
  <c r="H133" i="6"/>
  <c r="I133" i="6"/>
  <c r="J133" i="6"/>
  <c r="G153" i="6"/>
  <c r="G154" i="6"/>
  <c r="G411" i="6"/>
  <c r="H131" i="6"/>
  <c r="I131" i="6"/>
  <c r="G146" i="6"/>
  <c r="G167" i="6"/>
  <c r="F252" i="6"/>
  <c r="M126" i="6"/>
  <c r="G126" i="6"/>
  <c r="G526" i="6"/>
  <c r="O126" i="6"/>
  <c r="H411" i="6"/>
  <c r="N296" i="6"/>
  <c r="I460" i="6"/>
  <c r="I462" i="6"/>
  <c r="G195" i="6"/>
  <c r="G311" i="6"/>
  <c r="G320" i="10"/>
  <c r="G437" i="10"/>
  <c r="K126" i="6"/>
  <c r="N126" i="6"/>
  <c r="F169" i="6"/>
  <c r="O409" i="6"/>
  <c r="O411" i="6"/>
  <c r="J468" i="6"/>
  <c r="J469" i="6"/>
  <c r="F126" i="6"/>
  <c r="I417" i="6"/>
  <c r="I418" i="6"/>
  <c r="K460" i="6"/>
  <c r="K462" i="6"/>
  <c r="H468" i="6"/>
  <c r="H469" i="6"/>
  <c r="F222" i="5"/>
  <c r="F331" i="5"/>
  <c r="F433" i="5"/>
  <c r="H118" i="5"/>
  <c r="F346" i="4"/>
  <c r="F447" i="4"/>
  <c r="F449" i="4"/>
  <c r="F338" i="4"/>
  <c r="G143" i="4"/>
  <c r="G144" i="4"/>
  <c r="G156" i="4"/>
  <c r="K228" i="4"/>
  <c r="G246" i="4"/>
  <c r="G232" i="4"/>
  <c r="Q483" i="4"/>
  <c r="N228" i="4"/>
  <c r="H228" i="4"/>
  <c r="G238" i="4"/>
  <c r="N227" i="4"/>
  <c r="N234" i="4"/>
  <c r="H227" i="4"/>
  <c r="H234" i="4"/>
  <c r="L151" i="4"/>
  <c r="G142" i="3"/>
  <c r="F206" i="3"/>
  <c r="F198" i="3"/>
  <c r="F293" i="3"/>
  <c r="F401" i="3"/>
  <c r="H111" i="3"/>
  <c r="H115" i="3"/>
  <c r="H451" i="3"/>
  <c r="L115" i="3"/>
  <c r="K388" i="3"/>
  <c r="K389" i="3"/>
  <c r="G281" i="3"/>
  <c r="R445" i="3"/>
  <c r="G206" i="3"/>
  <c r="G301" i="3"/>
  <c r="G409" i="3"/>
  <c r="G115" i="3"/>
  <c r="G451" i="3"/>
  <c r="K115" i="3"/>
  <c r="O115" i="3"/>
  <c r="H388" i="3"/>
  <c r="H389" i="3"/>
  <c r="G264" i="10"/>
  <c r="G200" i="10"/>
  <c r="G259" i="10"/>
  <c r="H422" i="10"/>
  <c r="G161" i="10"/>
  <c r="G182" i="10"/>
  <c r="I135" i="10"/>
  <c r="N135" i="10"/>
  <c r="M428" i="10"/>
  <c r="M429" i="10"/>
  <c r="J472" i="10"/>
  <c r="J474" i="10"/>
  <c r="H481" i="10"/>
  <c r="O480" i="10"/>
  <c r="O481" i="10"/>
  <c r="F233" i="10"/>
  <c r="F199" i="10"/>
  <c r="F318" i="10"/>
  <c r="F435" i="10"/>
  <c r="J421" i="10"/>
  <c r="J422" i="10"/>
  <c r="L421" i="10"/>
  <c r="L422" i="10"/>
  <c r="G480" i="10"/>
  <c r="G481" i="10"/>
  <c r="F152" i="10"/>
  <c r="G162" i="9"/>
  <c r="G123" i="9"/>
  <c r="H120" i="9"/>
  <c r="G182" i="9"/>
  <c r="G263" i="9"/>
  <c r="G378" i="9"/>
  <c r="O141" i="9"/>
  <c r="L141" i="9"/>
  <c r="M360" i="9"/>
  <c r="M362" i="9"/>
  <c r="F368" i="9"/>
  <c r="F369" i="9"/>
  <c r="J368" i="9"/>
  <c r="J369" i="9"/>
  <c r="J419" i="9"/>
  <c r="J420" i="9"/>
  <c r="O419" i="9"/>
  <c r="O420" i="9"/>
  <c r="F212" i="9"/>
  <c r="F314" i="9"/>
  <c r="F429" i="9"/>
  <c r="H141" i="9"/>
  <c r="M141" i="9"/>
  <c r="F146" i="9"/>
  <c r="F180" i="9"/>
  <c r="F261" i="9"/>
  <c r="F376" i="9"/>
  <c r="F186" i="9"/>
  <c r="G212" i="9"/>
  <c r="G314" i="9"/>
  <c r="G429" i="9"/>
  <c r="L142" i="9"/>
  <c r="I141" i="9"/>
  <c r="N141" i="9"/>
  <c r="F178" i="9"/>
  <c r="F182" i="9"/>
  <c r="F263" i="9"/>
  <c r="F378" i="9"/>
  <c r="I362" i="9"/>
  <c r="G217" i="8"/>
  <c r="G218" i="8"/>
  <c r="G304" i="8"/>
  <c r="G419" i="8"/>
  <c r="G126" i="8"/>
  <c r="F187" i="8"/>
  <c r="G187" i="8"/>
  <c r="G184" i="8"/>
  <c r="G181" i="7"/>
  <c r="G298" i="7"/>
  <c r="G402" i="7"/>
  <c r="G293" i="7"/>
  <c r="G397" i="7"/>
  <c r="G255" i="7"/>
  <c r="G246" i="7"/>
  <c r="G256" i="7"/>
  <c r="H115" i="7"/>
  <c r="G248" i="7"/>
  <c r="G211" i="7"/>
  <c r="G349" i="7"/>
  <c r="G444" i="7"/>
  <c r="G118" i="7"/>
  <c r="G250" i="7"/>
  <c r="G240" i="7"/>
  <c r="G247" i="7"/>
  <c r="G180" i="7"/>
  <c r="G210" i="7"/>
  <c r="H132" i="7"/>
  <c r="I132" i="7"/>
  <c r="J132" i="7"/>
  <c r="K132" i="7"/>
  <c r="L132" i="7"/>
  <c r="M132" i="7"/>
  <c r="N132" i="7"/>
  <c r="O132" i="7"/>
  <c r="G230" i="7"/>
  <c r="G171" i="7"/>
  <c r="G288" i="7"/>
  <c r="G392" i="7"/>
  <c r="H130" i="7"/>
  <c r="G174" i="7"/>
  <c r="G291" i="7"/>
  <c r="G395" i="7"/>
  <c r="G175" i="7"/>
  <c r="G292" i="7"/>
  <c r="G396" i="7"/>
  <c r="G234" i="7"/>
  <c r="G200" i="7"/>
  <c r="G205" i="7"/>
  <c r="G343" i="7"/>
  <c r="G438" i="7"/>
  <c r="G172" i="7"/>
  <c r="G289" i="7"/>
  <c r="G393" i="7"/>
  <c r="G170" i="7"/>
  <c r="G236" i="7"/>
  <c r="G173" i="7"/>
  <c r="G290" i="7"/>
  <c r="G394" i="7"/>
  <c r="G163" i="7"/>
  <c r="N150" i="7"/>
  <c r="H150" i="7"/>
  <c r="H128" i="7"/>
  <c r="G147" i="7"/>
  <c r="F204" i="7"/>
  <c r="F342" i="7"/>
  <c r="G204" i="7"/>
  <c r="G342" i="7"/>
  <c r="G437" i="7"/>
  <c r="G201" i="7"/>
  <c r="G339" i="7"/>
  <c r="G434" i="7"/>
  <c r="F257" i="7"/>
  <c r="G202" i="7"/>
  <c r="G340" i="7"/>
  <c r="G435" i="7"/>
  <c r="G150" i="7"/>
  <c r="G164" i="7"/>
  <c r="G140" i="7"/>
  <c r="G241" i="7"/>
  <c r="G232" i="7"/>
  <c r="G235" i="7"/>
  <c r="F180" i="7"/>
  <c r="F182" i="7"/>
  <c r="F175" i="7"/>
  <c r="F292" i="7"/>
  <c r="F396" i="7"/>
  <c r="F174" i="7"/>
  <c r="F291" i="7"/>
  <c r="F395" i="7"/>
  <c r="F140" i="7"/>
  <c r="F141" i="7"/>
  <c r="F173" i="7"/>
  <c r="F290" i="7"/>
  <c r="F394" i="7"/>
  <c r="S480" i="7"/>
  <c r="Q480" i="7"/>
  <c r="Q479" i="7"/>
  <c r="S481" i="7"/>
  <c r="G206" i="7"/>
  <c r="G344" i="7"/>
  <c r="G439" i="7"/>
  <c r="G225" i="6"/>
  <c r="G362" i="6"/>
  <c r="G477" i="6"/>
  <c r="G200" i="6"/>
  <c r="G201" i="6"/>
  <c r="G317" i="6"/>
  <c r="F255" i="6"/>
  <c r="F261" i="6"/>
  <c r="F254" i="6"/>
  <c r="F250" i="6"/>
  <c r="H120" i="6"/>
  <c r="G274" i="6"/>
  <c r="G312" i="6"/>
  <c r="G190" i="6"/>
  <c r="G230" i="6"/>
  <c r="G194" i="6"/>
  <c r="G310" i="6"/>
  <c r="F251" i="6"/>
  <c r="F163" i="6"/>
  <c r="F90" i="6"/>
  <c r="F70" i="6"/>
  <c r="J142" i="6"/>
  <c r="G169" i="6"/>
  <c r="F153" i="6"/>
  <c r="I155" i="6"/>
  <c r="N155" i="6"/>
  <c r="G226" i="6"/>
  <c r="G363" i="6"/>
  <c r="G478" i="6"/>
  <c r="M142" i="6"/>
  <c r="M163" i="6"/>
  <c r="O155" i="6"/>
  <c r="F160" i="6"/>
  <c r="F161" i="6"/>
  <c r="N142" i="6"/>
  <c r="J155" i="6"/>
  <c r="M417" i="6"/>
  <c r="M418" i="6"/>
  <c r="I468" i="6"/>
  <c r="I469" i="6"/>
  <c r="M468" i="6"/>
  <c r="M469" i="6"/>
  <c r="F256" i="6"/>
  <c r="I88" i="6"/>
  <c r="F155" i="6"/>
  <c r="L155" i="6"/>
  <c r="G256" i="6"/>
  <c r="H155" i="6"/>
  <c r="H156" i="6"/>
  <c r="F246" i="5"/>
  <c r="F431" i="5"/>
  <c r="G222" i="5"/>
  <c r="G331" i="5"/>
  <c r="G280" i="5"/>
  <c r="G270" i="5"/>
  <c r="G381" i="5"/>
  <c r="G191" i="5"/>
  <c r="G146" i="5"/>
  <c r="H127" i="5"/>
  <c r="F277" i="5"/>
  <c r="G212" i="5"/>
  <c r="H131" i="5"/>
  <c r="F142" i="5"/>
  <c r="G142" i="5"/>
  <c r="H142" i="5"/>
  <c r="I142" i="5"/>
  <c r="J142" i="5"/>
  <c r="K142" i="5"/>
  <c r="L142" i="5"/>
  <c r="M142" i="5"/>
  <c r="N142" i="5"/>
  <c r="O142" i="5"/>
  <c r="O301" i="5"/>
  <c r="O412" i="5"/>
  <c r="O303" i="5"/>
  <c r="O414" i="5"/>
  <c r="F234" i="4"/>
  <c r="G169" i="4"/>
  <c r="G199" i="4"/>
  <c r="G335" i="4"/>
  <c r="G438" i="4"/>
  <c r="G233" i="4"/>
  <c r="G179" i="4"/>
  <c r="G180" i="4"/>
  <c r="G295" i="4"/>
  <c r="G402" i="4"/>
  <c r="G202" i="4"/>
  <c r="G338" i="4"/>
  <c r="G441" i="4"/>
  <c r="G174" i="4"/>
  <c r="G289" i="4"/>
  <c r="G396" i="4"/>
  <c r="G170" i="4"/>
  <c r="G285" i="4"/>
  <c r="G392" i="4"/>
  <c r="G171" i="4"/>
  <c r="G286" i="4"/>
  <c r="G393" i="4"/>
  <c r="G116" i="4"/>
  <c r="G350" i="4"/>
  <c r="G453" i="4"/>
  <c r="G242" i="4"/>
  <c r="G203" i="4"/>
  <c r="G339" i="4"/>
  <c r="G442" i="4"/>
  <c r="G237" i="4"/>
  <c r="G173" i="4"/>
  <c r="G288" i="4"/>
  <c r="G395" i="4"/>
  <c r="G198" i="4"/>
  <c r="G208" i="4"/>
  <c r="G252" i="4"/>
  <c r="H113" i="4"/>
  <c r="G209" i="4"/>
  <c r="G345" i="4"/>
  <c r="G448" i="4"/>
  <c r="G200" i="4"/>
  <c r="G336" i="4"/>
  <c r="G439" i="4"/>
  <c r="G290" i="4"/>
  <c r="G397" i="4"/>
  <c r="G229" i="4"/>
  <c r="G231" i="4"/>
  <c r="G245" i="4"/>
  <c r="G247" i="4"/>
  <c r="G162" i="3"/>
  <c r="H109" i="3"/>
  <c r="G201" i="3"/>
  <c r="G296" i="3"/>
  <c r="G404" i="3"/>
  <c r="G198" i="3"/>
  <c r="G293" i="3"/>
  <c r="G401" i="3"/>
  <c r="G199" i="3"/>
  <c r="G294" i="3"/>
  <c r="G402" i="3"/>
  <c r="G112" i="3"/>
  <c r="G207" i="3"/>
  <c r="G302" i="3"/>
  <c r="G410" i="3"/>
  <c r="G196" i="3"/>
  <c r="G200" i="3"/>
  <c r="G295" i="3"/>
  <c r="G403" i="3"/>
  <c r="F160" i="3"/>
  <c r="G202" i="3"/>
  <c r="G297" i="3"/>
  <c r="G405" i="3"/>
  <c r="M281" i="3"/>
  <c r="F196" i="3"/>
  <c r="F302" i="3"/>
  <c r="F410" i="3"/>
  <c r="F201" i="3"/>
  <c r="F296" i="3"/>
  <c r="F404" i="3"/>
  <c r="F292" i="3"/>
  <c r="F400" i="3"/>
  <c r="C214" i="11"/>
  <c r="G214" i="11"/>
  <c r="C231" i="11"/>
  <c r="G231" i="11"/>
  <c r="C136" i="11"/>
  <c r="G136" i="11"/>
  <c r="C127" i="11"/>
  <c r="C128" i="11"/>
  <c r="C143" i="11"/>
  <c r="C144" i="11"/>
  <c r="F253" i="6"/>
  <c r="G169" i="9"/>
  <c r="I70" i="9"/>
  <c r="H133" i="9"/>
  <c r="F223" i="6"/>
  <c r="G223" i="6"/>
  <c r="F137" i="11"/>
  <c r="G137" i="11"/>
  <c r="C242" i="11"/>
  <c r="C244" i="11"/>
  <c r="F178" i="11"/>
  <c r="F188" i="11"/>
  <c r="G188" i="11"/>
  <c r="C171" i="11"/>
  <c r="C248" i="11"/>
  <c r="G248" i="11"/>
  <c r="C232" i="11"/>
  <c r="C152" i="11"/>
  <c r="G152" i="11"/>
  <c r="F153" i="11"/>
  <c r="G153" i="11"/>
  <c r="C170" i="11"/>
  <c r="G170" i="11"/>
  <c r="C121" i="11"/>
  <c r="C205" i="11"/>
  <c r="C206" i="11"/>
  <c r="C208" i="11"/>
  <c r="K503" i="10"/>
  <c r="I77" i="8"/>
  <c r="F201" i="8"/>
  <c r="F254" i="8"/>
  <c r="F200" i="8"/>
  <c r="G201" i="8"/>
  <c r="I125" i="10"/>
  <c r="I122" i="6"/>
  <c r="G211" i="8"/>
  <c r="G297" i="8"/>
  <c r="G412" i="8"/>
  <c r="G208" i="8"/>
  <c r="G294" i="8"/>
  <c r="G409" i="8"/>
  <c r="I111" i="3"/>
  <c r="F487" i="7"/>
  <c r="F122" i="7"/>
  <c r="G241" i="8"/>
  <c r="G349" i="8"/>
  <c r="G460" i="8"/>
  <c r="G240" i="8"/>
  <c r="G348" i="8"/>
  <c r="G459" i="8"/>
  <c r="H234" i="8"/>
  <c r="H229" i="8"/>
  <c r="F198" i="8"/>
  <c r="H194" i="8"/>
  <c r="H222" i="8"/>
  <c r="H308" i="8"/>
  <c r="H200" i="8"/>
  <c r="H193" i="8"/>
  <c r="H192" i="8"/>
  <c r="H201" i="8"/>
  <c r="H191" i="8"/>
  <c r="G239" i="8"/>
  <c r="G347" i="8"/>
  <c r="G242" i="8"/>
  <c r="G350" i="8"/>
  <c r="G461" i="8"/>
  <c r="G210" i="8"/>
  <c r="G296" i="8"/>
  <c r="G212" i="8"/>
  <c r="G298" i="8"/>
  <c r="G413" i="8"/>
  <c r="G243" i="8"/>
  <c r="G351" i="8"/>
  <c r="G462" i="8"/>
  <c r="H138" i="8"/>
  <c r="G245" i="8"/>
  <c r="G353" i="8"/>
  <c r="G464" i="8"/>
  <c r="G207" i="8"/>
  <c r="G293" i="8"/>
  <c r="F166" i="8"/>
  <c r="F191" i="8"/>
  <c r="I158" i="8"/>
  <c r="I178" i="8"/>
  <c r="I179" i="8"/>
  <c r="F179" i="8"/>
  <c r="F181" i="8"/>
  <c r="H178" i="8"/>
  <c r="H179" i="8"/>
  <c r="G165" i="8"/>
  <c r="I165" i="8"/>
  <c r="H165" i="8"/>
  <c r="H227" i="8"/>
  <c r="H313" i="8"/>
  <c r="H428" i="8"/>
  <c r="H259" i="8"/>
  <c r="H367" i="8"/>
  <c r="H478" i="8"/>
  <c r="G253" i="3"/>
  <c r="G180" i="3"/>
  <c r="H150" i="3"/>
  <c r="H178" i="3"/>
  <c r="H253" i="3"/>
  <c r="H179" i="3"/>
  <c r="H183" i="3"/>
  <c r="H184" i="3"/>
  <c r="H259" i="3"/>
  <c r="H367" i="3"/>
  <c r="H148" i="3"/>
  <c r="H149" i="3"/>
  <c r="H228" i="3"/>
  <c r="H185" i="3"/>
  <c r="H260" i="3"/>
  <c r="H368" i="3"/>
  <c r="H190" i="3"/>
  <c r="G227" i="3"/>
  <c r="G151" i="3"/>
  <c r="H191" i="3"/>
  <c r="H266" i="3"/>
  <c r="H374" i="3"/>
  <c r="I124" i="3"/>
  <c r="H169" i="3"/>
  <c r="H244" i="3"/>
  <c r="H352" i="3"/>
  <c r="H168" i="3"/>
  <c r="H173" i="3"/>
  <c r="H248" i="3"/>
  <c r="H356" i="3"/>
  <c r="H170" i="3"/>
  <c r="H245" i="3"/>
  <c r="H353" i="3"/>
  <c r="H171" i="3"/>
  <c r="H246" i="3"/>
  <c r="H354" i="3"/>
  <c r="H172" i="3"/>
  <c r="H247" i="3"/>
  <c r="H355" i="3"/>
  <c r="H174" i="3"/>
  <c r="H249" i="3"/>
  <c r="H357" i="3"/>
  <c r="I122" i="3"/>
  <c r="H197" i="3"/>
  <c r="H292" i="3"/>
  <c r="H400" i="3"/>
  <c r="G243" i="3"/>
  <c r="G175" i="3"/>
  <c r="F266" i="3"/>
  <c r="F192" i="3"/>
  <c r="G265" i="3"/>
  <c r="G192" i="3"/>
  <c r="G258" i="3"/>
  <c r="H264" i="10"/>
  <c r="H212" i="9"/>
  <c r="H314" i="9"/>
  <c r="H429" i="9"/>
  <c r="F154" i="9"/>
  <c r="F168" i="9"/>
  <c r="F292" i="9"/>
  <c r="H182" i="9"/>
  <c r="H263" i="9"/>
  <c r="H378" i="9"/>
  <c r="G384" i="9"/>
  <c r="H195" i="6"/>
  <c r="H311" i="6"/>
  <c r="H426" i="6"/>
  <c r="G197" i="6"/>
  <c r="H213" i="3"/>
  <c r="H308" i="3"/>
  <c r="H416" i="3"/>
  <c r="F249" i="5"/>
  <c r="F256" i="5"/>
  <c r="F123" i="5"/>
  <c r="G130" i="8"/>
  <c r="G260" i="8"/>
  <c r="G368" i="8"/>
  <c r="G479" i="8"/>
  <c r="F214" i="8"/>
  <c r="F257" i="6"/>
  <c r="G357" i="6"/>
  <c r="G227" i="6"/>
  <c r="G205" i="6"/>
  <c r="G321" i="6"/>
  <c r="G266" i="6"/>
  <c r="H236" i="6"/>
  <c r="H373" i="6"/>
  <c r="H488" i="6"/>
  <c r="F127" i="6"/>
  <c r="F526" i="6"/>
  <c r="F357" i="6"/>
  <c r="F227" i="6"/>
  <c r="F306" i="6"/>
  <c r="F197" i="6"/>
  <c r="H266" i="6"/>
  <c r="H206" i="6"/>
  <c r="H322" i="6"/>
  <c r="H437" i="6"/>
  <c r="G264" i="5"/>
  <c r="G186" i="5"/>
  <c r="G319" i="5"/>
  <c r="G217" i="5"/>
  <c r="F319" i="5"/>
  <c r="F217" i="5"/>
  <c r="O302" i="5"/>
  <c r="O413" i="5"/>
  <c r="O247" i="5"/>
  <c r="O367" i="5"/>
  <c r="F375" i="5"/>
  <c r="F382" i="5"/>
  <c r="F271" i="5"/>
  <c r="G203" i="3"/>
  <c r="F203" i="3"/>
  <c r="H211" i="3"/>
  <c r="H212" i="3"/>
  <c r="H307" i="3"/>
  <c r="H415" i="3"/>
  <c r="H273" i="10"/>
  <c r="H206" i="10"/>
  <c r="H274" i="10"/>
  <c r="G243" i="10"/>
  <c r="G265" i="10"/>
  <c r="G203" i="10"/>
  <c r="G273" i="10"/>
  <c r="M162" i="10"/>
  <c r="F211" i="10"/>
  <c r="F330" i="10"/>
  <c r="F315" i="10"/>
  <c r="F203" i="10"/>
  <c r="H243" i="10"/>
  <c r="H383" i="10"/>
  <c r="H500" i="10"/>
  <c r="H212" i="10"/>
  <c r="F221" i="9"/>
  <c r="F323" i="9"/>
  <c r="K156" i="9"/>
  <c r="F308" i="9"/>
  <c r="F213" i="9"/>
  <c r="G257" i="9"/>
  <c r="G183" i="9"/>
  <c r="F191" i="9"/>
  <c r="F272" i="9"/>
  <c r="G206" i="9"/>
  <c r="G191" i="9"/>
  <c r="G272" i="9"/>
  <c r="H192" i="9"/>
  <c r="H273" i="9"/>
  <c r="H388" i="9"/>
  <c r="G192" i="9"/>
  <c r="G273" i="9"/>
  <c r="G388" i="9"/>
  <c r="F273" i="9"/>
  <c r="F388" i="9"/>
  <c r="F257" i="9"/>
  <c r="F183" i="9"/>
  <c r="F130" i="8"/>
  <c r="F260" i="8"/>
  <c r="F368" i="8"/>
  <c r="F479" i="8"/>
  <c r="F215" i="7"/>
  <c r="F353" i="7"/>
  <c r="F338" i="7"/>
  <c r="F177" i="7"/>
  <c r="G177" i="7"/>
  <c r="G122" i="7"/>
  <c r="G215" i="7"/>
  <c r="G353" i="7"/>
  <c r="H186" i="7"/>
  <c r="H303" i="7"/>
  <c r="H407" i="7"/>
  <c r="H216" i="7"/>
  <c r="H354" i="7"/>
  <c r="H449" i="7"/>
  <c r="H126" i="4"/>
  <c r="G120" i="4"/>
  <c r="F334" i="4"/>
  <c r="G205" i="4"/>
  <c r="H157" i="4"/>
  <c r="H184" i="4"/>
  <c r="H213" i="4"/>
  <c r="H226" i="8"/>
  <c r="H312" i="8"/>
  <c r="H427" i="8"/>
  <c r="H258" i="8"/>
  <c r="H366" i="8"/>
  <c r="H477" i="8"/>
  <c r="H223" i="8"/>
  <c r="H309" i="8"/>
  <c r="H424" i="8"/>
  <c r="G222" i="8"/>
  <c r="G308" i="8"/>
  <c r="H255" i="8"/>
  <c r="H363" i="8"/>
  <c r="H474" i="8"/>
  <c r="G148" i="7"/>
  <c r="F148" i="7"/>
  <c r="F162" i="7"/>
  <c r="F322" i="7"/>
  <c r="G181" i="8"/>
  <c r="G164" i="9"/>
  <c r="G172" i="4"/>
  <c r="G287" i="4"/>
  <c r="G394" i="4"/>
  <c r="G150" i="4"/>
  <c r="G152" i="4"/>
  <c r="H173" i="5"/>
  <c r="H167" i="5"/>
  <c r="F171" i="5"/>
  <c r="F153" i="5"/>
  <c r="F293" i="8"/>
  <c r="F308" i="8"/>
  <c r="F237" i="10"/>
  <c r="F377" i="10"/>
  <c r="F494" i="10"/>
  <c r="H200" i="6"/>
  <c r="H316" i="6"/>
  <c r="H184" i="8"/>
  <c r="F231" i="10"/>
  <c r="F371" i="10"/>
  <c r="F488" i="10"/>
  <c r="H221" i="5"/>
  <c r="H330" i="5"/>
  <c r="H432" i="5"/>
  <c r="F305" i="8"/>
  <c r="C112" i="11"/>
  <c r="C114" i="11"/>
  <c r="F215" i="11"/>
  <c r="G215" i="11"/>
  <c r="G150" i="9"/>
  <c r="G201" i="9"/>
  <c r="G282" i="9"/>
  <c r="G397" i="9"/>
  <c r="G268" i="4"/>
  <c r="F120" i="4"/>
  <c r="F219" i="8"/>
  <c r="F229" i="10"/>
  <c r="F369" i="10"/>
  <c r="F486" i="10"/>
  <c r="I116" i="5"/>
  <c r="F433" i="6"/>
  <c r="G153" i="9"/>
  <c r="G167" i="9"/>
  <c r="G291" i="9"/>
  <c r="H119" i="5"/>
  <c r="H123" i="5"/>
  <c r="H146" i="9"/>
  <c r="H147" i="9"/>
  <c r="H150" i="9"/>
  <c r="H200" i="9"/>
  <c r="H281" i="9"/>
  <c r="J131" i="9"/>
  <c r="J146" i="9"/>
  <c r="J147" i="9"/>
  <c r="J150" i="9"/>
  <c r="F157" i="7"/>
  <c r="H156" i="7"/>
  <c r="H155" i="7"/>
  <c r="H271" i="7"/>
  <c r="H157" i="7"/>
  <c r="H185" i="7"/>
  <c r="F420" i="8"/>
  <c r="F227" i="10"/>
  <c r="F228" i="10"/>
  <c r="F368" i="10"/>
  <c r="F485" i="10"/>
  <c r="F230" i="10"/>
  <c r="F370" i="10"/>
  <c r="F487" i="10"/>
  <c r="F232" i="10"/>
  <c r="F372" i="10"/>
  <c r="F489" i="10"/>
  <c r="C191" i="11"/>
  <c r="C192" i="11"/>
  <c r="C193" i="11"/>
  <c r="C200" i="11"/>
  <c r="C172" i="11"/>
  <c r="G178" i="11"/>
  <c r="G182" i="11"/>
  <c r="F128" i="11"/>
  <c r="G128" i="11"/>
  <c r="G132" i="11"/>
  <c r="F249" i="11"/>
  <c r="G249" i="11"/>
  <c r="G250" i="11"/>
  <c r="C252" i="11"/>
  <c r="C98" i="11"/>
  <c r="F206" i="11"/>
  <c r="G206" i="11"/>
  <c r="G210" i="11"/>
  <c r="G105" i="11"/>
  <c r="C147" i="11"/>
  <c r="F383" i="10"/>
  <c r="F500" i="10"/>
  <c r="F162" i="10"/>
  <c r="F183" i="10"/>
  <c r="F238" i="10"/>
  <c r="F159" i="10"/>
  <c r="F180" i="10"/>
  <c r="F350" i="10"/>
  <c r="I153" i="6"/>
  <c r="I154" i="6"/>
  <c r="H152" i="5"/>
  <c r="H153" i="5"/>
  <c r="H172" i="5"/>
  <c r="F172" i="4"/>
  <c r="F287" i="4"/>
  <c r="F394" i="4"/>
  <c r="F201" i="4"/>
  <c r="F205" i="4"/>
  <c r="F301" i="3"/>
  <c r="F409" i="3"/>
  <c r="F411" i="3"/>
  <c r="H218" i="8"/>
  <c r="H304" i="8"/>
  <c r="H419" i="8"/>
  <c r="H217" i="8"/>
  <c r="H303" i="8"/>
  <c r="H249" i="8"/>
  <c r="H357" i="8"/>
  <c r="H250" i="8"/>
  <c r="H358" i="8"/>
  <c r="H469" i="8"/>
  <c r="F161" i="7"/>
  <c r="F321" i="7"/>
  <c r="I126" i="7"/>
  <c r="I140" i="7"/>
  <c r="I141" i="7"/>
  <c r="I129" i="5"/>
  <c r="J129" i="5"/>
  <c r="J152" i="5"/>
  <c r="J153" i="5"/>
  <c r="F200" i="5"/>
  <c r="F285" i="5"/>
  <c r="F205" i="5"/>
  <c r="F290" i="5"/>
  <c r="F401" i="5"/>
  <c r="H270" i="5"/>
  <c r="H381" i="5"/>
  <c r="H190" i="5"/>
  <c r="H275" i="5"/>
  <c r="H386" i="5"/>
  <c r="H335" i="5"/>
  <c r="H437" i="5"/>
  <c r="H143" i="4"/>
  <c r="H144" i="4"/>
  <c r="G155" i="4"/>
  <c r="G267" i="4"/>
  <c r="F144" i="4"/>
  <c r="F146" i="4"/>
  <c r="F193" i="4"/>
  <c r="F308" i="4"/>
  <c r="F415" i="4"/>
  <c r="F155" i="4"/>
  <c r="F267" i="4"/>
  <c r="F230" i="4"/>
  <c r="F239" i="4"/>
  <c r="F116" i="3"/>
  <c r="F214" i="3"/>
  <c r="H142" i="3"/>
  <c r="H143" i="3"/>
  <c r="G143" i="3"/>
  <c r="G145" i="3"/>
  <c r="G228" i="10"/>
  <c r="G231" i="10"/>
  <c r="J126" i="7"/>
  <c r="J140" i="7"/>
  <c r="G252" i="6"/>
  <c r="H274" i="5"/>
  <c r="H385" i="5"/>
  <c r="H222" i="5"/>
  <c r="H331" i="5"/>
  <c r="H433" i="5"/>
  <c r="G123" i="5"/>
  <c r="H280" i="5"/>
  <c r="H391" i="5"/>
  <c r="H329" i="5"/>
  <c r="H431" i="5"/>
  <c r="H191" i="5"/>
  <c r="H276" i="5"/>
  <c r="H387" i="5"/>
  <c r="F257" i="4"/>
  <c r="H126" i="8"/>
  <c r="H130" i="8"/>
  <c r="H260" i="8"/>
  <c r="H368" i="8"/>
  <c r="H479" i="8"/>
  <c r="F357" i="8"/>
  <c r="F359" i="8"/>
  <c r="F251" i="8"/>
  <c r="F162" i="5"/>
  <c r="G234" i="4"/>
  <c r="G146" i="4"/>
  <c r="F202" i="6"/>
  <c r="H258" i="10"/>
  <c r="H209" i="9"/>
  <c r="H311" i="9"/>
  <c r="H202" i="3"/>
  <c r="H297" i="3"/>
  <c r="H405" i="3"/>
  <c r="G237" i="10"/>
  <c r="G159" i="10"/>
  <c r="G160" i="10"/>
  <c r="G181" i="10"/>
  <c r="G162" i="10"/>
  <c r="G183" i="10"/>
  <c r="G242" i="10"/>
  <c r="H136" i="10"/>
  <c r="H166" i="10"/>
  <c r="G209" i="9"/>
  <c r="G311" i="9"/>
  <c r="G207" i="9"/>
  <c r="G309" i="9"/>
  <c r="G424" i="9"/>
  <c r="F127" i="9"/>
  <c r="F270" i="10"/>
  <c r="F208" i="10"/>
  <c r="H204" i="7"/>
  <c r="H342" i="7"/>
  <c r="H437" i="7"/>
  <c r="H154" i="7"/>
  <c r="H270" i="7"/>
  <c r="G254" i="6"/>
  <c r="F167" i="6"/>
  <c r="F289" i="6"/>
  <c r="F147" i="6"/>
  <c r="F168" i="6"/>
  <c r="F290" i="6"/>
  <c r="G227" i="10"/>
  <c r="F325" i="10"/>
  <c r="F327" i="10"/>
  <c r="G229" i="10"/>
  <c r="G230" i="10"/>
  <c r="G238" i="10"/>
  <c r="G232" i="10"/>
  <c r="F332" i="5"/>
  <c r="H189" i="10"/>
  <c r="I123" i="10"/>
  <c r="H175" i="10"/>
  <c r="H173" i="10"/>
  <c r="H233" i="10"/>
  <c r="H373" i="10"/>
  <c r="H490" i="10"/>
  <c r="H268" i="10"/>
  <c r="H207" i="10"/>
  <c r="H283" i="10"/>
  <c r="H182" i="10"/>
  <c r="H262" i="10"/>
  <c r="H269" i="10"/>
  <c r="H176" i="10"/>
  <c r="H211" i="10"/>
  <c r="H284" i="10"/>
  <c r="H126" i="10"/>
  <c r="H130" i="10"/>
  <c r="G269" i="9"/>
  <c r="H164" i="7"/>
  <c r="H210" i="7"/>
  <c r="H348" i="7"/>
  <c r="F130" i="10"/>
  <c r="G216" i="9"/>
  <c r="G318" i="9"/>
  <c r="G127" i="9"/>
  <c r="G188" i="9"/>
  <c r="J136" i="8"/>
  <c r="J178" i="8"/>
  <c r="H200" i="7"/>
  <c r="F284" i="4"/>
  <c r="F291" i="4"/>
  <c r="F294" i="4"/>
  <c r="F181" i="4"/>
  <c r="F150" i="4"/>
  <c r="G411" i="3"/>
  <c r="G116" i="3"/>
  <c r="G214" i="3"/>
  <c r="I134" i="10"/>
  <c r="J134" i="10"/>
  <c r="H223" i="6"/>
  <c r="H360" i="6"/>
  <c r="H475" i="6"/>
  <c r="F204" i="5"/>
  <c r="I118" i="5"/>
  <c r="H153" i="10"/>
  <c r="H174" i="10"/>
  <c r="I123" i="8"/>
  <c r="I173" i="8"/>
  <c r="I175" i="8"/>
  <c r="I159" i="8"/>
  <c r="I162" i="8"/>
  <c r="I233" i="8"/>
  <c r="H299" i="8"/>
  <c r="H414" i="8"/>
  <c r="G357" i="8"/>
  <c r="G251" i="8"/>
  <c r="G157" i="6"/>
  <c r="G240" i="6"/>
  <c r="G174" i="6"/>
  <c r="G340" i="6"/>
  <c r="G250" i="6"/>
  <c r="G423" i="6"/>
  <c r="G317" i="10"/>
  <c r="G434" i="10"/>
  <c r="G160" i="6"/>
  <c r="G161" i="6"/>
  <c r="G255" i="6"/>
  <c r="G251" i="6"/>
  <c r="F367" i="6"/>
  <c r="F232" i="6"/>
  <c r="H146" i="6"/>
  <c r="H147" i="6"/>
  <c r="H168" i="6"/>
  <c r="H290" i="6"/>
  <c r="H299" i="10"/>
  <c r="G369" i="10"/>
  <c r="G486" i="10"/>
  <c r="H196" i="3"/>
  <c r="G160" i="3"/>
  <c r="G208" i="10"/>
  <c r="G130" i="10"/>
  <c r="H163" i="9"/>
  <c r="H160" i="6"/>
  <c r="H161" i="6"/>
  <c r="G372" i="10"/>
  <c r="G489" i="10"/>
  <c r="F308" i="6"/>
  <c r="G422" i="6"/>
  <c r="G368" i="10"/>
  <c r="G485" i="10"/>
  <c r="G316" i="10"/>
  <c r="G433" i="10"/>
  <c r="F170" i="6"/>
  <c r="F205" i="6"/>
  <c r="I160" i="6"/>
  <c r="I161" i="6"/>
  <c r="J160" i="6"/>
  <c r="J161" i="6"/>
  <c r="H153" i="6"/>
  <c r="H154" i="6"/>
  <c r="H175" i="6"/>
  <c r="H341" i="6"/>
  <c r="G426" i="6"/>
  <c r="G127" i="6"/>
  <c r="F318" i="6"/>
  <c r="G163" i="6"/>
  <c r="G260" i="6"/>
  <c r="G261" i="6"/>
  <c r="G424" i="6"/>
  <c r="G318" i="10"/>
  <c r="G435" i="10"/>
  <c r="F223" i="5"/>
  <c r="G159" i="5"/>
  <c r="H159" i="5"/>
  <c r="F208" i="3"/>
  <c r="H238" i="10"/>
  <c r="H378" i="10"/>
  <c r="H495" i="10"/>
  <c r="H162" i="10"/>
  <c r="H183" i="10"/>
  <c r="H230" i="10"/>
  <c r="H370" i="10"/>
  <c r="H487" i="10"/>
  <c r="H228" i="10"/>
  <c r="H368" i="10"/>
  <c r="H485" i="10"/>
  <c r="H198" i="10"/>
  <c r="H196" i="10"/>
  <c r="H197" i="10"/>
  <c r="I138" i="10"/>
  <c r="H263" i="10"/>
  <c r="H237" i="10"/>
  <c r="H377" i="10"/>
  <c r="H494" i="10"/>
  <c r="H259" i="10"/>
  <c r="H231" i="10"/>
  <c r="H371" i="10"/>
  <c r="H488" i="10"/>
  <c r="H229" i="10"/>
  <c r="H369" i="10"/>
  <c r="H486" i="10"/>
  <c r="K162" i="10"/>
  <c r="H202" i="10"/>
  <c r="H199" i="10"/>
  <c r="H232" i="10"/>
  <c r="H372" i="10"/>
  <c r="H489" i="10"/>
  <c r="H227" i="10"/>
  <c r="F167" i="10"/>
  <c r="F188" i="10"/>
  <c r="F187" i="10"/>
  <c r="I162" i="10"/>
  <c r="H261" i="10"/>
  <c r="G270" i="10"/>
  <c r="G173" i="10"/>
  <c r="G153" i="10"/>
  <c r="G174" i="10"/>
  <c r="H200" i="10"/>
  <c r="H201" i="10"/>
  <c r="L162" i="10"/>
  <c r="N162" i="10"/>
  <c r="H260" i="10"/>
  <c r="G285" i="10"/>
  <c r="F218" i="9"/>
  <c r="F320" i="9"/>
  <c r="F433" i="9"/>
  <c r="F435" i="9"/>
  <c r="G208" i="9"/>
  <c r="G310" i="9"/>
  <c r="G425" i="9"/>
  <c r="G217" i="9"/>
  <c r="G319" i="9"/>
  <c r="G434" i="9"/>
  <c r="G210" i="9"/>
  <c r="G312" i="9"/>
  <c r="G427" i="9"/>
  <c r="G211" i="9"/>
  <c r="G313" i="9"/>
  <c r="G428" i="9"/>
  <c r="G156" i="9"/>
  <c r="G170" i="9"/>
  <c r="F237" i="7"/>
  <c r="F443" i="7"/>
  <c r="F445" i="7"/>
  <c r="F350" i="7"/>
  <c r="F242" i="7"/>
  <c r="H205" i="7"/>
  <c r="H343" i="7"/>
  <c r="H438" i="7"/>
  <c r="H202" i="7"/>
  <c r="H340" i="7"/>
  <c r="H435" i="7"/>
  <c r="H201" i="7"/>
  <c r="H339" i="7"/>
  <c r="H434" i="7"/>
  <c r="H176" i="6"/>
  <c r="H250" i="6"/>
  <c r="H193" i="6"/>
  <c r="H309" i="6"/>
  <c r="H424" i="6"/>
  <c r="G147" i="6"/>
  <c r="G168" i="6"/>
  <c r="G290" i="6"/>
  <c r="G351" i="10"/>
  <c r="J131" i="6"/>
  <c r="I146" i="6"/>
  <c r="F434" i="5"/>
  <c r="F441" i="4"/>
  <c r="I143" i="4"/>
  <c r="J124" i="4"/>
  <c r="F406" i="4"/>
  <c r="G187" i="10"/>
  <c r="G167" i="10"/>
  <c r="G188" i="10"/>
  <c r="F373" i="10"/>
  <c r="F173" i="10"/>
  <c r="F153" i="10"/>
  <c r="F174" i="10"/>
  <c r="F299" i="10"/>
  <c r="J162" i="10"/>
  <c r="F267" i="9"/>
  <c r="F188" i="9"/>
  <c r="M156" i="9"/>
  <c r="H180" i="9"/>
  <c r="H261" i="9"/>
  <c r="H376" i="9"/>
  <c r="F259" i="9"/>
  <c r="H142" i="9"/>
  <c r="O142" i="9"/>
  <c r="M142" i="9"/>
  <c r="J142" i="9"/>
  <c r="I142" i="9"/>
  <c r="N142" i="9"/>
  <c r="K142" i="9"/>
  <c r="G142" i="9"/>
  <c r="H217" i="9"/>
  <c r="H319" i="9"/>
  <c r="H434" i="9"/>
  <c r="H156" i="9"/>
  <c r="H170" i="9"/>
  <c r="H207" i="9"/>
  <c r="H309" i="9"/>
  <c r="H424" i="9"/>
  <c r="H208" i="9"/>
  <c r="H310" i="9"/>
  <c r="H425" i="9"/>
  <c r="H210" i="9"/>
  <c r="H312" i="9"/>
  <c r="H427" i="9"/>
  <c r="H211" i="9"/>
  <c r="H313" i="9"/>
  <c r="H428" i="9"/>
  <c r="H206" i="9"/>
  <c r="H216" i="9"/>
  <c r="O156" i="9"/>
  <c r="J135" i="9"/>
  <c r="N156" i="9"/>
  <c r="I156" i="9"/>
  <c r="F147" i="9"/>
  <c r="F160" i="9"/>
  <c r="L156" i="9"/>
  <c r="H186" i="9"/>
  <c r="H169" i="9"/>
  <c r="H179" i="9"/>
  <c r="H260" i="9"/>
  <c r="H375" i="9"/>
  <c r="H178" i="9"/>
  <c r="H259" i="9"/>
  <c r="H374" i="9"/>
  <c r="H181" i="9"/>
  <c r="H262" i="9"/>
  <c r="H377" i="9"/>
  <c r="H123" i="9"/>
  <c r="H127" i="9"/>
  <c r="H162" i="9"/>
  <c r="H177" i="9"/>
  <c r="H258" i="9"/>
  <c r="H373" i="9"/>
  <c r="H176" i="9"/>
  <c r="H187" i="9"/>
  <c r="H268" i="9"/>
  <c r="H383" i="9"/>
  <c r="I120" i="9"/>
  <c r="I192" i="9"/>
  <c r="F188" i="8"/>
  <c r="G219" i="8"/>
  <c r="G303" i="8"/>
  <c r="I185" i="8"/>
  <c r="G309" i="8"/>
  <c r="G185" i="8"/>
  <c r="J134" i="8"/>
  <c r="G237" i="7"/>
  <c r="G297" i="7"/>
  <c r="G182" i="7"/>
  <c r="H147" i="7"/>
  <c r="I128" i="7"/>
  <c r="G257" i="7"/>
  <c r="G161" i="7"/>
  <c r="F287" i="7"/>
  <c r="F294" i="7"/>
  <c r="F297" i="7"/>
  <c r="G141" i="7"/>
  <c r="G154" i="7"/>
  <c r="G302" i="7"/>
  <c r="H144" i="7"/>
  <c r="G338" i="7"/>
  <c r="H174" i="7"/>
  <c r="H291" i="7"/>
  <c r="H395" i="7"/>
  <c r="I130" i="7"/>
  <c r="H235" i="7"/>
  <c r="H175" i="7"/>
  <c r="H292" i="7"/>
  <c r="H396" i="7"/>
  <c r="H172" i="7"/>
  <c r="H289" i="7"/>
  <c r="H393" i="7"/>
  <c r="H234" i="7"/>
  <c r="H236" i="7"/>
  <c r="H173" i="7"/>
  <c r="H290" i="7"/>
  <c r="H394" i="7"/>
  <c r="H171" i="7"/>
  <c r="H288" i="7"/>
  <c r="H392" i="7"/>
  <c r="H233" i="7"/>
  <c r="H206" i="7"/>
  <c r="H344" i="7"/>
  <c r="H439" i="7"/>
  <c r="H230" i="7"/>
  <c r="H170" i="7"/>
  <c r="H231" i="7"/>
  <c r="H232" i="7"/>
  <c r="G348" i="7"/>
  <c r="G212" i="7"/>
  <c r="H181" i="7"/>
  <c r="H298" i="7"/>
  <c r="H402" i="7"/>
  <c r="H240" i="7"/>
  <c r="H250" i="7"/>
  <c r="H118" i="7"/>
  <c r="H122" i="7"/>
  <c r="H163" i="7"/>
  <c r="H256" i="7"/>
  <c r="H248" i="7"/>
  <c r="H180" i="7"/>
  <c r="H241" i="7"/>
  <c r="H293" i="7"/>
  <c r="H397" i="7"/>
  <c r="H255" i="7"/>
  <c r="H247" i="7"/>
  <c r="H246" i="7"/>
  <c r="H245" i="7"/>
  <c r="I115" i="7"/>
  <c r="H211" i="7"/>
  <c r="H349" i="7"/>
  <c r="H444" i="7"/>
  <c r="F154" i="7"/>
  <c r="F437" i="7"/>
  <c r="G287" i="7"/>
  <c r="G294" i="7"/>
  <c r="G242" i="7"/>
  <c r="G253" i="6"/>
  <c r="H177" i="6"/>
  <c r="F176" i="6"/>
  <c r="H226" i="6"/>
  <c r="H363" i="6"/>
  <c r="H478" i="6"/>
  <c r="H231" i="6"/>
  <c r="H368" i="6"/>
  <c r="H483" i="6"/>
  <c r="G306" i="6"/>
  <c r="H256" i="6"/>
  <c r="F262" i="6"/>
  <c r="G322" i="6"/>
  <c r="H170" i="6"/>
  <c r="H205" i="6"/>
  <c r="F174" i="6"/>
  <c r="F340" i="6"/>
  <c r="F154" i="6"/>
  <c r="K133" i="6"/>
  <c r="J153" i="6"/>
  <c r="G425" i="6"/>
  <c r="G319" i="10"/>
  <c r="G436" i="10"/>
  <c r="G371" i="10"/>
  <c r="G488" i="10"/>
  <c r="G427" i="6"/>
  <c r="G373" i="10"/>
  <c r="G490" i="10"/>
  <c r="G321" i="10"/>
  <c r="G438" i="10"/>
  <c r="G175" i="6"/>
  <c r="G341" i="6"/>
  <c r="F182" i="6"/>
  <c r="I90" i="6"/>
  <c r="G176" i="6"/>
  <c r="F177" i="6"/>
  <c r="N163" i="6"/>
  <c r="O162" i="6"/>
  <c r="L162" i="6"/>
  <c r="H162" i="6"/>
  <c r="M162" i="6"/>
  <c r="J162" i="6"/>
  <c r="K162" i="6"/>
  <c r="I162" i="6"/>
  <c r="F162" i="6"/>
  <c r="F164" i="6"/>
  <c r="N162" i="6"/>
  <c r="G162" i="6"/>
  <c r="G232" i="6"/>
  <c r="G367" i="6"/>
  <c r="G276" i="6"/>
  <c r="G432" i="6"/>
  <c r="G378" i="10"/>
  <c r="G495" i="10"/>
  <c r="G326" i="10"/>
  <c r="G443" i="10"/>
  <c r="G177" i="6"/>
  <c r="J163" i="6"/>
  <c r="G289" i="6"/>
  <c r="H275" i="6"/>
  <c r="I120" i="6"/>
  <c r="H230" i="6"/>
  <c r="H191" i="6"/>
  <c r="H307" i="6"/>
  <c r="H220" i="6"/>
  <c r="H222" i="6"/>
  <c r="H359" i="6"/>
  <c r="H474" i="6"/>
  <c r="H255" i="6"/>
  <c r="H201" i="6"/>
  <c r="H317" i="6"/>
  <c r="H274" i="6"/>
  <c r="H254" i="6"/>
  <c r="H260" i="6"/>
  <c r="H225" i="6"/>
  <c r="H362" i="6"/>
  <c r="H477" i="6"/>
  <c r="H194" i="6"/>
  <c r="H310" i="6"/>
  <c r="H261" i="6"/>
  <c r="H252" i="6"/>
  <c r="H190" i="6"/>
  <c r="H312" i="6"/>
  <c r="H224" i="6"/>
  <c r="H361" i="6"/>
  <c r="H476" i="6"/>
  <c r="H192" i="6"/>
  <c r="H308" i="6"/>
  <c r="H221" i="6"/>
  <c r="H358" i="6"/>
  <c r="H473" i="6"/>
  <c r="H123" i="6"/>
  <c r="H127" i="6"/>
  <c r="H169" i="6"/>
  <c r="G316" i="6"/>
  <c r="G202" i="6"/>
  <c r="H251" i="6"/>
  <c r="I131" i="5"/>
  <c r="H214" i="5"/>
  <c r="H323" i="5"/>
  <c r="H425" i="5"/>
  <c r="H215" i="5"/>
  <c r="H324" i="5"/>
  <c r="H426" i="5"/>
  <c r="H216" i="5"/>
  <c r="H325" i="5"/>
  <c r="H427" i="5"/>
  <c r="H182" i="5"/>
  <c r="H267" i="5"/>
  <c r="H378" i="5"/>
  <c r="H213" i="5"/>
  <c r="H322" i="5"/>
  <c r="H424" i="5"/>
  <c r="H210" i="5"/>
  <c r="H181" i="5"/>
  <c r="H266" i="5"/>
  <c r="H377" i="5"/>
  <c r="H180" i="5"/>
  <c r="H265" i="5"/>
  <c r="H376" i="5"/>
  <c r="H212" i="5"/>
  <c r="H321" i="5"/>
  <c r="H423" i="5"/>
  <c r="H184" i="5"/>
  <c r="H269" i="5"/>
  <c r="H380" i="5"/>
  <c r="H183" i="5"/>
  <c r="H268" i="5"/>
  <c r="H379" i="5"/>
  <c r="H211" i="5"/>
  <c r="H320" i="5"/>
  <c r="H422" i="5"/>
  <c r="H179" i="5"/>
  <c r="G147" i="5"/>
  <c r="G165" i="5"/>
  <c r="G276" i="5"/>
  <c r="G192" i="5"/>
  <c r="G171" i="5"/>
  <c r="G300" i="5"/>
  <c r="G433" i="5"/>
  <c r="G434" i="5"/>
  <c r="G332" i="5"/>
  <c r="G391" i="5"/>
  <c r="G223" i="5"/>
  <c r="G321" i="5"/>
  <c r="H146" i="5"/>
  <c r="I127" i="5"/>
  <c r="H200" i="4"/>
  <c r="H336" i="4"/>
  <c r="H439" i="4"/>
  <c r="H246" i="4"/>
  <c r="H229" i="4"/>
  <c r="H350" i="4"/>
  <c r="H453" i="4"/>
  <c r="H209" i="4"/>
  <c r="H345" i="4"/>
  <c r="H448" i="4"/>
  <c r="I113" i="4"/>
  <c r="H116" i="4"/>
  <c r="H120" i="4"/>
  <c r="H180" i="4"/>
  <c r="H295" i="4"/>
  <c r="H402" i="4"/>
  <c r="H171" i="4"/>
  <c r="H286" i="4"/>
  <c r="H393" i="4"/>
  <c r="H204" i="4"/>
  <c r="H340" i="4"/>
  <c r="H443" i="4"/>
  <c r="H170" i="4"/>
  <c r="H285" i="4"/>
  <c r="H392" i="4"/>
  <c r="H231" i="4"/>
  <c r="H232" i="4"/>
  <c r="H300" i="4"/>
  <c r="H407" i="4"/>
  <c r="H290" i="4"/>
  <c r="H397" i="4"/>
  <c r="H173" i="4"/>
  <c r="H288" i="4"/>
  <c r="H395" i="4"/>
  <c r="H237" i="4"/>
  <c r="H199" i="4"/>
  <c r="H335" i="4"/>
  <c r="H438" i="4"/>
  <c r="H203" i="4"/>
  <c r="H339" i="4"/>
  <c r="H442" i="4"/>
  <c r="H245" i="4"/>
  <c r="H179" i="4"/>
  <c r="H169" i="4"/>
  <c r="H198" i="4"/>
  <c r="H242" i="4"/>
  <c r="H202" i="4"/>
  <c r="H338" i="4"/>
  <c r="H441" i="4"/>
  <c r="H233" i="4"/>
  <c r="H238" i="4"/>
  <c r="H174" i="4"/>
  <c r="H289" i="4"/>
  <c r="H396" i="4"/>
  <c r="H252" i="4"/>
  <c r="H247" i="4"/>
  <c r="H208" i="4"/>
  <c r="G254" i="4"/>
  <c r="G294" i="4"/>
  <c r="G181" i="4"/>
  <c r="G284" i="4"/>
  <c r="G349" i="4"/>
  <c r="G344" i="4"/>
  <c r="G210" i="4"/>
  <c r="G299" i="4"/>
  <c r="G334" i="4"/>
  <c r="G341" i="4"/>
  <c r="G239" i="4"/>
  <c r="G249" i="4"/>
  <c r="G291" i="3"/>
  <c r="G307" i="3"/>
  <c r="G415" i="3"/>
  <c r="F306" i="3"/>
  <c r="F163" i="3"/>
  <c r="G208" i="3"/>
  <c r="F291" i="3"/>
  <c r="F145" i="3"/>
  <c r="F219" i="3"/>
  <c r="H162" i="3"/>
  <c r="H200" i="3"/>
  <c r="H295" i="3"/>
  <c r="H403" i="3"/>
  <c r="H198" i="3"/>
  <c r="H293" i="3"/>
  <c r="H401" i="3"/>
  <c r="I109" i="3"/>
  <c r="H206" i="3"/>
  <c r="H201" i="3"/>
  <c r="H296" i="3"/>
  <c r="H404" i="3"/>
  <c r="H207" i="3"/>
  <c r="H302" i="3"/>
  <c r="H410" i="3"/>
  <c r="H199" i="3"/>
  <c r="H294" i="3"/>
  <c r="H402" i="3"/>
  <c r="H112" i="3"/>
  <c r="H116" i="3"/>
  <c r="G303" i="3"/>
  <c r="C233" i="11"/>
  <c r="C130" i="11"/>
  <c r="C131" i="11"/>
  <c r="C250" i="11"/>
  <c r="H253" i="6"/>
  <c r="I71" i="9"/>
  <c r="H153" i="9"/>
  <c r="I133" i="9"/>
  <c r="J133" i="9"/>
  <c r="F360" i="6"/>
  <c r="G360" i="6"/>
  <c r="C228" i="11"/>
  <c r="F160" i="11"/>
  <c r="C99" i="11"/>
  <c r="F96" i="11"/>
  <c r="C210" i="11"/>
  <c r="C216" i="11"/>
  <c r="F171" i="11"/>
  <c r="G171" i="11"/>
  <c r="C245" i="11"/>
  <c r="F121" i="11"/>
  <c r="G121" i="11"/>
  <c r="F232" i="11"/>
  <c r="G232" i="11"/>
  <c r="F291" i="9"/>
  <c r="I150" i="9"/>
  <c r="G242" i="9"/>
  <c r="G249" i="9"/>
  <c r="F275" i="10"/>
  <c r="F276" i="10"/>
  <c r="F277" i="10"/>
  <c r="F278" i="10"/>
  <c r="G275" i="10"/>
  <c r="G276" i="10"/>
  <c r="G277" i="10"/>
  <c r="G278" i="10"/>
  <c r="H246" i="10"/>
  <c r="H386" i="10"/>
  <c r="H503" i="10"/>
  <c r="H278" i="10"/>
  <c r="H275" i="10"/>
  <c r="H276" i="10"/>
  <c r="H277" i="10"/>
  <c r="F245" i="10"/>
  <c r="F385" i="10"/>
  <c r="F246" i="10"/>
  <c r="F386" i="10"/>
  <c r="F503" i="10"/>
  <c r="F247" i="10"/>
  <c r="F387" i="10"/>
  <c r="F504" i="10"/>
  <c r="F244" i="10"/>
  <c r="F384" i="10"/>
  <c r="H245" i="10"/>
  <c r="H385" i="10"/>
  <c r="H244" i="10"/>
  <c r="H384" i="10"/>
  <c r="G244" i="10"/>
  <c r="G245" i="10"/>
  <c r="G246" i="10"/>
  <c r="G247" i="10"/>
  <c r="H247" i="10"/>
  <c r="H387" i="10"/>
  <c r="H504" i="10"/>
  <c r="J125" i="10"/>
  <c r="F216" i="10"/>
  <c r="F335" i="10"/>
  <c r="F452" i="10"/>
  <c r="F213" i="10"/>
  <c r="F332" i="10"/>
  <c r="F214" i="10"/>
  <c r="F333" i="10"/>
  <c r="F215" i="10"/>
  <c r="F334" i="10"/>
  <c r="F451" i="10"/>
  <c r="G215" i="10"/>
  <c r="G216" i="10"/>
  <c r="G213" i="10"/>
  <c r="G214" i="10"/>
  <c r="H214" i="10"/>
  <c r="H215" i="10"/>
  <c r="H216" i="10"/>
  <c r="H213" i="10"/>
  <c r="F225" i="9"/>
  <c r="F327" i="9"/>
  <c r="F442" i="9"/>
  <c r="F223" i="9"/>
  <c r="F325" i="9"/>
  <c r="F224" i="9"/>
  <c r="F326" i="9"/>
  <c r="H223" i="9"/>
  <c r="H325" i="9"/>
  <c r="H224" i="9"/>
  <c r="H326" i="9"/>
  <c r="H225" i="9"/>
  <c r="H327" i="9"/>
  <c r="H442" i="9"/>
  <c r="G224" i="9"/>
  <c r="G326" i="9"/>
  <c r="G225" i="9"/>
  <c r="G327" i="9"/>
  <c r="G442" i="9"/>
  <c r="G223" i="9"/>
  <c r="G325" i="9"/>
  <c r="G194" i="9"/>
  <c r="G275" i="9"/>
  <c r="G195" i="9"/>
  <c r="G276" i="9"/>
  <c r="G391" i="9"/>
  <c r="G193" i="9"/>
  <c r="G274" i="9"/>
  <c r="F193" i="9"/>
  <c r="F274" i="9"/>
  <c r="F194" i="9"/>
  <c r="F275" i="9"/>
  <c r="F195" i="9"/>
  <c r="F276" i="9"/>
  <c r="F391" i="9"/>
  <c r="H193" i="9"/>
  <c r="H274" i="9"/>
  <c r="H194" i="9"/>
  <c r="H275" i="9"/>
  <c r="H195" i="9"/>
  <c r="H276" i="9"/>
  <c r="H391" i="9"/>
  <c r="F269" i="6"/>
  <c r="F267" i="6"/>
  <c r="F268" i="6"/>
  <c r="H239" i="6"/>
  <c r="H376" i="6"/>
  <c r="H491" i="6"/>
  <c r="H267" i="6"/>
  <c r="H268" i="6"/>
  <c r="H269" i="6"/>
  <c r="G268" i="6"/>
  <c r="G269" i="6"/>
  <c r="G267" i="6"/>
  <c r="F238" i="6"/>
  <c r="F375" i="6"/>
  <c r="F239" i="6"/>
  <c r="F376" i="6"/>
  <c r="F491" i="6"/>
  <c r="F237" i="6"/>
  <c r="F374" i="6"/>
  <c r="H237" i="6"/>
  <c r="H374" i="6"/>
  <c r="H238" i="6"/>
  <c r="H375" i="6"/>
  <c r="G237" i="6"/>
  <c r="G374" i="6"/>
  <c r="G238" i="6"/>
  <c r="G375" i="6"/>
  <c r="G239" i="6"/>
  <c r="G376" i="6"/>
  <c r="G491" i="6"/>
  <c r="J122" i="6"/>
  <c r="F209" i="6"/>
  <c r="F325" i="6"/>
  <c r="F440" i="6"/>
  <c r="F207" i="6"/>
  <c r="F323" i="6"/>
  <c r="F208" i="6"/>
  <c r="F324" i="6"/>
  <c r="H207" i="6"/>
  <c r="H323" i="6"/>
  <c r="H332" i="10"/>
  <c r="H208" i="6"/>
  <c r="H324" i="6"/>
  <c r="H333" i="10"/>
  <c r="H209" i="6"/>
  <c r="H325" i="6"/>
  <c r="H335" i="10"/>
  <c r="H452" i="10"/>
  <c r="G208" i="6"/>
  <c r="G324" i="6"/>
  <c r="G209" i="6"/>
  <c r="G325" i="6"/>
  <c r="G207" i="6"/>
  <c r="G323" i="6"/>
  <c r="H209" i="8"/>
  <c r="H295" i="8"/>
  <c r="H410" i="8"/>
  <c r="H212" i="8"/>
  <c r="H298" i="8"/>
  <c r="H413" i="8"/>
  <c r="H243" i="8"/>
  <c r="H351" i="8"/>
  <c r="H462" i="8"/>
  <c r="H211" i="8"/>
  <c r="H297" i="8"/>
  <c r="H412" i="8"/>
  <c r="H207" i="8"/>
  <c r="H293" i="8"/>
  <c r="G228" i="5"/>
  <c r="G337" i="5"/>
  <c r="G229" i="5"/>
  <c r="G338" i="5"/>
  <c r="G440" i="5"/>
  <c r="G230" i="5"/>
  <c r="G339" i="5"/>
  <c r="G441" i="5"/>
  <c r="G227" i="5"/>
  <c r="G336" i="5"/>
  <c r="H227" i="5"/>
  <c r="H336" i="5"/>
  <c r="H228" i="5"/>
  <c r="H337" i="5"/>
  <c r="H229" i="5"/>
  <c r="H338" i="5"/>
  <c r="H440" i="5"/>
  <c r="H230" i="5"/>
  <c r="H339" i="5"/>
  <c r="H441" i="5"/>
  <c r="F198" i="5"/>
  <c r="F283" i="5"/>
  <c r="F394" i="5"/>
  <c r="F229" i="5"/>
  <c r="F338" i="5"/>
  <c r="F440" i="5"/>
  <c r="F230" i="5"/>
  <c r="F339" i="5"/>
  <c r="F441" i="5"/>
  <c r="F227" i="5"/>
  <c r="F336" i="5"/>
  <c r="F228" i="5"/>
  <c r="F337" i="5"/>
  <c r="G197" i="5"/>
  <c r="G282" i="5"/>
  <c r="G198" i="5"/>
  <c r="G283" i="5"/>
  <c r="G394" i="5"/>
  <c r="G199" i="5"/>
  <c r="G284" i="5"/>
  <c r="G395" i="5"/>
  <c r="G196" i="5"/>
  <c r="G281" i="5"/>
  <c r="H196" i="5"/>
  <c r="H281" i="5"/>
  <c r="H197" i="5"/>
  <c r="H282" i="5"/>
  <c r="H198" i="5"/>
  <c r="H283" i="5"/>
  <c r="H394" i="5"/>
  <c r="H199" i="5"/>
  <c r="H284" i="5"/>
  <c r="H395" i="5"/>
  <c r="F199" i="5"/>
  <c r="F284" i="5"/>
  <c r="F395" i="5"/>
  <c r="F196" i="5"/>
  <c r="F281" i="5"/>
  <c r="F197" i="5"/>
  <c r="F282" i="5"/>
  <c r="H216" i="4"/>
  <c r="H352" i="4"/>
  <c r="H455" i="4"/>
  <c r="H217" i="4"/>
  <c r="H353" i="4"/>
  <c r="H456" i="4"/>
  <c r="H215" i="4"/>
  <c r="H351" i="4"/>
  <c r="F216" i="4"/>
  <c r="F352" i="4"/>
  <c r="F455" i="4"/>
  <c r="F217" i="4"/>
  <c r="F353" i="4"/>
  <c r="F456" i="4"/>
  <c r="F215" i="4"/>
  <c r="G217" i="4"/>
  <c r="G353" i="4"/>
  <c r="G456" i="4"/>
  <c r="G215" i="4"/>
  <c r="G216" i="4"/>
  <c r="G352" i="4"/>
  <c r="G455" i="4"/>
  <c r="F188" i="4"/>
  <c r="F303" i="4"/>
  <c r="F410" i="4"/>
  <c r="F186" i="4"/>
  <c r="F187" i="4"/>
  <c r="F302" i="4"/>
  <c r="F409" i="4"/>
  <c r="H186" i="4"/>
  <c r="H301" i="4"/>
  <c r="H187" i="4"/>
  <c r="H302" i="4"/>
  <c r="H409" i="4"/>
  <c r="H188" i="4"/>
  <c r="H303" i="4"/>
  <c r="H410" i="4"/>
  <c r="G187" i="4"/>
  <c r="G302" i="4"/>
  <c r="G409" i="4"/>
  <c r="G188" i="4"/>
  <c r="G303" i="4"/>
  <c r="G410" i="4"/>
  <c r="G186" i="4"/>
  <c r="H186" i="3"/>
  <c r="H261" i="3"/>
  <c r="H214" i="3"/>
  <c r="H309" i="3"/>
  <c r="F186" i="3"/>
  <c r="F261" i="3"/>
  <c r="G186" i="3"/>
  <c r="J111" i="3"/>
  <c r="F257" i="8"/>
  <c r="F365" i="8"/>
  <c r="F256" i="8"/>
  <c r="F364" i="8"/>
  <c r="G256" i="8"/>
  <c r="G364" i="8"/>
  <c r="G257" i="8"/>
  <c r="G365" i="8"/>
  <c r="H257" i="8"/>
  <c r="H365" i="8"/>
  <c r="H256" i="8"/>
  <c r="H364" i="8"/>
  <c r="H208" i="8"/>
  <c r="H294" i="8"/>
  <c r="H409" i="8"/>
  <c r="H242" i="8"/>
  <c r="H350" i="8"/>
  <c r="H461" i="8"/>
  <c r="H210" i="8"/>
  <c r="H296" i="8"/>
  <c r="H411" i="8"/>
  <c r="I138" i="8"/>
  <c r="J138" i="8"/>
  <c r="H239" i="8"/>
  <c r="H347" i="8"/>
  <c r="H245" i="8"/>
  <c r="H353" i="8"/>
  <c r="H464" i="8"/>
  <c r="H241" i="8"/>
  <c r="H349" i="8"/>
  <c r="H460" i="8"/>
  <c r="H240" i="8"/>
  <c r="H348" i="8"/>
  <c r="H459" i="8"/>
  <c r="F225" i="8"/>
  <c r="F311" i="8"/>
  <c r="F224" i="8"/>
  <c r="F310" i="8"/>
  <c r="F228" i="8"/>
  <c r="F314" i="8"/>
  <c r="F429" i="8"/>
  <c r="G224" i="8"/>
  <c r="G310" i="8"/>
  <c r="G225" i="8"/>
  <c r="G311" i="8"/>
  <c r="G228" i="8"/>
  <c r="G314" i="8"/>
  <c r="G429" i="8"/>
  <c r="H228" i="8"/>
  <c r="H314" i="8"/>
  <c r="H429" i="8"/>
  <c r="H224" i="8"/>
  <c r="H310" i="8"/>
  <c r="H225" i="8"/>
  <c r="H311" i="8"/>
  <c r="F189" i="7"/>
  <c r="F306" i="7"/>
  <c r="F410" i="7"/>
  <c r="F217" i="7"/>
  <c r="F355" i="7"/>
  <c r="F218" i="7"/>
  <c r="F356" i="7"/>
  <c r="F219" i="7"/>
  <c r="F357" i="7"/>
  <c r="F452" i="7"/>
  <c r="H189" i="7"/>
  <c r="H306" i="7"/>
  <c r="H410" i="7"/>
  <c r="H218" i="7"/>
  <c r="H356" i="7"/>
  <c r="H219" i="7"/>
  <c r="H357" i="7"/>
  <c r="H452" i="7"/>
  <c r="H217" i="7"/>
  <c r="H355" i="7"/>
  <c r="G189" i="7"/>
  <c r="G306" i="7"/>
  <c r="G410" i="7"/>
  <c r="G219" i="7"/>
  <c r="G357" i="7"/>
  <c r="G452" i="7"/>
  <c r="G217" i="7"/>
  <c r="G355" i="7"/>
  <c r="G218" i="7"/>
  <c r="G356" i="7"/>
  <c r="F187" i="7"/>
  <c r="F304" i="7"/>
  <c r="F188" i="7"/>
  <c r="F305" i="7"/>
  <c r="H187" i="7"/>
  <c r="H304" i="7"/>
  <c r="H188" i="7"/>
  <c r="H305" i="7"/>
  <c r="G187" i="7"/>
  <c r="G304" i="7"/>
  <c r="G188" i="7"/>
  <c r="G305" i="7"/>
  <c r="I234" i="8"/>
  <c r="I229" i="8"/>
  <c r="G214" i="8"/>
  <c r="I200" i="8"/>
  <c r="I193" i="8"/>
  <c r="I192" i="8"/>
  <c r="I201" i="8"/>
  <c r="I254" i="8"/>
  <c r="I191" i="8"/>
  <c r="I194" i="8"/>
  <c r="I166" i="8"/>
  <c r="I199" i="8"/>
  <c r="I198" i="8"/>
  <c r="G166" i="8"/>
  <c r="G199" i="8"/>
  <c r="G330" i="8"/>
  <c r="G198" i="8"/>
  <c r="G329" i="8"/>
  <c r="H166" i="8"/>
  <c r="H199" i="8"/>
  <c r="H198" i="8"/>
  <c r="F169" i="8"/>
  <c r="F261" i="8"/>
  <c r="F199" i="8"/>
  <c r="F202" i="8"/>
  <c r="J165" i="8"/>
  <c r="J158" i="8"/>
  <c r="J172" i="8"/>
  <c r="I227" i="8"/>
  <c r="I313" i="8"/>
  <c r="I428" i="8"/>
  <c r="I259" i="8"/>
  <c r="I367" i="8"/>
  <c r="I478" i="8"/>
  <c r="I152" i="10"/>
  <c r="I173" i="10"/>
  <c r="G229" i="3"/>
  <c r="G235" i="3"/>
  <c r="F374" i="3"/>
  <c r="F375" i="3"/>
  <c r="F267" i="3"/>
  <c r="J122" i="3"/>
  <c r="I197" i="3"/>
  <c r="I292" i="3"/>
  <c r="I400" i="3"/>
  <c r="J124" i="3"/>
  <c r="I172" i="3"/>
  <c r="I247" i="3"/>
  <c r="I355" i="3"/>
  <c r="I169" i="3"/>
  <c r="I244" i="3"/>
  <c r="I352" i="3"/>
  <c r="I168" i="3"/>
  <c r="I173" i="3"/>
  <c r="I248" i="3"/>
  <c r="I356" i="3"/>
  <c r="I170" i="3"/>
  <c r="I245" i="3"/>
  <c r="I353" i="3"/>
  <c r="I171" i="3"/>
  <c r="I246" i="3"/>
  <c r="I354" i="3"/>
  <c r="I174" i="3"/>
  <c r="I249" i="3"/>
  <c r="I357" i="3"/>
  <c r="I142" i="3"/>
  <c r="I143" i="3"/>
  <c r="H258" i="3"/>
  <c r="I179" i="3"/>
  <c r="I254" i="3"/>
  <c r="I178" i="3"/>
  <c r="I150" i="3"/>
  <c r="I183" i="3"/>
  <c r="I184" i="3"/>
  <c r="I259" i="3"/>
  <c r="I367" i="3"/>
  <c r="I148" i="3"/>
  <c r="I185" i="3"/>
  <c r="I260" i="3"/>
  <c r="I368" i="3"/>
  <c r="I149" i="3"/>
  <c r="I228" i="3"/>
  <c r="I190" i="3"/>
  <c r="I191" i="3"/>
  <c r="I266" i="3"/>
  <c r="I374" i="3"/>
  <c r="G373" i="3"/>
  <c r="G375" i="3"/>
  <c r="G267" i="3"/>
  <c r="G351" i="3"/>
  <c r="G358" i="3"/>
  <c r="G250" i="3"/>
  <c r="H243" i="3"/>
  <c r="H175" i="3"/>
  <c r="H227" i="3"/>
  <c r="H151" i="3"/>
  <c r="H180" i="3"/>
  <c r="H254" i="3"/>
  <c r="H362" i="3"/>
  <c r="G255" i="3"/>
  <c r="G361" i="3"/>
  <c r="G363" i="3"/>
  <c r="G366" i="3"/>
  <c r="H265" i="3"/>
  <c r="H192" i="3"/>
  <c r="H361" i="3"/>
  <c r="F157" i="9"/>
  <c r="F230" i="9"/>
  <c r="F332" i="9"/>
  <c r="F447" i="9"/>
  <c r="H208" i="10"/>
  <c r="F171" i="9"/>
  <c r="J123" i="10"/>
  <c r="G196" i="9"/>
  <c r="G277" i="9"/>
  <c r="G200" i="9"/>
  <c r="G202" i="9"/>
  <c r="G154" i="9"/>
  <c r="G168" i="9"/>
  <c r="G292" i="9"/>
  <c r="G293" i="9"/>
  <c r="G300" i="9"/>
  <c r="G342" i="9"/>
  <c r="K131" i="9"/>
  <c r="K146" i="9"/>
  <c r="K147" i="9"/>
  <c r="K150" i="9"/>
  <c r="I157" i="6"/>
  <c r="I244" i="6"/>
  <c r="G245" i="6"/>
  <c r="G382" i="6"/>
  <c r="G497" i="6"/>
  <c r="G244" i="6"/>
  <c r="G381" i="6"/>
  <c r="H320" i="10"/>
  <c r="H437" i="10"/>
  <c r="I274" i="5"/>
  <c r="I385" i="5"/>
  <c r="I335" i="5"/>
  <c r="I437" i="5"/>
  <c r="J116" i="5"/>
  <c r="I221" i="5"/>
  <c r="I330" i="5"/>
  <c r="I432" i="5"/>
  <c r="I270" i="5"/>
  <c r="I381" i="5"/>
  <c r="I191" i="5"/>
  <c r="I276" i="5"/>
  <c r="I387" i="5"/>
  <c r="F408" i="8"/>
  <c r="F415" i="8"/>
  <c r="F300" i="8"/>
  <c r="G382" i="10"/>
  <c r="G330" i="10"/>
  <c r="G235" i="6"/>
  <c r="G372" i="6"/>
  <c r="F291" i="6"/>
  <c r="F298" i="6"/>
  <c r="F171" i="6"/>
  <c r="I266" i="6"/>
  <c r="H235" i="6"/>
  <c r="H372" i="6"/>
  <c r="F421" i="6"/>
  <c r="F313" i="6"/>
  <c r="H227" i="6"/>
  <c r="I177" i="6"/>
  <c r="I206" i="6"/>
  <c r="I322" i="6"/>
  <c r="I236" i="6"/>
  <c r="I373" i="6"/>
  <c r="I488" i="6"/>
  <c r="F235" i="6"/>
  <c r="F372" i="6"/>
  <c r="G367" i="10"/>
  <c r="G374" i="10"/>
  <c r="G313" i="6"/>
  <c r="G257" i="6"/>
  <c r="H197" i="6"/>
  <c r="H257" i="6"/>
  <c r="F472" i="6"/>
  <c r="F364" i="6"/>
  <c r="G472" i="6"/>
  <c r="G364" i="6"/>
  <c r="H186" i="5"/>
  <c r="H217" i="5"/>
  <c r="I280" i="5"/>
  <c r="I391" i="5"/>
  <c r="G421" i="5"/>
  <c r="G326" i="5"/>
  <c r="F299" i="5"/>
  <c r="I119" i="5"/>
  <c r="I123" i="5"/>
  <c r="I329" i="5"/>
  <c r="I431" i="5"/>
  <c r="I190" i="5"/>
  <c r="I275" i="5"/>
  <c r="I386" i="5"/>
  <c r="F421" i="5"/>
  <c r="F428" i="5"/>
  <c r="F326" i="5"/>
  <c r="G375" i="5"/>
  <c r="G382" i="5"/>
  <c r="G271" i="5"/>
  <c r="I211" i="3"/>
  <c r="I213" i="3"/>
  <c r="I308" i="3"/>
  <c r="I416" i="3"/>
  <c r="I212" i="3"/>
  <c r="I307" i="3"/>
  <c r="I415" i="3"/>
  <c r="H291" i="3"/>
  <c r="H399" i="3"/>
  <c r="H406" i="3"/>
  <c r="H203" i="3"/>
  <c r="H234" i="10"/>
  <c r="H203" i="10"/>
  <c r="H265" i="10"/>
  <c r="F432" i="10"/>
  <c r="F439" i="10"/>
  <c r="F322" i="10"/>
  <c r="H242" i="10"/>
  <c r="H382" i="10"/>
  <c r="G234" i="10"/>
  <c r="F242" i="10"/>
  <c r="F382" i="10"/>
  <c r="I176" i="10"/>
  <c r="I211" i="10"/>
  <c r="I274" i="10"/>
  <c r="I212" i="10"/>
  <c r="F367" i="10"/>
  <c r="F234" i="10"/>
  <c r="I243" i="10"/>
  <c r="H221" i="9"/>
  <c r="H323" i="9"/>
  <c r="F222" i="9"/>
  <c r="F324" i="9"/>
  <c r="F439" i="9"/>
  <c r="H191" i="9"/>
  <c r="H272" i="9"/>
  <c r="F372" i="9"/>
  <c r="F264" i="9"/>
  <c r="G222" i="9"/>
  <c r="G324" i="9"/>
  <c r="G439" i="9"/>
  <c r="H222" i="9"/>
  <c r="H324" i="9"/>
  <c r="H439" i="9"/>
  <c r="H183" i="9"/>
  <c r="G372" i="9"/>
  <c r="G379" i="9"/>
  <c r="G264" i="9"/>
  <c r="I178" i="9"/>
  <c r="I259" i="9"/>
  <c r="I374" i="9"/>
  <c r="H308" i="9"/>
  <c r="H213" i="9"/>
  <c r="G221" i="9"/>
  <c r="G323" i="9"/>
  <c r="G308" i="9"/>
  <c r="G213" i="9"/>
  <c r="I222" i="9"/>
  <c r="I324" i="9"/>
  <c r="I439" i="9"/>
  <c r="F423" i="9"/>
  <c r="F430" i="9"/>
  <c r="F315" i="9"/>
  <c r="F112" i="11"/>
  <c r="G112" i="11"/>
  <c r="G116" i="11"/>
  <c r="G122" i="11"/>
  <c r="C115" i="11"/>
  <c r="C116" i="11"/>
  <c r="C122" i="11"/>
  <c r="G408" i="8"/>
  <c r="G300" i="8"/>
  <c r="K126" i="7"/>
  <c r="K140" i="7"/>
  <c r="F151" i="7"/>
  <c r="F220" i="7"/>
  <c r="F433" i="7"/>
  <c r="F185" i="7"/>
  <c r="F302" i="7"/>
  <c r="H177" i="7"/>
  <c r="H338" i="7"/>
  <c r="H433" i="7"/>
  <c r="H230" i="4"/>
  <c r="H215" i="7"/>
  <c r="H353" i="7"/>
  <c r="I216" i="7"/>
  <c r="I354" i="7"/>
  <c r="I449" i="7"/>
  <c r="I186" i="7"/>
  <c r="I303" i="7"/>
  <c r="I407" i="7"/>
  <c r="G257" i="4"/>
  <c r="G230" i="4"/>
  <c r="I199" i="4"/>
  <c r="I335" i="4"/>
  <c r="I438" i="4"/>
  <c r="I214" i="4"/>
  <c r="I350" i="4"/>
  <c r="I453" i="4"/>
  <c r="I198" i="4"/>
  <c r="I334" i="4"/>
  <c r="I126" i="4"/>
  <c r="H149" i="4"/>
  <c r="H150" i="4"/>
  <c r="H155" i="4"/>
  <c r="H267" i="4"/>
  <c r="G269" i="4"/>
  <c r="G273" i="4"/>
  <c r="G384" i="4"/>
  <c r="G385" i="4"/>
  <c r="G291" i="4"/>
  <c r="F176" i="4"/>
  <c r="F437" i="4"/>
  <c r="G176" i="4"/>
  <c r="G158" i="4"/>
  <c r="I157" i="4"/>
  <c r="I213" i="4"/>
  <c r="I184" i="4"/>
  <c r="G254" i="8"/>
  <c r="G362" i="8"/>
  <c r="I226" i="8"/>
  <c r="I312" i="8"/>
  <c r="I427" i="8"/>
  <c r="I258" i="8"/>
  <c r="I366" i="8"/>
  <c r="I477" i="8"/>
  <c r="I255" i="8"/>
  <c r="I363" i="8"/>
  <c r="I474" i="8"/>
  <c r="I223" i="8"/>
  <c r="I309" i="8"/>
  <c r="I424" i="8"/>
  <c r="H254" i="8"/>
  <c r="H362" i="8"/>
  <c r="F165" i="7"/>
  <c r="H148" i="7"/>
  <c r="H162" i="7"/>
  <c r="H322" i="7"/>
  <c r="I181" i="8"/>
  <c r="H181" i="8"/>
  <c r="F160" i="10"/>
  <c r="F181" i="10"/>
  <c r="F351" i="10"/>
  <c r="F352" i="10"/>
  <c r="F359" i="10"/>
  <c r="H201" i="9"/>
  <c r="H282" i="9"/>
  <c r="H397" i="9"/>
  <c r="H196" i="9"/>
  <c r="H277" i="9"/>
  <c r="H392" i="9"/>
  <c r="H161" i="9"/>
  <c r="H241" i="9"/>
  <c r="H160" i="9"/>
  <c r="H240" i="9"/>
  <c r="H172" i="4"/>
  <c r="H287" i="4"/>
  <c r="H394" i="4"/>
  <c r="H146" i="4"/>
  <c r="H192" i="4"/>
  <c r="H307" i="4"/>
  <c r="H156" i="4"/>
  <c r="H268" i="4"/>
  <c r="F156" i="4"/>
  <c r="F268" i="4"/>
  <c r="F269" i="4"/>
  <c r="F273" i="4"/>
  <c r="F384" i="4"/>
  <c r="F385" i="4"/>
  <c r="G166" i="5"/>
  <c r="G246" i="5"/>
  <c r="I222" i="5"/>
  <c r="I331" i="5"/>
  <c r="I433" i="5"/>
  <c r="I167" i="5"/>
  <c r="I173" i="5"/>
  <c r="F172" i="5"/>
  <c r="F174" i="5"/>
  <c r="F155" i="5"/>
  <c r="H275" i="8"/>
  <c r="H195" i="8"/>
  <c r="F275" i="8"/>
  <c r="F195" i="8"/>
  <c r="H185" i="8"/>
  <c r="H219" i="8"/>
  <c r="I126" i="8"/>
  <c r="I130" i="8"/>
  <c r="I260" i="8"/>
  <c r="I368" i="8"/>
  <c r="I479" i="8"/>
  <c r="G180" i="10"/>
  <c r="G184" i="10"/>
  <c r="H167" i="6"/>
  <c r="H289" i="6"/>
  <c r="F303" i="3"/>
  <c r="H159" i="10"/>
  <c r="H160" i="10"/>
  <c r="H181" i="10"/>
  <c r="H351" i="10"/>
  <c r="E450" i="7"/>
  <c r="E408" i="7"/>
  <c r="G276" i="8"/>
  <c r="H190" i="7"/>
  <c r="H307" i="7"/>
  <c r="H411" i="7"/>
  <c r="G155" i="7"/>
  <c r="G271" i="7"/>
  <c r="I157" i="7"/>
  <c r="I185" i="7"/>
  <c r="I156" i="7"/>
  <c r="I144" i="7"/>
  <c r="I190" i="7"/>
  <c r="I307" i="7"/>
  <c r="I411" i="7"/>
  <c r="I155" i="7"/>
  <c r="I271" i="7"/>
  <c r="F155" i="7"/>
  <c r="F271" i="7"/>
  <c r="I136" i="10"/>
  <c r="I166" i="10"/>
  <c r="I126" i="10"/>
  <c r="I130" i="10"/>
  <c r="H318" i="10"/>
  <c r="H435" i="10"/>
  <c r="H161" i="3"/>
  <c r="G192" i="11"/>
  <c r="G185" i="11"/>
  <c r="G191" i="11"/>
  <c r="C183" i="11"/>
  <c r="G233" i="11"/>
  <c r="C235" i="11"/>
  <c r="F144" i="11"/>
  <c r="G144" i="11"/>
  <c r="G148" i="11"/>
  <c r="G154" i="11"/>
  <c r="G160" i="11"/>
  <c r="G163" i="11"/>
  <c r="G172" i="11"/>
  <c r="C173" i="11"/>
  <c r="G96" i="11"/>
  <c r="G100" i="11"/>
  <c r="G106" i="11"/>
  <c r="C146" i="11"/>
  <c r="C148" i="11"/>
  <c r="H496" i="10"/>
  <c r="F378" i="10"/>
  <c r="F239" i="10"/>
  <c r="I158" i="5"/>
  <c r="I159" i="5"/>
  <c r="I152" i="5"/>
  <c r="I153" i="5"/>
  <c r="I172" i="5"/>
  <c r="G239" i="10"/>
  <c r="F276" i="8"/>
  <c r="H251" i="8"/>
  <c r="F260" i="7"/>
  <c r="I154" i="7"/>
  <c r="I270" i="7"/>
  <c r="G149" i="5"/>
  <c r="G205" i="5"/>
  <c r="G155" i="5"/>
  <c r="G174" i="5"/>
  <c r="H192" i="5"/>
  <c r="H332" i="5"/>
  <c r="H223" i="5"/>
  <c r="F258" i="4"/>
  <c r="F192" i="4"/>
  <c r="F307" i="4"/>
  <c r="H160" i="3"/>
  <c r="J118" i="5"/>
  <c r="K118" i="5"/>
  <c r="H434" i="5"/>
  <c r="F468" i="8"/>
  <c r="F470" i="8"/>
  <c r="F329" i="8"/>
  <c r="G192" i="4"/>
  <c r="G193" i="4"/>
  <c r="G308" i="4"/>
  <c r="G415" i="4"/>
  <c r="H174" i="6"/>
  <c r="H340" i="6"/>
  <c r="H342" i="6"/>
  <c r="H349" i="6"/>
  <c r="I175" i="10"/>
  <c r="G171" i="6"/>
  <c r="G299" i="10"/>
  <c r="I164" i="6"/>
  <c r="I280" i="6"/>
  <c r="F150" i="6"/>
  <c r="F215" i="6"/>
  <c r="F331" i="6"/>
  <c r="F446" i="6"/>
  <c r="H194" i="7"/>
  <c r="H311" i="7"/>
  <c r="I190" i="10"/>
  <c r="I283" i="10"/>
  <c r="I238" i="10"/>
  <c r="F442" i="10"/>
  <c r="F444" i="10"/>
  <c r="H285" i="10"/>
  <c r="H177" i="10"/>
  <c r="H270" i="10"/>
  <c r="I207" i="10"/>
  <c r="I284" i="10"/>
  <c r="I269" i="10"/>
  <c r="I182" i="10"/>
  <c r="I237" i="10"/>
  <c r="I230" i="10"/>
  <c r="H156" i="10"/>
  <c r="H217" i="10"/>
  <c r="I206" i="10"/>
  <c r="I189" i="10"/>
  <c r="I268" i="10"/>
  <c r="I229" i="10"/>
  <c r="I183" i="10"/>
  <c r="I242" i="10"/>
  <c r="I161" i="9"/>
  <c r="I241" i="9"/>
  <c r="I273" i="9"/>
  <c r="I388" i="9"/>
  <c r="H195" i="7"/>
  <c r="H312" i="7"/>
  <c r="H416" i="7"/>
  <c r="G183" i="6"/>
  <c r="I227" i="10"/>
  <c r="I228" i="10"/>
  <c r="G218" i="9"/>
  <c r="K136" i="8"/>
  <c r="J179" i="8"/>
  <c r="J184" i="8"/>
  <c r="H388" i="5"/>
  <c r="F391" i="4"/>
  <c r="F398" i="4"/>
  <c r="F337" i="4"/>
  <c r="F341" i="4"/>
  <c r="F152" i="4"/>
  <c r="F401" i="4"/>
  <c r="F403" i="4"/>
  <c r="F296" i="4"/>
  <c r="G163" i="3"/>
  <c r="G156" i="10"/>
  <c r="G217" i="10"/>
  <c r="I231" i="10"/>
  <c r="I232" i="10"/>
  <c r="H239" i="10"/>
  <c r="F289" i="5"/>
  <c r="F206" i="5"/>
  <c r="F396" i="5"/>
  <c r="H367" i="10"/>
  <c r="H374" i="10"/>
  <c r="I207" i="9"/>
  <c r="I309" i="9"/>
  <c r="I424" i="9"/>
  <c r="I180" i="9"/>
  <c r="I261" i="9"/>
  <c r="I376" i="9"/>
  <c r="I250" i="8"/>
  <c r="I358" i="8"/>
  <c r="I469" i="8"/>
  <c r="I299" i="8"/>
  <c r="I414" i="8"/>
  <c r="I217" i="8"/>
  <c r="J123" i="8"/>
  <c r="J173" i="8"/>
  <c r="J175" i="8"/>
  <c r="J159" i="8"/>
  <c r="J162" i="8"/>
  <c r="J233" i="8"/>
  <c r="I218" i="8"/>
  <c r="I304" i="8"/>
  <c r="I419" i="8"/>
  <c r="I249" i="8"/>
  <c r="G468" i="8"/>
  <c r="G470" i="8"/>
  <c r="G359" i="8"/>
  <c r="H331" i="10"/>
  <c r="H448" i="10"/>
  <c r="F369" i="6"/>
  <c r="F482" i="6"/>
  <c r="F484" i="6"/>
  <c r="G178" i="6"/>
  <c r="G342" i="6"/>
  <c r="G349" i="6"/>
  <c r="H162" i="5"/>
  <c r="H145" i="3"/>
  <c r="G170" i="10"/>
  <c r="G279" i="10"/>
  <c r="I212" i="9"/>
  <c r="I314" i="9"/>
  <c r="I429" i="9"/>
  <c r="H157" i="6"/>
  <c r="H240" i="6"/>
  <c r="H377" i="6"/>
  <c r="H492" i="6"/>
  <c r="G164" i="6"/>
  <c r="G270" i="6"/>
  <c r="H150" i="6"/>
  <c r="H210" i="6"/>
  <c r="H326" i="6"/>
  <c r="H441" i="6"/>
  <c r="G262" i="6"/>
  <c r="F423" i="6"/>
  <c r="H277" i="5"/>
  <c r="G162" i="5"/>
  <c r="G163" i="10"/>
  <c r="G252" i="10"/>
  <c r="J152" i="10"/>
  <c r="K134" i="10"/>
  <c r="G177" i="10"/>
  <c r="F170" i="10"/>
  <c r="F191" i="10"/>
  <c r="I264" i="10"/>
  <c r="I263" i="10"/>
  <c r="I262" i="10"/>
  <c r="I196" i="10"/>
  <c r="I200" i="10"/>
  <c r="I259" i="10"/>
  <c r="I201" i="10"/>
  <c r="J138" i="10"/>
  <c r="I260" i="10"/>
  <c r="I261" i="10"/>
  <c r="I258" i="10"/>
  <c r="I199" i="10"/>
  <c r="I197" i="10"/>
  <c r="I198" i="10"/>
  <c r="I202" i="10"/>
  <c r="I233" i="10"/>
  <c r="I216" i="9"/>
  <c r="I318" i="9"/>
  <c r="I211" i="9"/>
  <c r="I313" i="9"/>
  <c r="I428" i="9"/>
  <c r="I179" i="9"/>
  <c r="I260" i="9"/>
  <c r="I375" i="9"/>
  <c r="I181" i="9"/>
  <c r="I262" i="9"/>
  <c r="I377" i="9"/>
  <c r="I210" i="9"/>
  <c r="I312" i="9"/>
  <c r="I427" i="9"/>
  <c r="I206" i="9"/>
  <c r="I176" i="9"/>
  <c r="I153" i="9"/>
  <c r="I154" i="9"/>
  <c r="I208" i="9"/>
  <c r="I310" i="9"/>
  <c r="I425" i="9"/>
  <c r="I170" i="9"/>
  <c r="F144" i="7"/>
  <c r="F190" i="7"/>
  <c r="H212" i="7"/>
  <c r="H272" i="7"/>
  <c r="H279" i="7"/>
  <c r="F183" i="6"/>
  <c r="I147" i="6"/>
  <c r="I150" i="6"/>
  <c r="K131" i="6"/>
  <c r="J146" i="6"/>
  <c r="I182" i="6"/>
  <c r="G150" i="6"/>
  <c r="K129" i="5"/>
  <c r="K152" i="5"/>
  <c r="K153" i="5"/>
  <c r="J158" i="5"/>
  <c r="I144" i="4"/>
  <c r="G221" i="4"/>
  <c r="G222" i="4"/>
  <c r="G358" i="4"/>
  <c r="G461" i="4"/>
  <c r="K124" i="4"/>
  <c r="J143" i="4"/>
  <c r="J144" i="4"/>
  <c r="F298" i="10"/>
  <c r="F177" i="10"/>
  <c r="H187" i="10"/>
  <c r="H167" i="10"/>
  <c r="H188" i="10"/>
  <c r="F490" i="10"/>
  <c r="G191" i="10"/>
  <c r="F156" i="10"/>
  <c r="I163" i="9"/>
  <c r="J120" i="9"/>
  <c r="I187" i="9"/>
  <c r="I268" i="9"/>
  <c r="I383" i="9"/>
  <c r="I162" i="9"/>
  <c r="I186" i="9"/>
  <c r="I123" i="9"/>
  <c r="I127" i="9"/>
  <c r="I182" i="9"/>
  <c r="I263" i="9"/>
  <c r="I378" i="9"/>
  <c r="I160" i="9"/>
  <c r="I240" i="9"/>
  <c r="I209" i="9"/>
  <c r="I169" i="9"/>
  <c r="H257" i="9"/>
  <c r="H264" i="9"/>
  <c r="F161" i="9"/>
  <c r="F241" i="9"/>
  <c r="F150" i="9"/>
  <c r="I217" i="9"/>
  <c r="I319" i="9"/>
  <c r="I434" i="9"/>
  <c r="I177" i="9"/>
  <c r="I258" i="9"/>
  <c r="I373" i="9"/>
  <c r="K135" i="9"/>
  <c r="F374" i="9"/>
  <c r="H318" i="9"/>
  <c r="H218" i="9"/>
  <c r="F382" i="9"/>
  <c r="F384" i="9"/>
  <c r="F269" i="9"/>
  <c r="H267" i="9"/>
  <c r="H188" i="9"/>
  <c r="F240" i="9"/>
  <c r="G433" i="9"/>
  <c r="G435" i="9"/>
  <c r="G320" i="9"/>
  <c r="G188" i="8"/>
  <c r="H188" i="8"/>
  <c r="G424" i="8"/>
  <c r="I188" i="8"/>
  <c r="G418" i="8"/>
  <c r="G420" i="8"/>
  <c r="G305" i="8"/>
  <c r="H418" i="8"/>
  <c r="H420" i="8"/>
  <c r="H305" i="8"/>
  <c r="G411" i="8"/>
  <c r="H468" i="8"/>
  <c r="H470" i="8"/>
  <c r="H359" i="8"/>
  <c r="G458" i="8"/>
  <c r="K134" i="8"/>
  <c r="G275" i="8"/>
  <c r="L126" i="7"/>
  <c r="H158" i="7"/>
  <c r="F270" i="7"/>
  <c r="I210" i="7"/>
  <c r="I181" i="7"/>
  <c r="I298" i="7"/>
  <c r="I402" i="7"/>
  <c r="I118" i="7"/>
  <c r="I122" i="7"/>
  <c r="I293" i="7"/>
  <c r="I397" i="7"/>
  <c r="I211" i="7"/>
  <c r="I349" i="7"/>
  <c r="I444" i="7"/>
  <c r="I255" i="7"/>
  <c r="I164" i="7"/>
  <c r="J115" i="7"/>
  <c r="I163" i="7"/>
  <c r="I180" i="7"/>
  <c r="I256" i="7"/>
  <c r="I194" i="7"/>
  <c r="I240" i="7"/>
  <c r="I247" i="7"/>
  <c r="I246" i="7"/>
  <c r="I248" i="7"/>
  <c r="I241" i="7"/>
  <c r="I250" i="7"/>
  <c r="H287" i="7"/>
  <c r="H294" i="7"/>
  <c r="I205" i="7"/>
  <c r="I343" i="7"/>
  <c r="I438" i="7"/>
  <c r="I173" i="7"/>
  <c r="I290" i="7"/>
  <c r="I394" i="7"/>
  <c r="I171" i="7"/>
  <c r="I288" i="7"/>
  <c r="I392" i="7"/>
  <c r="I174" i="7"/>
  <c r="I291" i="7"/>
  <c r="I395" i="7"/>
  <c r="I200" i="7"/>
  <c r="I206" i="7"/>
  <c r="I344" i="7"/>
  <c r="I439" i="7"/>
  <c r="I236" i="7"/>
  <c r="I175" i="7"/>
  <c r="I292" i="7"/>
  <c r="I396" i="7"/>
  <c r="I201" i="7"/>
  <c r="I339" i="7"/>
  <c r="I434" i="7"/>
  <c r="I170" i="7"/>
  <c r="I230" i="7"/>
  <c r="I172" i="7"/>
  <c r="I289" i="7"/>
  <c r="I393" i="7"/>
  <c r="I202" i="7"/>
  <c r="I340" i="7"/>
  <c r="I435" i="7"/>
  <c r="J130" i="7"/>
  <c r="I231" i="7"/>
  <c r="I232" i="7"/>
  <c r="I235" i="7"/>
  <c r="I233" i="7"/>
  <c r="I234" i="7"/>
  <c r="I204" i="7"/>
  <c r="I342" i="7"/>
  <c r="I437" i="7"/>
  <c r="F391" i="7"/>
  <c r="F398" i="7"/>
  <c r="G162" i="7"/>
  <c r="G322" i="7"/>
  <c r="G151" i="7"/>
  <c r="G391" i="7"/>
  <c r="G398" i="7"/>
  <c r="G443" i="7"/>
  <c r="G445" i="7"/>
  <c r="G350" i="7"/>
  <c r="G433" i="7"/>
  <c r="G321" i="7"/>
  <c r="G401" i="7"/>
  <c r="G403" i="7"/>
  <c r="G299" i="7"/>
  <c r="J141" i="7"/>
  <c r="H257" i="7"/>
  <c r="H182" i="7"/>
  <c r="H297" i="7"/>
  <c r="H302" i="7"/>
  <c r="H237" i="7"/>
  <c r="G144" i="7"/>
  <c r="G190" i="7"/>
  <c r="F299" i="7"/>
  <c r="F401" i="7"/>
  <c r="F403" i="7"/>
  <c r="I245" i="7"/>
  <c r="H350" i="7"/>
  <c r="H443" i="7"/>
  <c r="H445" i="7"/>
  <c r="H161" i="7"/>
  <c r="H242" i="7"/>
  <c r="G270" i="7"/>
  <c r="J128" i="7"/>
  <c r="I147" i="7"/>
  <c r="H427" i="6"/>
  <c r="H321" i="10"/>
  <c r="H438" i="10"/>
  <c r="G482" i="6"/>
  <c r="G484" i="6"/>
  <c r="G369" i="6"/>
  <c r="K153" i="6"/>
  <c r="L133" i="6"/>
  <c r="K160" i="6"/>
  <c r="G421" i="6"/>
  <c r="G428" i="6"/>
  <c r="G315" i="10"/>
  <c r="G322" i="10"/>
  <c r="G431" i="6"/>
  <c r="G433" i="6"/>
  <c r="G377" i="10"/>
  <c r="G318" i="6"/>
  <c r="G325" i="10"/>
  <c r="H423" i="6"/>
  <c r="H317" i="10"/>
  <c r="H434" i="10"/>
  <c r="H306" i="6"/>
  <c r="H313" i="6"/>
  <c r="H262" i="6"/>
  <c r="H367" i="6"/>
  <c r="H232" i="6"/>
  <c r="G291" i="6"/>
  <c r="G298" i="6"/>
  <c r="G350" i="10"/>
  <c r="G298" i="10"/>
  <c r="G181" i="6"/>
  <c r="H319" i="10"/>
  <c r="H436" i="10"/>
  <c r="H425" i="6"/>
  <c r="H326" i="10"/>
  <c r="H443" i="10"/>
  <c r="H432" i="6"/>
  <c r="H357" i="6"/>
  <c r="H364" i="6"/>
  <c r="I230" i="6"/>
  <c r="I275" i="6"/>
  <c r="I274" i="6"/>
  <c r="J120" i="6"/>
  <c r="I201" i="6"/>
  <c r="I317" i="6"/>
  <c r="I231" i="6"/>
  <c r="I368" i="6"/>
  <c r="I483" i="6"/>
  <c r="I200" i="6"/>
  <c r="I169" i="6"/>
  <c r="I261" i="6"/>
  <c r="I193" i="6"/>
  <c r="I309" i="6"/>
  <c r="I224" i="6"/>
  <c r="I361" i="6"/>
  <c r="I476" i="6"/>
  <c r="I221" i="6"/>
  <c r="I358" i="6"/>
  <c r="I473" i="6"/>
  <c r="I123" i="6"/>
  <c r="I127" i="6"/>
  <c r="I167" i="6"/>
  <c r="I260" i="6"/>
  <c r="I312" i="6"/>
  <c r="I222" i="6"/>
  <c r="I359" i="6"/>
  <c r="I474" i="6"/>
  <c r="I220" i="6"/>
  <c r="I255" i="6"/>
  <c r="I250" i="6"/>
  <c r="I195" i="6"/>
  <c r="I311" i="6"/>
  <c r="I225" i="6"/>
  <c r="I362" i="6"/>
  <c r="I477" i="6"/>
  <c r="I254" i="6"/>
  <c r="I252" i="6"/>
  <c r="I251" i="6"/>
  <c r="I223" i="6"/>
  <c r="I360" i="6"/>
  <c r="I475" i="6"/>
  <c r="I194" i="6"/>
  <c r="I310" i="6"/>
  <c r="I191" i="6"/>
  <c r="I307" i="6"/>
  <c r="I170" i="6"/>
  <c r="I205" i="6"/>
  <c r="I253" i="6"/>
  <c r="I192" i="6"/>
  <c r="I308" i="6"/>
  <c r="I190" i="6"/>
  <c r="I256" i="6"/>
  <c r="I226" i="6"/>
  <c r="I363" i="6"/>
  <c r="I478" i="6"/>
  <c r="H202" i="6"/>
  <c r="I174" i="6"/>
  <c r="I183" i="6"/>
  <c r="H183" i="6"/>
  <c r="H164" i="6"/>
  <c r="I70" i="6"/>
  <c r="I181" i="6"/>
  <c r="F184" i="6"/>
  <c r="F157" i="6"/>
  <c r="F175" i="6"/>
  <c r="H182" i="6"/>
  <c r="G437" i="6"/>
  <c r="G383" i="10"/>
  <c r="G331" i="10"/>
  <c r="I176" i="6"/>
  <c r="H276" i="6"/>
  <c r="H422" i="6"/>
  <c r="H316" i="10"/>
  <c r="H433" i="10"/>
  <c r="H431" i="6"/>
  <c r="H325" i="10"/>
  <c r="H318" i="6"/>
  <c r="I184" i="6"/>
  <c r="H184" i="6"/>
  <c r="F181" i="6"/>
  <c r="G184" i="6"/>
  <c r="G182" i="6"/>
  <c r="I175" i="6"/>
  <c r="I341" i="6"/>
  <c r="J154" i="6"/>
  <c r="H321" i="6"/>
  <c r="H181" i="6"/>
  <c r="H165" i="5"/>
  <c r="H147" i="5"/>
  <c r="J127" i="5"/>
  <c r="I146" i="5"/>
  <c r="G299" i="5"/>
  <c r="G304" i="5"/>
  <c r="G311" i="5"/>
  <c r="G387" i="5"/>
  <c r="G388" i="5"/>
  <c r="G277" i="5"/>
  <c r="H264" i="5"/>
  <c r="H271" i="5"/>
  <c r="H319" i="5"/>
  <c r="H326" i="5"/>
  <c r="I216" i="5"/>
  <c r="I325" i="5"/>
  <c r="I427" i="5"/>
  <c r="I214" i="5"/>
  <c r="I323" i="5"/>
  <c r="I425" i="5"/>
  <c r="I213" i="5"/>
  <c r="I322" i="5"/>
  <c r="I424" i="5"/>
  <c r="J131" i="5"/>
  <c r="I215" i="5"/>
  <c r="I324" i="5"/>
  <c r="I426" i="5"/>
  <c r="I180" i="5"/>
  <c r="I265" i="5"/>
  <c r="I376" i="5"/>
  <c r="I184" i="5"/>
  <c r="I269" i="5"/>
  <c r="I380" i="5"/>
  <c r="I183" i="5"/>
  <c r="I268" i="5"/>
  <c r="I379" i="5"/>
  <c r="I212" i="5"/>
  <c r="I321" i="5"/>
  <c r="I423" i="5"/>
  <c r="I211" i="5"/>
  <c r="I320" i="5"/>
  <c r="I422" i="5"/>
  <c r="I210" i="5"/>
  <c r="I179" i="5"/>
  <c r="I181" i="5"/>
  <c r="I266" i="5"/>
  <c r="I377" i="5"/>
  <c r="I182" i="5"/>
  <c r="I267" i="5"/>
  <c r="I378" i="5"/>
  <c r="G245" i="5"/>
  <c r="G423" i="5"/>
  <c r="H300" i="5"/>
  <c r="H171" i="5"/>
  <c r="G437" i="4"/>
  <c r="G444" i="4"/>
  <c r="G391" i="4"/>
  <c r="G398" i="4"/>
  <c r="H299" i="4"/>
  <c r="H249" i="4"/>
  <c r="H334" i="4"/>
  <c r="H181" i="4"/>
  <c r="H294" i="4"/>
  <c r="I172" i="4"/>
  <c r="I287" i="4"/>
  <c r="I394" i="4"/>
  <c r="I231" i="4"/>
  <c r="I300" i="4"/>
  <c r="I407" i="4"/>
  <c r="I174" i="4"/>
  <c r="I289" i="4"/>
  <c r="I396" i="4"/>
  <c r="I233" i="4"/>
  <c r="I237" i="4"/>
  <c r="I204" i="4"/>
  <c r="I340" i="4"/>
  <c r="I443" i="4"/>
  <c r="I246" i="4"/>
  <c r="I242" i="4"/>
  <c r="I170" i="4"/>
  <c r="I285" i="4"/>
  <c r="I392" i="4"/>
  <c r="I252" i="4"/>
  <c r="J113" i="4"/>
  <c r="I202" i="4"/>
  <c r="I338" i="4"/>
  <c r="I441" i="4"/>
  <c r="I209" i="4"/>
  <c r="I345" i="4"/>
  <c r="I448" i="4"/>
  <c r="I155" i="4"/>
  <c r="I173" i="4"/>
  <c r="I288" i="4"/>
  <c r="I395" i="4"/>
  <c r="I247" i="4"/>
  <c r="I229" i="4"/>
  <c r="I200" i="4"/>
  <c r="I208" i="4"/>
  <c r="I203" i="4"/>
  <c r="I339" i="4"/>
  <c r="I442" i="4"/>
  <c r="I116" i="4"/>
  <c r="I120" i="4"/>
  <c r="I232" i="4"/>
  <c r="I169" i="4"/>
  <c r="I179" i="4"/>
  <c r="I171" i="4"/>
  <c r="I286" i="4"/>
  <c r="I393" i="4"/>
  <c r="I238" i="4"/>
  <c r="I180" i="4"/>
  <c r="I295" i="4"/>
  <c r="I402" i="4"/>
  <c r="I290" i="4"/>
  <c r="I397" i="4"/>
  <c r="I245" i="4"/>
  <c r="F259" i="4"/>
  <c r="G447" i="4"/>
  <c r="G449" i="4"/>
  <c r="G346" i="4"/>
  <c r="H344" i="4"/>
  <c r="H210" i="4"/>
  <c r="G401" i="4"/>
  <c r="G403" i="4"/>
  <c r="G296" i="4"/>
  <c r="H284" i="4"/>
  <c r="H239" i="4"/>
  <c r="H349" i="4"/>
  <c r="G406" i="4"/>
  <c r="H254" i="4"/>
  <c r="H306" i="3"/>
  <c r="G399" i="3"/>
  <c r="G406" i="3"/>
  <c r="G298" i="3"/>
  <c r="I200" i="3"/>
  <c r="I295" i="3"/>
  <c r="I403" i="3"/>
  <c r="I201" i="3"/>
  <c r="I296" i="3"/>
  <c r="I404" i="3"/>
  <c r="I199" i="3"/>
  <c r="I294" i="3"/>
  <c r="I402" i="3"/>
  <c r="I196" i="3"/>
  <c r="I112" i="3"/>
  <c r="I116" i="3"/>
  <c r="I162" i="3"/>
  <c r="J109" i="3"/>
  <c r="I206" i="3"/>
  <c r="I207" i="3"/>
  <c r="I302" i="3"/>
  <c r="I410" i="3"/>
  <c r="I198" i="3"/>
  <c r="I293" i="3"/>
  <c r="I401" i="3"/>
  <c r="I202" i="3"/>
  <c r="I297" i="3"/>
  <c r="I405" i="3"/>
  <c r="F399" i="3"/>
  <c r="F406" i="3"/>
  <c r="F298" i="3"/>
  <c r="F218" i="3"/>
  <c r="F313" i="3"/>
  <c r="F314" i="3"/>
  <c r="F422" i="3"/>
  <c r="G218" i="3"/>
  <c r="G219" i="3"/>
  <c r="G314" i="3"/>
  <c r="G422" i="3"/>
  <c r="I160" i="3"/>
  <c r="H208" i="3"/>
  <c r="H301" i="3"/>
  <c r="F414" i="3"/>
  <c r="I161" i="3"/>
  <c r="G138" i="11"/>
  <c r="C132" i="11"/>
  <c r="C138" i="11"/>
  <c r="E438" i="6"/>
  <c r="E389" i="9"/>
  <c r="E425" i="8"/>
  <c r="E438" i="5"/>
  <c r="E501" i="10"/>
  <c r="E440" i="9"/>
  <c r="E489" i="6"/>
  <c r="E475" i="8"/>
  <c r="E392" i="5"/>
  <c r="E449" i="10"/>
  <c r="C100" i="11"/>
  <c r="C106" i="11"/>
  <c r="J164" i="6"/>
  <c r="H154" i="9"/>
  <c r="H168" i="9"/>
  <c r="H292" i="9"/>
  <c r="H167" i="9"/>
  <c r="J153" i="9"/>
  <c r="K133" i="9"/>
  <c r="G475" i="6"/>
  <c r="F280" i="6"/>
  <c r="F270" i="6"/>
  <c r="F279" i="6"/>
  <c r="G377" i="6"/>
  <c r="F475" i="6"/>
  <c r="F323" i="7"/>
  <c r="F330" i="7"/>
  <c r="C211" i="11"/>
  <c r="G216" i="11"/>
  <c r="C218" i="11"/>
  <c r="E369" i="3"/>
  <c r="H379" i="10"/>
  <c r="H426" i="9"/>
  <c r="F293" i="9"/>
  <c r="F300" i="9"/>
  <c r="I201" i="9"/>
  <c r="I282" i="9"/>
  <c r="I397" i="9"/>
  <c r="I200" i="9"/>
  <c r="I196" i="9"/>
  <c r="H396" i="9"/>
  <c r="G426" i="9"/>
  <c r="G218" i="10"/>
  <c r="F440" i="9"/>
  <c r="H218" i="10"/>
  <c r="H501" i="10"/>
  <c r="I246" i="10"/>
  <c r="I277" i="10"/>
  <c r="I278" i="10"/>
  <c r="I275" i="10"/>
  <c r="I276" i="10"/>
  <c r="I245" i="10"/>
  <c r="K125" i="10"/>
  <c r="I244" i="10"/>
  <c r="I247" i="10"/>
  <c r="I213" i="10"/>
  <c r="I214" i="10"/>
  <c r="I215" i="10"/>
  <c r="I216" i="10"/>
  <c r="H440" i="6"/>
  <c r="I223" i="9"/>
  <c r="I325" i="9"/>
  <c r="I440" i="9"/>
  <c r="I224" i="9"/>
  <c r="I326" i="9"/>
  <c r="I225" i="9"/>
  <c r="I327" i="9"/>
  <c r="I442" i="9"/>
  <c r="I209" i="8"/>
  <c r="I295" i="8"/>
  <c r="I410" i="8"/>
  <c r="I193" i="9"/>
  <c r="I274" i="9"/>
  <c r="I389" i="9"/>
  <c r="I194" i="9"/>
  <c r="I275" i="9"/>
  <c r="I195" i="9"/>
  <c r="I276" i="9"/>
  <c r="I391" i="9"/>
  <c r="H354" i="4"/>
  <c r="H218" i="4"/>
  <c r="I238" i="6"/>
  <c r="I375" i="6"/>
  <c r="I267" i="6"/>
  <c r="I268" i="6"/>
  <c r="I269" i="6"/>
  <c r="I239" i="6"/>
  <c r="I376" i="6"/>
  <c r="I491" i="6"/>
  <c r="I237" i="6"/>
  <c r="I374" i="6"/>
  <c r="I489" i="6"/>
  <c r="K122" i="6"/>
  <c r="I207" i="6"/>
  <c r="I323" i="6"/>
  <c r="I384" i="10"/>
  <c r="I501" i="10"/>
  <c r="I208" i="6"/>
  <c r="I324" i="6"/>
  <c r="I385" i="10"/>
  <c r="I209" i="6"/>
  <c r="I325" i="6"/>
  <c r="I387" i="10"/>
  <c r="I504" i="10"/>
  <c r="G385" i="10"/>
  <c r="G333" i="10"/>
  <c r="G332" i="10"/>
  <c r="G449" i="10"/>
  <c r="G384" i="10"/>
  <c r="G501" i="10"/>
  <c r="G440" i="6"/>
  <c r="G387" i="10"/>
  <c r="G504" i="10"/>
  <c r="G335" i="10"/>
  <c r="G452" i="10"/>
  <c r="H189" i="4"/>
  <c r="F286" i="5"/>
  <c r="H300" i="8"/>
  <c r="I207" i="8"/>
  <c r="I293" i="8"/>
  <c r="I245" i="8"/>
  <c r="I353" i="8"/>
  <c r="I464" i="8"/>
  <c r="I208" i="8"/>
  <c r="I294" i="8"/>
  <c r="I409" i="8"/>
  <c r="I242" i="8"/>
  <c r="I350" i="8"/>
  <c r="I461" i="8"/>
  <c r="I241" i="8"/>
  <c r="I349" i="8"/>
  <c r="I460" i="8"/>
  <c r="I240" i="8"/>
  <c r="I348" i="8"/>
  <c r="I459" i="8"/>
  <c r="I239" i="8"/>
  <c r="I347" i="8"/>
  <c r="I243" i="8"/>
  <c r="I351" i="8"/>
  <c r="I462" i="8"/>
  <c r="I211" i="8"/>
  <c r="I297" i="8"/>
  <c r="I412" i="8"/>
  <c r="I212" i="8"/>
  <c r="I298" i="8"/>
  <c r="I413" i="8"/>
  <c r="I210" i="8"/>
  <c r="I296" i="8"/>
  <c r="I411" i="8"/>
  <c r="I230" i="5"/>
  <c r="I339" i="5"/>
  <c r="I441" i="5"/>
  <c r="I227" i="5"/>
  <c r="I336" i="5"/>
  <c r="I438" i="5"/>
  <c r="I228" i="5"/>
  <c r="I337" i="5"/>
  <c r="I229" i="5"/>
  <c r="I338" i="5"/>
  <c r="I440" i="5"/>
  <c r="F201" i="5"/>
  <c r="H187" i="3"/>
  <c r="I199" i="5"/>
  <c r="I284" i="5"/>
  <c r="I395" i="5"/>
  <c r="I196" i="5"/>
  <c r="I281" i="5"/>
  <c r="I392" i="5"/>
  <c r="I197" i="5"/>
  <c r="I282" i="5"/>
  <c r="I198" i="5"/>
  <c r="I283" i="5"/>
  <c r="I394" i="5"/>
  <c r="H214" i="8"/>
  <c r="F351" i="4"/>
  <c r="F354" i="4"/>
  <c r="F218" i="4"/>
  <c r="I215" i="4"/>
  <c r="I351" i="4"/>
  <c r="I216" i="4"/>
  <c r="I352" i="4"/>
  <c r="I455" i="4"/>
  <c r="I217" i="4"/>
  <c r="I353" i="4"/>
  <c r="I456" i="4"/>
  <c r="G351" i="4"/>
  <c r="G354" i="4"/>
  <c r="G218" i="4"/>
  <c r="F301" i="4"/>
  <c r="F304" i="4"/>
  <c r="F189" i="4"/>
  <c r="I186" i="4"/>
  <c r="I301" i="4"/>
  <c r="I187" i="4"/>
  <c r="I302" i="4"/>
  <c r="I409" i="4"/>
  <c r="I188" i="4"/>
  <c r="I303" i="4"/>
  <c r="I410" i="4"/>
  <c r="G301" i="4"/>
  <c r="G304" i="4"/>
  <c r="G189" i="4"/>
  <c r="H215" i="3"/>
  <c r="I186" i="3"/>
  <c r="I261" i="3"/>
  <c r="I369" i="3"/>
  <c r="I214" i="3"/>
  <c r="I215" i="3"/>
  <c r="H255" i="3"/>
  <c r="G261" i="3"/>
  <c r="G262" i="3"/>
  <c r="G269" i="3"/>
  <c r="G271" i="3"/>
  <c r="G187" i="3"/>
  <c r="K111" i="3"/>
  <c r="F309" i="3"/>
  <c r="F310" i="3"/>
  <c r="F215" i="3"/>
  <c r="G309" i="3"/>
  <c r="G310" i="3"/>
  <c r="G215" i="3"/>
  <c r="F262" i="3"/>
  <c r="F269" i="3"/>
  <c r="F271" i="3"/>
  <c r="F187" i="3"/>
  <c r="F262" i="8"/>
  <c r="I256" i="8"/>
  <c r="I364" i="8"/>
  <c r="I475" i="8"/>
  <c r="I257" i="8"/>
  <c r="I365" i="8"/>
  <c r="I228" i="8"/>
  <c r="I314" i="8"/>
  <c r="I429" i="8"/>
  <c r="I224" i="8"/>
  <c r="I310" i="8"/>
  <c r="I425" i="8"/>
  <c r="I225" i="8"/>
  <c r="I311" i="8"/>
  <c r="I189" i="7"/>
  <c r="I306" i="7"/>
  <c r="I410" i="7"/>
  <c r="I217" i="7"/>
  <c r="I355" i="7"/>
  <c r="I450" i="7"/>
  <c r="I218" i="7"/>
  <c r="I356" i="7"/>
  <c r="I219" i="7"/>
  <c r="I357" i="7"/>
  <c r="I452" i="7"/>
  <c r="I187" i="7"/>
  <c r="I304" i="7"/>
  <c r="I408" i="7"/>
  <c r="I188" i="7"/>
  <c r="I305" i="7"/>
  <c r="J234" i="8"/>
  <c r="J229" i="8"/>
  <c r="I169" i="8"/>
  <c r="I266" i="8"/>
  <c r="I374" i="8"/>
  <c r="F265" i="8"/>
  <c r="H169" i="8"/>
  <c r="H261" i="8"/>
  <c r="H369" i="8"/>
  <c r="H480" i="8"/>
  <c r="F266" i="8"/>
  <c r="F374" i="8"/>
  <c r="F485" i="8"/>
  <c r="J664" i="8"/>
  <c r="I663" i="8"/>
  <c r="H662" i="8"/>
  <c r="J192" i="8"/>
  <c r="J201" i="8"/>
  <c r="J254" i="8"/>
  <c r="J191" i="8"/>
  <c r="J194" i="8"/>
  <c r="J200" i="8"/>
  <c r="J193" i="8"/>
  <c r="F660" i="8"/>
  <c r="F665" i="8"/>
  <c r="F670" i="8"/>
  <c r="G661" i="8"/>
  <c r="F330" i="8"/>
  <c r="F331" i="8"/>
  <c r="F339" i="8"/>
  <c r="J166" i="8"/>
  <c r="J198" i="8"/>
  <c r="G169" i="8"/>
  <c r="G265" i="8"/>
  <c r="G373" i="8"/>
  <c r="K158" i="8"/>
  <c r="K172" i="8"/>
  <c r="K178" i="8"/>
  <c r="K179" i="8"/>
  <c r="K165" i="8"/>
  <c r="J227" i="8"/>
  <c r="J313" i="8"/>
  <c r="J428" i="8"/>
  <c r="J259" i="8"/>
  <c r="J367" i="8"/>
  <c r="J478" i="8"/>
  <c r="I153" i="10"/>
  <c r="I174" i="10"/>
  <c r="I177" i="10"/>
  <c r="F163" i="10"/>
  <c r="F253" i="10"/>
  <c r="F393" i="10"/>
  <c r="F510" i="10"/>
  <c r="H363" i="3"/>
  <c r="J206" i="10"/>
  <c r="J325" i="10"/>
  <c r="F369" i="3"/>
  <c r="F370" i="3"/>
  <c r="F377" i="3"/>
  <c r="G369" i="3"/>
  <c r="G370" i="3"/>
  <c r="G377" i="3"/>
  <c r="H369" i="3"/>
  <c r="I227" i="3"/>
  <c r="I229" i="3"/>
  <c r="I235" i="3"/>
  <c r="I151" i="3"/>
  <c r="H366" i="3"/>
  <c r="H262" i="3"/>
  <c r="H373" i="3"/>
  <c r="H375" i="3"/>
  <c r="H267" i="3"/>
  <c r="I253" i="3"/>
  <c r="I361" i="3"/>
  <c r="I180" i="3"/>
  <c r="K122" i="3"/>
  <c r="J197" i="3"/>
  <c r="J292" i="3"/>
  <c r="J400" i="3"/>
  <c r="I258" i="3"/>
  <c r="I362" i="3"/>
  <c r="H229" i="3"/>
  <c r="H235" i="3"/>
  <c r="I243" i="3"/>
  <c r="I175" i="3"/>
  <c r="I192" i="3"/>
  <c r="I265" i="3"/>
  <c r="J178" i="3"/>
  <c r="J179" i="3"/>
  <c r="J254" i="3"/>
  <c r="J362" i="3"/>
  <c r="J150" i="3"/>
  <c r="J184" i="3"/>
  <c r="J259" i="3"/>
  <c r="J367" i="3"/>
  <c r="J185" i="3"/>
  <c r="J260" i="3"/>
  <c r="J368" i="3"/>
  <c r="J183" i="3"/>
  <c r="J148" i="3"/>
  <c r="J149" i="3"/>
  <c r="J228" i="3"/>
  <c r="J190" i="3"/>
  <c r="J191" i="3"/>
  <c r="J266" i="3"/>
  <c r="J374" i="3"/>
  <c r="J142" i="3"/>
  <c r="J143" i="3"/>
  <c r="I145" i="3"/>
  <c r="I219" i="3"/>
  <c r="I314" i="3"/>
  <c r="I422" i="3"/>
  <c r="H351" i="3"/>
  <c r="H358" i="3"/>
  <c r="H250" i="3"/>
  <c r="K124" i="3"/>
  <c r="J171" i="3"/>
  <c r="J246" i="3"/>
  <c r="J354" i="3"/>
  <c r="J172" i="3"/>
  <c r="J247" i="3"/>
  <c r="J355" i="3"/>
  <c r="J169" i="3"/>
  <c r="J244" i="3"/>
  <c r="J352" i="3"/>
  <c r="J168" i="3"/>
  <c r="J173" i="3"/>
  <c r="J248" i="3"/>
  <c r="J356" i="3"/>
  <c r="J170" i="3"/>
  <c r="J245" i="3"/>
  <c r="J353" i="3"/>
  <c r="J174" i="3"/>
  <c r="J249" i="3"/>
  <c r="J357" i="3"/>
  <c r="H180" i="10"/>
  <c r="H184" i="10"/>
  <c r="J136" i="10"/>
  <c r="J159" i="10"/>
  <c r="F184" i="10"/>
  <c r="I159" i="10"/>
  <c r="I180" i="10"/>
  <c r="F231" i="9"/>
  <c r="F333" i="9"/>
  <c r="F226" i="9"/>
  <c r="F328" i="9"/>
  <c r="F443" i="9"/>
  <c r="G281" i="9"/>
  <c r="G283" i="9"/>
  <c r="G197" i="9"/>
  <c r="G157" i="9"/>
  <c r="G231" i="9"/>
  <c r="G333" i="9"/>
  <c r="G448" i="9"/>
  <c r="J175" i="10"/>
  <c r="J268" i="10"/>
  <c r="J212" i="10"/>
  <c r="J331" i="10"/>
  <c r="J448" i="10"/>
  <c r="J237" i="10"/>
  <c r="J377" i="10"/>
  <c r="J494" i="10"/>
  <c r="J189" i="10"/>
  <c r="J284" i="10"/>
  <c r="J274" i="10"/>
  <c r="J126" i="10"/>
  <c r="J130" i="10"/>
  <c r="J182" i="10"/>
  <c r="J269" i="10"/>
  <c r="J176" i="10"/>
  <c r="J211" i="10"/>
  <c r="J330" i="10"/>
  <c r="J207" i="10"/>
  <c r="J326" i="10"/>
  <c r="J443" i="10"/>
  <c r="J183" i="10"/>
  <c r="J242" i="10"/>
  <c r="J382" i="10"/>
  <c r="K123" i="10"/>
  <c r="J238" i="10"/>
  <c r="J378" i="10"/>
  <c r="J495" i="10"/>
  <c r="J190" i="10"/>
  <c r="J273" i="10"/>
  <c r="J321" i="10"/>
  <c r="J438" i="10"/>
  <c r="J373" i="10"/>
  <c r="J490" i="10"/>
  <c r="J283" i="10"/>
  <c r="J243" i="10"/>
  <c r="J383" i="10"/>
  <c r="J500" i="10"/>
  <c r="I234" i="10"/>
  <c r="I208" i="10"/>
  <c r="G171" i="9"/>
  <c r="L131" i="9"/>
  <c r="M131" i="9"/>
  <c r="M146" i="9"/>
  <c r="H197" i="9"/>
  <c r="H283" i="9"/>
  <c r="H398" i="9"/>
  <c r="H278" i="9"/>
  <c r="I245" i="6"/>
  <c r="I382" i="6"/>
  <c r="I497" i="6"/>
  <c r="I240" i="6"/>
  <c r="I377" i="6"/>
  <c r="G246" i="6"/>
  <c r="H336" i="10"/>
  <c r="H453" i="10"/>
  <c r="H171" i="6"/>
  <c r="G241" i="6"/>
  <c r="I270" i="6"/>
  <c r="H298" i="3"/>
  <c r="I203" i="3"/>
  <c r="I279" i="6"/>
  <c r="I388" i="5"/>
  <c r="J270" i="5"/>
  <c r="J381" i="5"/>
  <c r="J190" i="5"/>
  <c r="J275" i="5"/>
  <c r="J386" i="5"/>
  <c r="J221" i="5"/>
  <c r="J325" i="5"/>
  <c r="J427" i="5"/>
  <c r="J191" i="5"/>
  <c r="J276" i="5"/>
  <c r="J387" i="5"/>
  <c r="F300" i="5"/>
  <c r="F304" i="5"/>
  <c r="F311" i="5"/>
  <c r="F354" i="5"/>
  <c r="K116" i="5"/>
  <c r="K172" i="5"/>
  <c r="J172" i="5"/>
  <c r="I277" i="5"/>
  <c r="J222" i="5"/>
  <c r="J331" i="5"/>
  <c r="J433" i="5"/>
  <c r="J173" i="5"/>
  <c r="J167" i="5"/>
  <c r="J335" i="5"/>
  <c r="J437" i="5"/>
  <c r="J329" i="5"/>
  <c r="J431" i="5"/>
  <c r="J280" i="5"/>
  <c r="J391" i="5"/>
  <c r="J274" i="5"/>
  <c r="J385" i="5"/>
  <c r="I223" i="5"/>
  <c r="J119" i="5"/>
  <c r="J123" i="5"/>
  <c r="I434" i="5"/>
  <c r="I192" i="5"/>
  <c r="G168" i="5"/>
  <c r="I332" i="5"/>
  <c r="G265" i="6"/>
  <c r="I227" i="6"/>
  <c r="I197" i="6"/>
  <c r="G479" i="6"/>
  <c r="F428" i="6"/>
  <c r="H265" i="6"/>
  <c r="I257" i="6"/>
  <c r="J181" i="6"/>
  <c r="J206" i="6"/>
  <c r="J322" i="6"/>
  <c r="J437" i="6"/>
  <c r="J236" i="6"/>
  <c r="J373" i="6"/>
  <c r="J488" i="6"/>
  <c r="J266" i="6"/>
  <c r="I235" i="6"/>
  <c r="I372" i="6"/>
  <c r="I265" i="6"/>
  <c r="F265" i="6"/>
  <c r="F479" i="6"/>
  <c r="I186" i="5"/>
  <c r="G249" i="5"/>
  <c r="G256" i="5"/>
  <c r="G354" i="5"/>
  <c r="I217" i="5"/>
  <c r="G428" i="5"/>
  <c r="J211" i="3"/>
  <c r="J212" i="3"/>
  <c r="J307" i="3"/>
  <c r="J415" i="3"/>
  <c r="J213" i="3"/>
  <c r="J308" i="3"/>
  <c r="J416" i="3"/>
  <c r="I265" i="10"/>
  <c r="I273" i="10"/>
  <c r="F484" i="10"/>
  <c r="F491" i="10"/>
  <c r="F374" i="10"/>
  <c r="I203" i="10"/>
  <c r="I167" i="9"/>
  <c r="I291" i="9"/>
  <c r="I308" i="9"/>
  <c r="I213" i="9"/>
  <c r="H242" i="9"/>
  <c r="H249" i="9"/>
  <c r="G423" i="9"/>
  <c r="G430" i="9"/>
  <c r="G315" i="9"/>
  <c r="F379" i="9"/>
  <c r="I191" i="9"/>
  <c r="I272" i="9"/>
  <c r="H164" i="9"/>
  <c r="H423" i="9"/>
  <c r="H430" i="9"/>
  <c r="H315" i="9"/>
  <c r="J211" i="9"/>
  <c r="J313" i="9"/>
  <c r="J428" i="9"/>
  <c r="J192" i="9"/>
  <c r="J273" i="9"/>
  <c r="J388" i="9"/>
  <c r="I221" i="9"/>
  <c r="I323" i="9"/>
  <c r="I257" i="9"/>
  <c r="I264" i="9"/>
  <c r="I183" i="9"/>
  <c r="J222" i="9"/>
  <c r="J324" i="9"/>
  <c r="J439" i="9"/>
  <c r="G415" i="8"/>
  <c r="H458" i="8"/>
  <c r="C123" i="11"/>
  <c r="E355" i="9"/>
  <c r="H355" i="9"/>
  <c r="C117" i="11"/>
  <c r="F225" i="7"/>
  <c r="F363" i="7"/>
  <c r="F458" i="7"/>
  <c r="J637" i="7"/>
  <c r="G158" i="7"/>
  <c r="F224" i="7"/>
  <c r="F362" i="7"/>
  <c r="F457" i="7"/>
  <c r="G634" i="7"/>
  <c r="H635" i="7"/>
  <c r="I636" i="7"/>
  <c r="F633" i="7"/>
  <c r="F638" i="7"/>
  <c r="F643" i="7"/>
  <c r="H258" i="4"/>
  <c r="F358" i="7"/>
  <c r="F359" i="7"/>
  <c r="F221" i="7"/>
  <c r="F158" i="7"/>
  <c r="H634" i="7"/>
  <c r="I635" i="7"/>
  <c r="K637" i="7"/>
  <c r="G633" i="7"/>
  <c r="J636" i="7"/>
  <c r="I177" i="7"/>
  <c r="G258" i="4"/>
  <c r="H191" i="7"/>
  <c r="J155" i="7"/>
  <c r="J271" i="7"/>
  <c r="J186" i="7"/>
  <c r="J303" i="7"/>
  <c r="J407" i="7"/>
  <c r="J216" i="7"/>
  <c r="J354" i="7"/>
  <c r="J449" i="7"/>
  <c r="I215" i="7"/>
  <c r="I353" i="7"/>
  <c r="H193" i="4"/>
  <c r="H308" i="4"/>
  <c r="H415" i="4"/>
  <c r="H152" i="4"/>
  <c r="H221" i="4"/>
  <c r="H357" i="4"/>
  <c r="H460" i="4"/>
  <c r="G274" i="4"/>
  <c r="G276" i="4"/>
  <c r="J126" i="4"/>
  <c r="K126" i="4"/>
  <c r="I149" i="4"/>
  <c r="H201" i="4"/>
  <c r="H337" i="4"/>
  <c r="H440" i="4"/>
  <c r="H291" i="4"/>
  <c r="I176" i="4"/>
  <c r="H176" i="4"/>
  <c r="G223" i="4"/>
  <c r="J213" i="4"/>
  <c r="J214" i="4"/>
  <c r="J350" i="4"/>
  <c r="J453" i="4"/>
  <c r="J184" i="4"/>
  <c r="G202" i="8"/>
  <c r="J226" i="8"/>
  <c r="J312" i="8"/>
  <c r="J427" i="8"/>
  <c r="J258" i="8"/>
  <c r="J366" i="8"/>
  <c r="J477" i="8"/>
  <c r="J255" i="8"/>
  <c r="J363" i="8"/>
  <c r="J474" i="8"/>
  <c r="J223" i="8"/>
  <c r="J309" i="8"/>
  <c r="J424" i="8"/>
  <c r="G331" i="8"/>
  <c r="G339" i="8"/>
  <c r="I222" i="8"/>
  <c r="I308" i="8"/>
  <c r="G391" i="6"/>
  <c r="I148" i="7"/>
  <c r="I162" i="7"/>
  <c r="I322" i="7"/>
  <c r="J181" i="8"/>
  <c r="H202" i="9"/>
  <c r="H163" i="3"/>
  <c r="F194" i="4"/>
  <c r="F158" i="4"/>
  <c r="F274" i="4"/>
  <c r="F276" i="4"/>
  <c r="J146" i="4"/>
  <c r="J193" i="4"/>
  <c r="J308" i="4"/>
  <c r="J415" i="4"/>
  <c r="J156" i="4"/>
  <c r="J268" i="4"/>
  <c r="J157" i="4"/>
  <c r="I146" i="4"/>
  <c r="I193" i="4"/>
  <c r="I308" i="4"/>
  <c r="I415" i="4"/>
  <c r="I156" i="4"/>
  <c r="I268" i="4"/>
  <c r="H166" i="5"/>
  <c r="H246" i="5"/>
  <c r="F236" i="5"/>
  <c r="F345" i="5"/>
  <c r="F447" i="5"/>
  <c r="F231" i="5"/>
  <c r="F235" i="5"/>
  <c r="F230" i="8"/>
  <c r="F277" i="8"/>
  <c r="F285" i="8"/>
  <c r="H330" i="8"/>
  <c r="G195" i="8"/>
  <c r="F362" i="8"/>
  <c r="H329" i="8"/>
  <c r="I330" i="8"/>
  <c r="E451" i="7"/>
  <c r="E409" i="7"/>
  <c r="G277" i="8"/>
  <c r="G285" i="8"/>
  <c r="I276" i="8"/>
  <c r="G272" i="7"/>
  <c r="G279" i="7"/>
  <c r="I195" i="7"/>
  <c r="I312" i="7"/>
  <c r="I416" i="7"/>
  <c r="J154" i="7"/>
  <c r="J270" i="7"/>
  <c r="J156" i="7"/>
  <c r="J157" i="7"/>
  <c r="J185" i="7"/>
  <c r="F272" i="7"/>
  <c r="F279" i="7"/>
  <c r="F372" i="7"/>
  <c r="H308" i="7"/>
  <c r="G222" i="10"/>
  <c r="I168" i="6"/>
  <c r="I290" i="6"/>
  <c r="I351" i="10"/>
  <c r="G193" i="11"/>
  <c r="G200" i="11"/>
  <c r="C201" i="11"/>
  <c r="C164" i="11"/>
  <c r="C154" i="11"/>
  <c r="C155" i="11"/>
  <c r="E335" i="3"/>
  <c r="H335" i="3"/>
  <c r="C149" i="11"/>
  <c r="F194" i="7"/>
  <c r="F495" i="10"/>
  <c r="F496" i="10"/>
  <c r="F379" i="10"/>
  <c r="F261" i="7"/>
  <c r="F251" i="7"/>
  <c r="F252" i="7"/>
  <c r="H484" i="10"/>
  <c r="H491" i="10"/>
  <c r="F320" i="8"/>
  <c r="F435" i="8"/>
  <c r="H196" i="7"/>
  <c r="H149" i="5"/>
  <c r="H155" i="5"/>
  <c r="G231" i="5"/>
  <c r="G340" i="5"/>
  <c r="G236" i="5"/>
  <c r="G345" i="5"/>
  <c r="G447" i="5"/>
  <c r="H174" i="5"/>
  <c r="G235" i="5"/>
  <c r="G344" i="5"/>
  <c r="F195" i="7"/>
  <c r="F312" i="7"/>
  <c r="F416" i="7"/>
  <c r="J160" i="3"/>
  <c r="G259" i="4"/>
  <c r="H158" i="4"/>
  <c r="G307" i="4"/>
  <c r="G194" i="4"/>
  <c r="H178" i="6"/>
  <c r="H211" i="6"/>
  <c r="F210" i="6"/>
  <c r="F326" i="6"/>
  <c r="F441" i="6"/>
  <c r="J182" i="6"/>
  <c r="F214" i="6"/>
  <c r="F216" i="6"/>
  <c r="H215" i="6"/>
  <c r="H331" i="6"/>
  <c r="H446" i="6"/>
  <c r="G253" i="10"/>
  <c r="G254" i="10"/>
  <c r="I239" i="10"/>
  <c r="H214" i="6"/>
  <c r="H330" i="6"/>
  <c r="H340" i="10"/>
  <c r="G289" i="10"/>
  <c r="I285" i="10"/>
  <c r="H222" i="10"/>
  <c r="I270" i="10"/>
  <c r="H221" i="10"/>
  <c r="G221" i="10"/>
  <c r="F164" i="9"/>
  <c r="J209" i="9"/>
  <c r="J311" i="9"/>
  <c r="J426" i="9"/>
  <c r="J208" i="9"/>
  <c r="J310" i="9"/>
  <c r="J425" i="9"/>
  <c r="L136" i="8"/>
  <c r="K184" i="8"/>
  <c r="K185" i="8"/>
  <c r="K188" i="8"/>
  <c r="J185" i="8"/>
  <c r="J188" i="8"/>
  <c r="H269" i="4"/>
  <c r="H273" i="4"/>
  <c r="H384" i="4"/>
  <c r="H385" i="4"/>
  <c r="F440" i="4"/>
  <c r="F444" i="4"/>
  <c r="F222" i="4"/>
  <c r="F358" i="4"/>
  <c r="F461" i="4"/>
  <c r="F221" i="4"/>
  <c r="G288" i="10"/>
  <c r="G248" i="10"/>
  <c r="G249" i="10"/>
  <c r="I164" i="9"/>
  <c r="J174" i="6"/>
  <c r="J340" i="6"/>
  <c r="I162" i="5"/>
  <c r="F400" i="5"/>
  <c r="F402" i="5"/>
  <c r="F291" i="5"/>
  <c r="F242" i="9"/>
  <c r="F249" i="9"/>
  <c r="F342" i="9"/>
  <c r="I303" i="8"/>
  <c r="I219" i="8"/>
  <c r="I362" i="8"/>
  <c r="I357" i="8"/>
  <c r="I251" i="8"/>
  <c r="J126" i="8"/>
  <c r="J130" i="8"/>
  <c r="J260" i="8"/>
  <c r="J368" i="8"/>
  <c r="J479" i="8"/>
  <c r="J250" i="8"/>
  <c r="J358" i="8"/>
  <c r="J469" i="8"/>
  <c r="K123" i="8"/>
  <c r="K173" i="8"/>
  <c r="K175" i="8"/>
  <c r="K159" i="8"/>
  <c r="K162" i="8"/>
  <c r="K233" i="8"/>
  <c r="J217" i="8"/>
  <c r="J218" i="8"/>
  <c r="J304" i="8"/>
  <c r="J419" i="8"/>
  <c r="J353" i="8"/>
  <c r="J464" i="8"/>
  <c r="J249" i="8"/>
  <c r="J299" i="8"/>
  <c r="J414" i="8"/>
  <c r="I329" i="8"/>
  <c r="I214" i="6"/>
  <c r="I330" i="6"/>
  <c r="I210" i="6"/>
  <c r="I326" i="6"/>
  <c r="I441" i="6"/>
  <c r="H218" i="3"/>
  <c r="H219" i="3"/>
  <c r="H314" i="3"/>
  <c r="H422" i="3"/>
  <c r="H163" i="10"/>
  <c r="H248" i="10"/>
  <c r="H170" i="10"/>
  <c r="H288" i="10"/>
  <c r="J207" i="9"/>
  <c r="J309" i="9"/>
  <c r="J424" i="9"/>
  <c r="J179" i="9"/>
  <c r="J260" i="9"/>
  <c r="J375" i="9"/>
  <c r="G323" i="7"/>
  <c r="G330" i="7"/>
  <c r="G280" i="6"/>
  <c r="I215" i="6"/>
  <c r="I331" i="6"/>
  <c r="I446" i="6"/>
  <c r="F321" i="6"/>
  <c r="H245" i="6"/>
  <c r="H382" i="6"/>
  <c r="H497" i="6"/>
  <c r="H244" i="6"/>
  <c r="H378" i="6"/>
  <c r="H241" i="6"/>
  <c r="G279" i="6"/>
  <c r="F414" i="4"/>
  <c r="F416" i="4"/>
  <c r="F309" i="4"/>
  <c r="K138" i="10"/>
  <c r="J259" i="10"/>
  <c r="J197" i="10"/>
  <c r="J316" i="10"/>
  <c r="J433" i="10"/>
  <c r="J199" i="10"/>
  <c r="J318" i="10"/>
  <c r="J435" i="10"/>
  <c r="J258" i="10"/>
  <c r="J200" i="10"/>
  <c r="J319" i="10"/>
  <c r="J436" i="10"/>
  <c r="J201" i="10"/>
  <c r="J320" i="10"/>
  <c r="J437" i="10"/>
  <c r="J262" i="10"/>
  <c r="J260" i="10"/>
  <c r="J198" i="10"/>
  <c r="J317" i="10"/>
  <c r="J434" i="10"/>
  <c r="J196" i="10"/>
  <c r="J261" i="10"/>
  <c r="J263" i="10"/>
  <c r="J230" i="10"/>
  <c r="J370" i="10"/>
  <c r="J487" i="10"/>
  <c r="J229" i="10"/>
  <c r="J369" i="10"/>
  <c r="J486" i="10"/>
  <c r="J231" i="10"/>
  <c r="J371" i="10"/>
  <c r="J488" i="10"/>
  <c r="J228" i="10"/>
  <c r="J368" i="10"/>
  <c r="J485" i="10"/>
  <c r="J232" i="10"/>
  <c r="J372" i="10"/>
  <c r="J489" i="10"/>
  <c r="J227" i="10"/>
  <c r="L134" i="10"/>
  <c r="K152" i="10"/>
  <c r="J153" i="10"/>
  <c r="J174" i="10"/>
  <c r="J299" i="10"/>
  <c r="J173" i="10"/>
  <c r="F279" i="10"/>
  <c r="F288" i="10"/>
  <c r="F289" i="10"/>
  <c r="J182" i="9"/>
  <c r="J263" i="9"/>
  <c r="J378" i="9"/>
  <c r="J177" i="9"/>
  <c r="J258" i="9"/>
  <c r="J373" i="9"/>
  <c r="J206" i="9"/>
  <c r="J308" i="9"/>
  <c r="J178" i="9"/>
  <c r="J259" i="9"/>
  <c r="J374" i="9"/>
  <c r="J210" i="9"/>
  <c r="J312" i="9"/>
  <c r="J427" i="9"/>
  <c r="J181" i="9"/>
  <c r="J262" i="9"/>
  <c r="J377" i="9"/>
  <c r="I218" i="9"/>
  <c r="J176" i="9"/>
  <c r="J180" i="9"/>
  <c r="J261" i="9"/>
  <c r="J376" i="9"/>
  <c r="K138" i="8"/>
  <c r="J240" i="8"/>
  <c r="J348" i="8"/>
  <c r="J459" i="8"/>
  <c r="J243" i="8"/>
  <c r="J351" i="8"/>
  <c r="J462" i="8"/>
  <c r="J211" i="8"/>
  <c r="J297" i="8"/>
  <c r="J412" i="8"/>
  <c r="J210" i="8"/>
  <c r="J296" i="8"/>
  <c r="J411" i="8"/>
  <c r="J208" i="8"/>
  <c r="J294" i="8"/>
  <c r="J409" i="8"/>
  <c r="J209" i="8"/>
  <c r="J295" i="8"/>
  <c r="J410" i="8"/>
  <c r="J239" i="8"/>
  <c r="J241" i="8"/>
  <c r="J349" i="8"/>
  <c r="J460" i="8"/>
  <c r="J212" i="8"/>
  <c r="J298" i="8"/>
  <c r="J413" i="8"/>
  <c r="J207" i="8"/>
  <c r="J242" i="8"/>
  <c r="J350" i="8"/>
  <c r="J461" i="8"/>
  <c r="I320" i="8"/>
  <c r="I435" i="8"/>
  <c r="H408" i="8"/>
  <c r="H415" i="8"/>
  <c r="H151" i="7"/>
  <c r="G165" i="7"/>
  <c r="J144" i="7"/>
  <c r="J147" i="6"/>
  <c r="J150" i="6"/>
  <c r="J210" i="6"/>
  <c r="J326" i="6"/>
  <c r="J441" i="6"/>
  <c r="G214" i="6"/>
  <c r="G210" i="6"/>
  <c r="G215" i="6"/>
  <c r="G331" i="6"/>
  <c r="K146" i="6"/>
  <c r="L131" i="6"/>
  <c r="J159" i="5"/>
  <c r="L129" i="5"/>
  <c r="L152" i="5"/>
  <c r="L153" i="5"/>
  <c r="K158" i="5"/>
  <c r="K143" i="4"/>
  <c r="K144" i="4"/>
  <c r="L124" i="4"/>
  <c r="G357" i="4"/>
  <c r="J161" i="3"/>
  <c r="I167" i="10"/>
  <c r="I188" i="10"/>
  <c r="I187" i="10"/>
  <c r="F300" i="10"/>
  <c r="F307" i="10"/>
  <c r="F222" i="10"/>
  <c r="F341" i="10"/>
  <c r="F458" i="10"/>
  <c r="F221" i="10"/>
  <c r="F217" i="10"/>
  <c r="G280" i="10"/>
  <c r="H191" i="10"/>
  <c r="H382" i="9"/>
  <c r="H384" i="9"/>
  <c r="H269" i="9"/>
  <c r="I311" i="9"/>
  <c r="H372" i="9"/>
  <c r="H379" i="9"/>
  <c r="I188" i="9"/>
  <c r="I267" i="9"/>
  <c r="J217" i="9"/>
  <c r="J319" i="9"/>
  <c r="J434" i="9"/>
  <c r="J162" i="9"/>
  <c r="J186" i="9"/>
  <c r="K120" i="9"/>
  <c r="J216" i="9"/>
  <c r="J123" i="9"/>
  <c r="J127" i="9"/>
  <c r="J201" i="9"/>
  <c r="J282" i="9"/>
  <c r="J397" i="9"/>
  <c r="J163" i="9"/>
  <c r="J191" i="9"/>
  <c r="J314" i="9"/>
  <c r="J429" i="9"/>
  <c r="J187" i="9"/>
  <c r="J268" i="9"/>
  <c r="J383" i="9"/>
  <c r="J169" i="9"/>
  <c r="J160" i="9"/>
  <c r="J200" i="9"/>
  <c r="J161" i="9"/>
  <c r="J241" i="9"/>
  <c r="J196" i="9"/>
  <c r="J277" i="9"/>
  <c r="J392" i="9"/>
  <c r="J170" i="9"/>
  <c r="H433" i="9"/>
  <c r="H435" i="9"/>
  <c r="H320" i="9"/>
  <c r="I433" i="9"/>
  <c r="I435" i="9"/>
  <c r="I320" i="9"/>
  <c r="L135" i="9"/>
  <c r="F200" i="9"/>
  <c r="F196" i="9"/>
  <c r="F201" i="9"/>
  <c r="F282" i="9"/>
  <c r="F397" i="9"/>
  <c r="L134" i="8"/>
  <c r="G320" i="8"/>
  <c r="H276" i="8"/>
  <c r="H277" i="8"/>
  <c r="I275" i="8"/>
  <c r="H320" i="8"/>
  <c r="H435" i="8"/>
  <c r="H260" i="7"/>
  <c r="I272" i="7"/>
  <c r="I279" i="7"/>
  <c r="H313" i="7"/>
  <c r="H415" i="7"/>
  <c r="H417" i="7"/>
  <c r="F196" i="7"/>
  <c r="F311" i="7"/>
  <c r="I237" i="7"/>
  <c r="H391" i="7"/>
  <c r="H398" i="7"/>
  <c r="I297" i="7"/>
  <c r="I182" i="7"/>
  <c r="I257" i="7"/>
  <c r="I161" i="7"/>
  <c r="J201" i="7"/>
  <c r="J339" i="7"/>
  <c r="J434" i="7"/>
  <c r="J200" i="7"/>
  <c r="K130" i="7"/>
  <c r="J233" i="7"/>
  <c r="J230" i="7"/>
  <c r="J236" i="7"/>
  <c r="J202" i="7"/>
  <c r="J340" i="7"/>
  <c r="J435" i="7"/>
  <c r="J174" i="7"/>
  <c r="J291" i="7"/>
  <c r="J395" i="7"/>
  <c r="J235" i="7"/>
  <c r="J171" i="7"/>
  <c r="J288" i="7"/>
  <c r="J392" i="7"/>
  <c r="J172" i="7"/>
  <c r="J289" i="7"/>
  <c r="J393" i="7"/>
  <c r="J173" i="7"/>
  <c r="J290" i="7"/>
  <c r="J394" i="7"/>
  <c r="J234" i="7"/>
  <c r="J204" i="7"/>
  <c r="J342" i="7"/>
  <c r="J437" i="7"/>
  <c r="J232" i="7"/>
  <c r="J175" i="7"/>
  <c r="J292" i="7"/>
  <c r="J396" i="7"/>
  <c r="J205" i="7"/>
  <c r="J343" i="7"/>
  <c r="J438" i="7"/>
  <c r="J231" i="7"/>
  <c r="J170" i="7"/>
  <c r="I287" i="7"/>
  <c r="I294" i="7"/>
  <c r="I242" i="7"/>
  <c r="K141" i="7"/>
  <c r="K128" i="7"/>
  <c r="J147" i="7"/>
  <c r="H321" i="7"/>
  <c r="H323" i="7"/>
  <c r="H330" i="7"/>
  <c r="H165" i="7"/>
  <c r="F262" i="7"/>
  <c r="G195" i="7"/>
  <c r="G312" i="7"/>
  <c r="G416" i="7"/>
  <c r="G194" i="7"/>
  <c r="I311" i="7"/>
  <c r="I302" i="7"/>
  <c r="L140" i="7"/>
  <c r="M126" i="7"/>
  <c r="H401" i="7"/>
  <c r="H403" i="7"/>
  <c r="H299" i="7"/>
  <c r="I158" i="7"/>
  <c r="G261" i="7"/>
  <c r="G251" i="7"/>
  <c r="G260" i="7"/>
  <c r="F307" i="7"/>
  <c r="F191" i="7"/>
  <c r="G225" i="7"/>
  <c r="G363" i="7"/>
  <c r="G458" i="7"/>
  <c r="G224" i="7"/>
  <c r="G220" i="7"/>
  <c r="I338" i="7"/>
  <c r="J180" i="7"/>
  <c r="J240" i="7"/>
  <c r="J293" i="7"/>
  <c r="J397" i="7"/>
  <c r="J256" i="7"/>
  <c r="J250" i="7"/>
  <c r="J211" i="7"/>
  <c r="J349" i="7"/>
  <c r="J444" i="7"/>
  <c r="J181" i="7"/>
  <c r="J298" i="7"/>
  <c r="J402" i="7"/>
  <c r="J344" i="7"/>
  <c r="J439" i="7"/>
  <c r="J245" i="7"/>
  <c r="J255" i="7"/>
  <c r="J248" i="7"/>
  <c r="K115" i="7"/>
  <c r="J241" i="7"/>
  <c r="J210" i="7"/>
  <c r="J164" i="7"/>
  <c r="J215" i="7"/>
  <c r="J247" i="7"/>
  <c r="J246" i="7"/>
  <c r="J118" i="7"/>
  <c r="J122" i="7"/>
  <c r="J163" i="7"/>
  <c r="I348" i="7"/>
  <c r="I212" i="7"/>
  <c r="H185" i="6"/>
  <c r="F178" i="6"/>
  <c r="F341" i="6"/>
  <c r="F342" i="6"/>
  <c r="F349" i="6"/>
  <c r="F391" i="6"/>
  <c r="I321" i="6"/>
  <c r="I316" i="6"/>
  <c r="I202" i="6"/>
  <c r="I432" i="6"/>
  <c r="I326" i="10"/>
  <c r="I443" i="10"/>
  <c r="I378" i="10"/>
  <c r="I495" i="10"/>
  <c r="H433" i="6"/>
  <c r="G185" i="6"/>
  <c r="G300" i="10"/>
  <c r="G307" i="10"/>
  <c r="H482" i="6"/>
  <c r="H484" i="6"/>
  <c r="H369" i="6"/>
  <c r="G484" i="10"/>
  <c r="G491" i="10"/>
  <c r="M133" i="6"/>
  <c r="L153" i="6"/>
  <c r="L160" i="6"/>
  <c r="J157" i="6"/>
  <c r="J175" i="6"/>
  <c r="F240" i="6"/>
  <c r="F244" i="6"/>
  <c r="F245" i="6"/>
  <c r="F382" i="6"/>
  <c r="F497" i="6"/>
  <c r="I340" i="6"/>
  <c r="I342" i="6"/>
  <c r="I349" i="6"/>
  <c r="I178" i="6"/>
  <c r="I306" i="6"/>
  <c r="I313" i="6"/>
  <c r="I316" i="10"/>
  <c r="I433" i="10"/>
  <c r="I368" i="10"/>
  <c r="I485" i="10"/>
  <c r="I422" i="6"/>
  <c r="I373" i="10"/>
  <c r="I490" i="10"/>
  <c r="I427" i="6"/>
  <c r="I321" i="10"/>
  <c r="I438" i="10"/>
  <c r="I367" i="6"/>
  <c r="I232" i="6"/>
  <c r="G352" i="10"/>
  <c r="G359" i="10"/>
  <c r="G494" i="10"/>
  <c r="G496" i="10"/>
  <c r="G379" i="10"/>
  <c r="G432" i="10"/>
  <c r="G439" i="10"/>
  <c r="K154" i="6"/>
  <c r="K157" i="6"/>
  <c r="H330" i="10"/>
  <c r="H327" i="6"/>
  <c r="F185" i="6"/>
  <c r="G448" i="10"/>
  <c r="H280" i="6"/>
  <c r="H270" i="6"/>
  <c r="H279" i="6"/>
  <c r="I317" i="10"/>
  <c r="I434" i="10"/>
  <c r="I423" i="6"/>
  <c r="I369" i="10"/>
  <c r="I486" i="10"/>
  <c r="I319" i="10"/>
  <c r="I436" i="10"/>
  <c r="I425" i="6"/>
  <c r="I371" i="10"/>
  <c r="I488" i="10"/>
  <c r="I372" i="10"/>
  <c r="I489" i="10"/>
  <c r="I426" i="6"/>
  <c r="I320" i="10"/>
  <c r="I437" i="10"/>
  <c r="I262" i="6"/>
  <c r="J200" i="6"/>
  <c r="J231" i="6"/>
  <c r="J368" i="6"/>
  <c r="J483" i="6"/>
  <c r="K120" i="6"/>
  <c r="J201" i="6"/>
  <c r="J317" i="6"/>
  <c r="J432" i="6"/>
  <c r="J167" i="6"/>
  <c r="J274" i="6"/>
  <c r="J169" i="6"/>
  <c r="J123" i="6"/>
  <c r="J127" i="6"/>
  <c r="J222" i="6"/>
  <c r="J359" i="6"/>
  <c r="J474" i="6"/>
  <c r="J363" i="6"/>
  <c r="J478" i="6"/>
  <c r="J221" i="6"/>
  <c r="J358" i="6"/>
  <c r="J473" i="6"/>
  <c r="J193" i="6"/>
  <c r="J309" i="6"/>
  <c r="J424" i="6"/>
  <c r="J224" i="6"/>
  <c r="J361" i="6"/>
  <c r="J476" i="6"/>
  <c r="J225" i="6"/>
  <c r="J362" i="6"/>
  <c r="J477" i="6"/>
  <c r="J192" i="6"/>
  <c r="J308" i="6"/>
  <c r="J423" i="6"/>
  <c r="J191" i="6"/>
  <c r="J307" i="6"/>
  <c r="J422" i="6"/>
  <c r="J220" i="6"/>
  <c r="J194" i="6"/>
  <c r="J310" i="6"/>
  <c r="J425" i="6"/>
  <c r="J275" i="6"/>
  <c r="J230" i="6"/>
  <c r="J190" i="6"/>
  <c r="J312" i="6"/>
  <c r="J427" i="6"/>
  <c r="J195" i="6"/>
  <c r="J311" i="6"/>
  <c r="J426" i="6"/>
  <c r="J170" i="6"/>
  <c r="J205" i="6"/>
  <c r="J223" i="6"/>
  <c r="J360" i="6"/>
  <c r="J475" i="6"/>
  <c r="J177" i="6"/>
  <c r="J176" i="6"/>
  <c r="J260" i="6"/>
  <c r="J252" i="6"/>
  <c r="J253" i="6"/>
  <c r="J254" i="6"/>
  <c r="J251" i="6"/>
  <c r="J255" i="6"/>
  <c r="J261" i="6"/>
  <c r="J250" i="6"/>
  <c r="H291" i="6"/>
  <c r="H298" i="6"/>
  <c r="H391" i="6"/>
  <c r="H298" i="10"/>
  <c r="H442" i="10"/>
  <c r="H444" i="10"/>
  <c r="H327" i="10"/>
  <c r="G500" i="10"/>
  <c r="I185" i="6"/>
  <c r="I357" i="6"/>
  <c r="I364" i="6"/>
  <c r="I289" i="6"/>
  <c r="I318" i="10"/>
  <c r="I435" i="10"/>
  <c r="I424" i="6"/>
  <c r="I370" i="10"/>
  <c r="I487" i="10"/>
  <c r="I437" i="6"/>
  <c r="I331" i="10"/>
  <c r="I448" i="10"/>
  <c r="I383" i="10"/>
  <c r="I500" i="10"/>
  <c r="I276" i="6"/>
  <c r="H472" i="6"/>
  <c r="H479" i="6"/>
  <c r="J184" i="6"/>
  <c r="H421" i="6"/>
  <c r="H428" i="6"/>
  <c r="H315" i="10"/>
  <c r="H322" i="10"/>
  <c r="G327" i="10"/>
  <c r="G442" i="10"/>
  <c r="G444" i="10"/>
  <c r="K161" i="6"/>
  <c r="J183" i="6"/>
  <c r="K131" i="5"/>
  <c r="J212" i="5"/>
  <c r="J321" i="5"/>
  <c r="J423" i="5"/>
  <c r="J179" i="5"/>
  <c r="J215" i="5"/>
  <c r="J324" i="5"/>
  <c r="J426" i="5"/>
  <c r="J183" i="5"/>
  <c r="J268" i="5"/>
  <c r="J379" i="5"/>
  <c r="J210" i="5"/>
  <c r="J184" i="5"/>
  <c r="J269" i="5"/>
  <c r="J380" i="5"/>
  <c r="J211" i="5"/>
  <c r="J320" i="5"/>
  <c r="J422" i="5"/>
  <c r="J180" i="5"/>
  <c r="J265" i="5"/>
  <c r="J376" i="5"/>
  <c r="J214" i="5"/>
  <c r="J323" i="5"/>
  <c r="J425" i="5"/>
  <c r="J182" i="5"/>
  <c r="J267" i="5"/>
  <c r="J378" i="5"/>
  <c r="J213" i="5"/>
  <c r="J322" i="5"/>
  <c r="J424" i="5"/>
  <c r="J181" i="5"/>
  <c r="J266" i="5"/>
  <c r="J377" i="5"/>
  <c r="I300" i="5"/>
  <c r="I171" i="5"/>
  <c r="H245" i="5"/>
  <c r="L118" i="5"/>
  <c r="I264" i="5"/>
  <c r="I271" i="5"/>
  <c r="H421" i="5"/>
  <c r="H428" i="5"/>
  <c r="H299" i="5"/>
  <c r="H304" i="5"/>
  <c r="H311" i="5"/>
  <c r="I319" i="5"/>
  <c r="I326" i="5"/>
  <c r="I147" i="5"/>
  <c r="I165" i="5"/>
  <c r="G290" i="5"/>
  <c r="G401" i="5"/>
  <c r="G204" i="5"/>
  <c r="G200" i="5"/>
  <c r="H375" i="5"/>
  <c r="H382" i="5"/>
  <c r="K127" i="5"/>
  <c r="J146" i="5"/>
  <c r="H391" i="4"/>
  <c r="H398" i="4"/>
  <c r="H447" i="4"/>
  <c r="H449" i="4"/>
  <c r="H346" i="4"/>
  <c r="I437" i="4"/>
  <c r="I181" i="4"/>
  <c r="I294" i="4"/>
  <c r="J242" i="4"/>
  <c r="J198" i="4"/>
  <c r="J208" i="4"/>
  <c r="J229" i="4"/>
  <c r="J173" i="4"/>
  <c r="J288" i="4"/>
  <c r="J395" i="4"/>
  <c r="J233" i="4"/>
  <c r="J246" i="4"/>
  <c r="J252" i="4"/>
  <c r="K113" i="4"/>
  <c r="J231" i="4"/>
  <c r="J232" i="4"/>
  <c r="J174" i="4"/>
  <c r="J289" i="4"/>
  <c r="J396" i="4"/>
  <c r="J290" i="4"/>
  <c r="J397" i="4"/>
  <c r="J199" i="4"/>
  <c r="J335" i="4"/>
  <c r="J438" i="4"/>
  <c r="J180" i="4"/>
  <c r="J295" i="4"/>
  <c r="J402" i="4"/>
  <c r="J209" i="4"/>
  <c r="J345" i="4"/>
  <c r="J448" i="4"/>
  <c r="J171" i="4"/>
  <c r="J286" i="4"/>
  <c r="J393" i="4"/>
  <c r="J237" i="4"/>
  <c r="J202" i="4"/>
  <c r="J338" i="4"/>
  <c r="J441" i="4"/>
  <c r="J172" i="4"/>
  <c r="J287" i="4"/>
  <c r="J394" i="4"/>
  <c r="J116" i="4"/>
  <c r="J120" i="4"/>
  <c r="J179" i="4"/>
  <c r="J155" i="4"/>
  <c r="J245" i="4"/>
  <c r="J169" i="4"/>
  <c r="J340" i="4"/>
  <c r="J443" i="4"/>
  <c r="J203" i="4"/>
  <c r="J339" i="4"/>
  <c r="J442" i="4"/>
  <c r="J300" i="4"/>
  <c r="J407" i="4"/>
  <c r="J238" i="4"/>
  <c r="J170" i="4"/>
  <c r="J285" i="4"/>
  <c r="J392" i="4"/>
  <c r="J247" i="4"/>
  <c r="J200" i="4"/>
  <c r="J336" i="4"/>
  <c r="J439" i="4"/>
  <c r="H414" i="4"/>
  <c r="H437" i="4"/>
  <c r="I299" i="4"/>
  <c r="I254" i="4"/>
  <c r="I239" i="4"/>
  <c r="H401" i="4"/>
  <c r="H403" i="4"/>
  <c r="H296" i="4"/>
  <c r="I249" i="4"/>
  <c r="I284" i="4"/>
  <c r="I291" i="4"/>
  <c r="I344" i="4"/>
  <c r="I210" i="4"/>
  <c r="I349" i="4"/>
  <c r="I336" i="4"/>
  <c r="I439" i="4"/>
  <c r="I267" i="4"/>
  <c r="H406" i="4"/>
  <c r="H304" i="4"/>
  <c r="G313" i="3"/>
  <c r="G220" i="3"/>
  <c r="J201" i="3"/>
  <c r="J296" i="3"/>
  <c r="J404" i="3"/>
  <c r="J162" i="3"/>
  <c r="J199" i="3"/>
  <c r="J294" i="3"/>
  <c r="J402" i="3"/>
  <c r="K109" i="3"/>
  <c r="J206" i="3"/>
  <c r="J297" i="3"/>
  <c r="J405" i="3"/>
  <c r="J196" i="3"/>
  <c r="J112" i="3"/>
  <c r="J116" i="3"/>
  <c r="J207" i="3"/>
  <c r="J302" i="3"/>
  <c r="J410" i="3"/>
  <c r="J198" i="3"/>
  <c r="J293" i="3"/>
  <c r="J401" i="3"/>
  <c r="J200" i="3"/>
  <c r="J295" i="3"/>
  <c r="J403" i="3"/>
  <c r="H409" i="3"/>
  <c r="H411" i="3"/>
  <c r="H303" i="3"/>
  <c r="I163" i="3"/>
  <c r="I301" i="3"/>
  <c r="I208" i="3"/>
  <c r="I306" i="3"/>
  <c r="H414" i="3"/>
  <c r="H310" i="3"/>
  <c r="F220" i="3"/>
  <c r="I291" i="3"/>
  <c r="C101" i="11"/>
  <c r="F489" i="6"/>
  <c r="C139" i="11"/>
  <c r="C133" i="11"/>
  <c r="H489" i="6"/>
  <c r="H450" i="7"/>
  <c r="F450" i="7"/>
  <c r="G450" i="7"/>
  <c r="H475" i="8"/>
  <c r="F475" i="8"/>
  <c r="G475" i="8"/>
  <c r="G438" i="5"/>
  <c r="F438" i="5"/>
  <c r="H438" i="5"/>
  <c r="E365" i="5"/>
  <c r="E411" i="5"/>
  <c r="E410" i="5"/>
  <c r="F410" i="5"/>
  <c r="E366" i="5"/>
  <c r="F449" i="10"/>
  <c r="H449" i="10"/>
  <c r="G489" i="6"/>
  <c r="G425" i="8"/>
  <c r="H425" i="8"/>
  <c r="F425" i="8"/>
  <c r="E450" i="10"/>
  <c r="E390" i="9"/>
  <c r="E476" i="8"/>
  <c r="E426" i="8"/>
  <c r="E502" i="10"/>
  <c r="H502" i="10"/>
  <c r="E441" i="9"/>
  <c r="F441" i="9"/>
  <c r="E490" i="6"/>
  <c r="E408" i="4"/>
  <c r="E454" i="4"/>
  <c r="E417" i="3"/>
  <c r="E439" i="6"/>
  <c r="H408" i="7"/>
  <c r="F408" i="7"/>
  <c r="G408" i="7"/>
  <c r="G440" i="9"/>
  <c r="H440" i="9"/>
  <c r="H389" i="9"/>
  <c r="F389" i="9"/>
  <c r="G389" i="9"/>
  <c r="H392" i="5"/>
  <c r="F392" i="5"/>
  <c r="G392" i="5"/>
  <c r="F501" i="10"/>
  <c r="F438" i="6"/>
  <c r="H438" i="6"/>
  <c r="G438" i="6"/>
  <c r="C107" i="11"/>
  <c r="J279" i="6"/>
  <c r="J270" i="6"/>
  <c r="J280" i="6"/>
  <c r="H291" i="9"/>
  <c r="H171" i="9"/>
  <c r="H157" i="9"/>
  <c r="J167" i="9"/>
  <c r="J154" i="9"/>
  <c r="I168" i="9"/>
  <c r="I157" i="9"/>
  <c r="L133" i="9"/>
  <c r="K153" i="9"/>
  <c r="G496" i="6"/>
  <c r="G498" i="6"/>
  <c r="G383" i="6"/>
  <c r="G492" i="6"/>
  <c r="G378" i="6"/>
  <c r="I381" i="6"/>
  <c r="F281" i="6"/>
  <c r="I281" i="9"/>
  <c r="I202" i="9"/>
  <c r="I242" i="9"/>
  <c r="I249" i="9"/>
  <c r="I277" i="9"/>
  <c r="G392" i="9"/>
  <c r="G278" i="9"/>
  <c r="I332" i="10"/>
  <c r="I449" i="10"/>
  <c r="I438" i="6"/>
  <c r="J285" i="10"/>
  <c r="J246" i="10"/>
  <c r="J386" i="10"/>
  <c r="J503" i="10"/>
  <c r="J276" i="10"/>
  <c r="J277" i="10"/>
  <c r="J278" i="10"/>
  <c r="J275" i="10"/>
  <c r="J245" i="10"/>
  <c r="J385" i="10"/>
  <c r="J502" i="10"/>
  <c r="J244" i="10"/>
  <c r="J384" i="10"/>
  <c r="J501" i="10"/>
  <c r="L125" i="10"/>
  <c r="J247" i="10"/>
  <c r="J387" i="10"/>
  <c r="J504" i="10"/>
  <c r="J216" i="10"/>
  <c r="J335" i="10"/>
  <c r="J452" i="10"/>
  <c r="J213" i="10"/>
  <c r="J332" i="10"/>
  <c r="J449" i="10"/>
  <c r="J214" i="10"/>
  <c r="J333" i="10"/>
  <c r="J450" i="10"/>
  <c r="J215" i="10"/>
  <c r="J334" i="10"/>
  <c r="J451" i="10"/>
  <c r="I333" i="10"/>
  <c r="I450" i="10"/>
  <c r="I218" i="4"/>
  <c r="J225" i="9"/>
  <c r="J327" i="9"/>
  <c r="J442" i="9"/>
  <c r="J223" i="9"/>
  <c r="J325" i="9"/>
  <c r="J440" i="9"/>
  <c r="J224" i="9"/>
  <c r="J326" i="9"/>
  <c r="J441" i="9"/>
  <c r="I335" i="10"/>
  <c r="I452" i="10"/>
  <c r="J195" i="9"/>
  <c r="J276" i="9"/>
  <c r="J391" i="9"/>
  <c r="J193" i="9"/>
  <c r="J274" i="9"/>
  <c r="J389" i="9"/>
  <c r="J194" i="9"/>
  <c r="J275" i="9"/>
  <c r="J390" i="9"/>
  <c r="F293" i="5"/>
  <c r="J239" i="6"/>
  <c r="J376" i="6"/>
  <c r="J491" i="6"/>
  <c r="J269" i="6"/>
  <c r="J267" i="6"/>
  <c r="J268" i="6"/>
  <c r="J238" i="6"/>
  <c r="J375" i="6"/>
  <c r="J490" i="6"/>
  <c r="I440" i="6"/>
  <c r="J237" i="6"/>
  <c r="J374" i="6"/>
  <c r="J489" i="6"/>
  <c r="L122" i="6"/>
  <c r="J209" i="6"/>
  <c r="J325" i="6"/>
  <c r="J440" i="6"/>
  <c r="J207" i="6"/>
  <c r="J323" i="6"/>
  <c r="J438" i="6"/>
  <c r="J208" i="6"/>
  <c r="J324" i="6"/>
  <c r="J439" i="6"/>
  <c r="I187" i="3"/>
  <c r="I214" i="8"/>
  <c r="I300" i="8"/>
  <c r="J229" i="5"/>
  <c r="J338" i="5"/>
  <c r="J440" i="5"/>
  <c r="J230" i="5"/>
  <c r="J339" i="5"/>
  <c r="J441" i="5"/>
  <c r="J227" i="5"/>
  <c r="J336" i="5"/>
  <c r="J438" i="5"/>
  <c r="J228" i="5"/>
  <c r="J337" i="5"/>
  <c r="J439" i="5"/>
  <c r="F311" i="4"/>
  <c r="F313" i="4"/>
  <c r="J198" i="5"/>
  <c r="J283" i="5"/>
  <c r="J394" i="5"/>
  <c r="J199" i="5"/>
  <c r="J284" i="5"/>
  <c r="J395" i="5"/>
  <c r="J196" i="5"/>
  <c r="J281" i="5"/>
  <c r="J392" i="5"/>
  <c r="J197" i="5"/>
  <c r="J282" i="5"/>
  <c r="J393" i="5"/>
  <c r="I189" i="4"/>
  <c r="I354" i="4"/>
  <c r="J215" i="4"/>
  <c r="J351" i="4"/>
  <c r="J454" i="4"/>
  <c r="J216" i="4"/>
  <c r="J352" i="4"/>
  <c r="J455" i="4"/>
  <c r="J217" i="4"/>
  <c r="J353" i="4"/>
  <c r="J456" i="4"/>
  <c r="J188" i="4"/>
  <c r="J303" i="4"/>
  <c r="J410" i="4"/>
  <c r="J186" i="4"/>
  <c r="J301" i="4"/>
  <c r="J408" i="4"/>
  <c r="J187" i="4"/>
  <c r="J302" i="4"/>
  <c r="J409" i="4"/>
  <c r="I309" i="3"/>
  <c r="I310" i="3"/>
  <c r="J186" i="3"/>
  <c r="J261" i="3"/>
  <c r="J369" i="3"/>
  <c r="J214" i="3"/>
  <c r="J309" i="3"/>
  <c r="J417" i="3"/>
  <c r="L111" i="3"/>
  <c r="J256" i="8"/>
  <c r="J364" i="8"/>
  <c r="J475" i="8"/>
  <c r="J257" i="8"/>
  <c r="J365" i="8"/>
  <c r="J476" i="8"/>
  <c r="I191" i="7"/>
  <c r="J225" i="8"/>
  <c r="J311" i="8"/>
  <c r="J426" i="8"/>
  <c r="J228" i="8"/>
  <c r="J314" i="8"/>
  <c r="J429" i="8"/>
  <c r="J224" i="8"/>
  <c r="J310" i="8"/>
  <c r="J425" i="8"/>
  <c r="J189" i="7"/>
  <c r="J306" i="7"/>
  <c r="J410" i="7"/>
  <c r="J217" i="7"/>
  <c r="J355" i="7"/>
  <c r="J450" i="7"/>
  <c r="J218" i="7"/>
  <c r="J356" i="7"/>
  <c r="J451" i="7"/>
  <c r="J219" i="7"/>
  <c r="J357" i="7"/>
  <c r="J452" i="7"/>
  <c r="J661" i="8"/>
  <c r="J187" i="7"/>
  <c r="J304" i="7"/>
  <c r="J408" i="7"/>
  <c r="J188" i="7"/>
  <c r="J305" i="7"/>
  <c r="J409" i="7"/>
  <c r="I308" i="7"/>
  <c r="H660" i="8"/>
  <c r="I661" i="8"/>
  <c r="I156" i="10"/>
  <c r="I222" i="10"/>
  <c r="I660" i="8"/>
  <c r="M664" i="8"/>
  <c r="K662" i="8"/>
  <c r="L663" i="8"/>
  <c r="I261" i="8"/>
  <c r="I369" i="8"/>
  <c r="I480" i="8"/>
  <c r="I265" i="8"/>
  <c r="I373" i="8"/>
  <c r="I484" i="8"/>
  <c r="J662" i="8"/>
  <c r="H265" i="8"/>
  <c r="H373" i="8"/>
  <c r="K234" i="8"/>
  <c r="K229" i="8"/>
  <c r="K663" i="8"/>
  <c r="H266" i="8"/>
  <c r="H374" i="8"/>
  <c r="H485" i="8"/>
  <c r="L664" i="8"/>
  <c r="G261" i="8"/>
  <c r="G266" i="8"/>
  <c r="J663" i="8"/>
  <c r="I662" i="8"/>
  <c r="K664" i="8"/>
  <c r="K201" i="8"/>
  <c r="K254" i="8"/>
  <c r="K191" i="8"/>
  <c r="K194" i="8"/>
  <c r="K200" i="8"/>
  <c r="K193" i="8"/>
  <c r="K192" i="8"/>
  <c r="H661" i="8"/>
  <c r="G660" i="8"/>
  <c r="G665" i="8"/>
  <c r="G670" i="8"/>
  <c r="K166" i="8"/>
  <c r="K199" i="8"/>
  <c r="K198" i="8"/>
  <c r="J199" i="8"/>
  <c r="J330" i="8"/>
  <c r="J169" i="8"/>
  <c r="J261" i="8"/>
  <c r="J369" i="8"/>
  <c r="J480" i="8"/>
  <c r="L158" i="8"/>
  <c r="L172" i="8"/>
  <c r="L178" i="8"/>
  <c r="L179" i="8"/>
  <c r="L165" i="8"/>
  <c r="K227" i="8"/>
  <c r="K313" i="8"/>
  <c r="K428" i="8"/>
  <c r="K259" i="8"/>
  <c r="K367" i="8"/>
  <c r="K478" i="8"/>
  <c r="F248" i="10"/>
  <c r="F249" i="10"/>
  <c r="F252" i="10"/>
  <c r="F254" i="10"/>
  <c r="H370" i="3"/>
  <c r="H377" i="3"/>
  <c r="I218" i="3"/>
  <c r="I313" i="3"/>
  <c r="I315" i="3"/>
  <c r="I363" i="3"/>
  <c r="I335" i="3"/>
  <c r="F335" i="3"/>
  <c r="E336" i="3"/>
  <c r="J336" i="3"/>
  <c r="G335" i="3"/>
  <c r="J227" i="3"/>
  <c r="J151" i="3"/>
  <c r="H269" i="3"/>
  <c r="H271" i="3"/>
  <c r="J258" i="3"/>
  <c r="I366" i="3"/>
  <c r="I370" i="3"/>
  <c r="I262" i="3"/>
  <c r="K178" i="3"/>
  <c r="K150" i="3"/>
  <c r="K179" i="3"/>
  <c r="K254" i="3"/>
  <c r="K362" i="3"/>
  <c r="K185" i="3"/>
  <c r="K260" i="3"/>
  <c r="K368" i="3"/>
  <c r="K183" i="3"/>
  <c r="K184" i="3"/>
  <c r="K259" i="3"/>
  <c r="K367" i="3"/>
  <c r="K148" i="3"/>
  <c r="K149" i="3"/>
  <c r="K228" i="3"/>
  <c r="K190" i="3"/>
  <c r="K191" i="3"/>
  <c r="K266" i="3"/>
  <c r="K374" i="3"/>
  <c r="J243" i="3"/>
  <c r="J175" i="3"/>
  <c r="L124" i="3"/>
  <c r="K170" i="3"/>
  <c r="K245" i="3"/>
  <c r="K353" i="3"/>
  <c r="K171" i="3"/>
  <c r="K246" i="3"/>
  <c r="K354" i="3"/>
  <c r="K169" i="3"/>
  <c r="K244" i="3"/>
  <c r="K352" i="3"/>
  <c r="K172" i="3"/>
  <c r="K247" i="3"/>
  <c r="K355" i="3"/>
  <c r="K173" i="3"/>
  <c r="K248" i="3"/>
  <c r="K356" i="3"/>
  <c r="K168" i="3"/>
  <c r="K174" i="3"/>
  <c r="K249" i="3"/>
  <c r="K357" i="3"/>
  <c r="J192" i="3"/>
  <c r="J265" i="3"/>
  <c r="L122" i="3"/>
  <c r="K197" i="3"/>
  <c r="K292" i="3"/>
  <c r="K400" i="3"/>
  <c r="K142" i="3"/>
  <c r="K143" i="3"/>
  <c r="K161" i="3"/>
  <c r="I373" i="3"/>
  <c r="I375" i="3"/>
  <c r="I267" i="3"/>
  <c r="J145" i="3"/>
  <c r="J218" i="3"/>
  <c r="J313" i="3"/>
  <c r="J180" i="3"/>
  <c r="J253" i="3"/>
  <c r="I351" i="3"/>
  <c r="I358" i="3"/>
  <c r="I250" i="3"/>
  <c r="I255" i="3"/>
  <c r="J166" i="10"/>
  <c r="J187" i="10"/>
  <c r="H350" i="10"/>
  <c r="H352" i="10"/>
  <c r="H359" i="10"/>
  <c r="K136" i="10"/>
  <c r="K166" i="10"/>
  <c r="I160" i="10"/>
  <c r="I181" i="10"/>
  <c r="I184" i="10"/>
  <c r="F227" i="9"/>
  <c r="J379" i="10"/>
  <c r="J239" i="10"/>
  <c r="F232" i="9"/>
  <c r="G396" i="9"/>
  <c r="G398" i="9"/>
  <c r="G223" i="10"/>
  <c r="G230" i="9"/>
  <c r="G332" i="9"/>
  <c r="G447" i="9"/>
  <c r="G449" i="9"/>
  <c r="J208" i="10"/>
  <c r="K269" i="10"/>
  <c r="K126" i="10"/>
  <c r="K130" i="10"/>
  <c r="K182" i="10"/>
  <c r="K189" i="10"/>
  <c r="K274" i="10"/>
  <c r="N131" i="9"/>
  <c r="N146" i="9"/>
  <c r="J496" i="10"/>
  <c r="G226" i="9"/>
  <c r="G328" i="9"/>
  <c r="G443" i="9"/>
  <c r="J270" i="10"/>
  <c r="K176" i="10"/>
  <c r="K211" i="10"/>
  <c r="K190" i="10"/>
  <c r="K273" i="10"/>
  <c r="K175" i="10"/>
  <c r="K212" i="10"/>
  <c r="K183" i="10"/>
  <c r="K242" i="10"/>
  <c r="K206" i="10"/>
  <c r="K207" i="10"/>
  <c r="L123" i="10"/>
  <c r="K243" i="10"/>
  <c r="K283" i="10"/>
  <c r="K238" i="10"/>
  <c r="K237" i="10"/>
  <c r="K268" i="10"/>
  <c r="K284" i="10"/>
  <c r="H223" i="10"/>
  <c r="L146" i="9"/>
  <c r="L147" i="9"/>
  <c r="L150" i="9"/>
  <c r="H285" i="9"/>
  <c r="H287" i="9"/>
  <c r="I372" i="9"/>
  <c r="I379" i="9"/>
  <c r="G271" i="6"/>
  <c r="I197" i="9"/>
  <c r="I246" i="6"/>
  <c r="I241" i="6"/>
  <c r="I281" i="6"/>
  <c r="I271" i="6"/>
  <c r="F271" i="6"/>
  <c r="I336" i="10"/>
  <c r="I453" i="10"/>
  <c r="J257" i="6"/>
  <c r="J203" i="3"/>
  <c r="H341" i="10"/>
  <c r="H458" i="10"/>
  <c r="F327" i="6"/>
  <c r="G232" i="5"/>
  <c r="K119" i="5"/>
  <c r="K123" i="5"/>
  <c r="K280" i="5"/>
  <c r="K391" i="5"/>
  <c r="K222" i="5"/>
  <c r="K331" i="5"/>
  <c r="K433" i="5"/>
  <c r="K173" i="5"/>
  <c r="J223" i="5"/>
  <c r="J330" i="5"/>
  <c r="J332" i="5"/>
  <c r="L116" i="5"/>
  <c r="L172" i="5"/>
  <c r="K191" i="5"/>
  <c r="K276" i="5"/>
  <c r="K387" i="5"/>
  <c r="K190" i="5"/>
  <c r="K335" i="5"/>
  <c r="K437" i="5"/>
  <c r="K167" i="5"/>
  <c r="J192" i="5"/>
  <c r="K270" i="5"/>
  <c r="K381" i="5"/>
  <c r="K329" i="5"/>
  <c r="K431" i="5"/>
  <c r="K221" i="5"/>
  <c r="K330" i="5"/>
  <c r="K432" i="5"/>
  <c r="K274" i="5"/>
  <c r="K385" i="5"/>
  <c r="K325" i="5"/>
  <c r="K427" i="5"/>
  <c r="H168" i="5"/>
  <c r="J265" i="6"/>
  <c r="J197" i="6"/>
  <c r="J227" i="6"/>
  <c r="J235" i="6"/>
  <c r="J372" i="6"/>
  <c r="K174" i="6"/>
  <c r="K340" i="6"/>
  <c r="K206" i="6"/>
  <c r="K322" i="6"/>
  <c r="K236" i="6"/>
  <c r="K373" i="6"/>
  <c r="K488" i="6"/>
  <c r="K266" i="6"/>
  <c r="J217" i="5"/>
  <c r="J186" i="5"/>
  <c r="K211" i="3"/>
  <c r="K212" i="3"/>
  <c r="K307" i="3"/>
  <c r="K415" i="3"/>
  <c r="K213" i="3"/>
  <c r="K308" i="3"/>
  <c r="K416" i="3"/>
  <c r="J265" i="10"/>
  <c r="J234" i="10"/>
  <c r="J203" i="10"/>
  <c r="J221" i="9"/>
  <c r="J323" i="9"/>
  <c r="J213" i="9"/>
  <c r="I423" i="9"/>
  <c r="I315" i="9"/>
  <c r="J315" i="9"/>
  <c r="J257" i="9"/>
  <c r="J264" i="9"/>
  <c r="J183" i="9"/>
  <c r="K206" i="9"/>
  <c r="K308" i="9"/>
  <c r="K192" i="9"/>
  <c r="K273" i="9"/>
  <c r="K388" i="9"/>
  <c r="K222" i="9"/>
  <c r="K324" i="9"/>
  <c r="K439" i="9"/>
  <c r="E406" i="9"/>
  <c r="G406" i="9"/>
  <c r="J214" i="8"/>
  <c r="I355" i="9"/>
  <c r="E387" i="9"/>
  <c r="I387" i="9"/>
  <c r="G355" i="9"/>
  <c r="F355" i="9"/>
  <c r="E407" i="9"/>
  <c r="G407" i="9"/>
  <c r="E356" i="9"/>
  <c r="I356" i="9"/>
  <c r="H194" i="4"/>
  <c r="F453" i="7"/>
  <c r="F459" i="7"/>
  <c r="F226" i="7"/>
  <c r="F364" i="7"/>
  <c r="I196" i="7"/>
  <c r="H257" i="4"/>
  <c r="H259" i="4"/>
  <c r="G638" i="7"/>
  <c r="G643" i="7"/>
  <c r="H224" i="7"/>
  <c r="H362" i="7"/>
  <c r="H633" i="7"/>
  <c r="H638" i="7"/>
  <c r="H643" i="7"/>
  <c r="K636" i="7"/>
  <c r="I634" i="7"/>
  <c r="J635" i="7"/>
  <c r="L637" i="7"/>
  <c r="J177" i="7"/>
  <c r="G372" i="7"/>
  <c r="J272" i="7"/>
  <c r="J279" i="7"/>
  <c r="K186" i="7"/>
  <c r="K303" i="7"/>
  <c r="K407" i="7"/>
  <c r="K216" i="7"/>
  <c r="K354" i="7"/>
  <c r="K449" i="7"/>
  <c r="H416" i="4"/>
  <c r="H309" i="4"/>
  <c r="H311" i="4"/>
  <c r="H444" i="4"/>
  <c r="K149" i="4"/>
  <c r="K201" i="4"/>
  <c r="K337" i="4"/>
  <c r="K440" i="4"/>
  <c r="L126" i="4"/>
  <c r="H222" i="4"/>
  <c r="H358" i="4"/>
  <c r="H461" i="4"/>
  <c r="H462" i="4"/>
  <c r="I201" i="4"/>
  <c r="I150" i="4"/>
  <c r="I152" i="4"/>
  <c r="I222" i="4"/>
  <c r="I358" i="4"/>
  <c r="I461" i="4"/>
  <c r="I230" i="4"/>
  <c r="J149" i="4"/>
  <c r="H205" i="4"/>
  <c r="H341" i="4"/>
  <c r="J192" i="4"/>
  <c r="J194" i="4"/>
  <c r="J176" i="4"/>
  <c r="H274" i="4"/>
  <c r="H276" i="4"/>
  <c r="K213" i="4"/>
  <c r="K184" i="4"/>
  <c r="K226" i="8"/>
  <c r="K312" i="8"/>
  <c r="K427" i="8"/>
  <c r="K258" i="8"/>
  <c r="K366" i="8"/>
  <c r="K477" i="8"/>
  <c r="K255" i="8"/>
  <c r="K363" i="8"/>
  <c r="K474" i="8"/>
  <c r="K223" i="8"/>
  <c r="K309" i="8"/>
  <c r="K424" i="8"/>
  <c r="J222" i="8"/>
  <c r="J308" i="8"/>
  <c r="J148" i="7"/>
  <c r="J162" i="7"/>
  <c r="J322" i="7"/>
  <c r="K181" i="8"/>
  <c r="I269" i="4"/>
  <c r="I273" i="4"/>
  <c r="I384" i="4"/>
  <c r="I385" i="4"/>
  <c r="I192" i="4"/>
  <c r="I307" i="4"/>
  <c r="I414" i="4"/>
  <c r="I416" i="4"/>
  <c r="K157" i="4"/>
  <c r="K146" i="4"/>
  <c r="K192" i="4"/>
  <c r="K156" i="4"/>
  <c r="K268" i="4"/>
  <c r="I166" i="5"/>
  <c r="I246" i="5"/>
  <c r="I366" i="5"/>
  <c r="H249" i="5"/>
  <c r="H256" i="5"/>
  <c r="H354" i="5"/>
  <c r="F237" i="5"/>
  <c r="F344" i="5"/>
  <c r="F232" i="5"/>
  <c r="F340" i="5"/>
  <c r="H331" i="8"/>
  <c r="H339" i="8"/>
  <c r="H202" i="8"/>
  <c r="I195" i="8"/>
  <c r="H285" i="8"/>
  <c r="I202" i="8"/>
  <c r="E383" i="3"/>
  <c r="I171" i="6"/>
  <c r="I299" i="10"/>
  <c r="E383" i="7"/>
  <c r="E406" i="7"/>
  <c r="E425" i="7"/>
  <c r="E384" i="7"/>
  <c r="E426" i="7"/>
  <c r="E448" i="7"/>
  <c r="J276" i="8"/>
  <c r="I277" i="8"/>
  <c r="I285" i="8"/>
  <c r="J190" i="7"/>
  <c r="J307" i="7"/>
  <c r="J411" i="7"/>
  <c r="K156" i="7"/>
  <c r="K157" i="7"/>
  <c r="K185" i="7"/>
  <c r="K144" i="7"/>
  <c r="K190" i="7"/>
  <c r="K307" i="7"/>
  <c r="K411" i="7"/>
  <c r="K155" i="7"/>
  <c r="K271" i="7"/>
  <c r="E444" i="8"/>
  <c r="E467" i="10"/>
  <c r="E415" i="10"/>
  <c r="I388" i="10"/>
  <c r="I505" i="10"/>
  <c r="H289" i="10"/>
  <c r="H279" i="10"/>
  <c r="G290" i="10"/>
  <c r="H253" i="10"/>
  <c r="H393" i="10"/>
  <c r="H510" i="10"/>
  <c r="G285" i="9"/>
  <c r="G287" i="9"/>
  <c r="F315" i="8"/>
  <c r="F316" i="8"/>
  <c r="F319" i="8"/>
  <c r="F235" i="8"/>
  <c r="H370" i="8"/>
  <c r="H262" i="8"/>
  <c r="F383" i="8"/>
  <c r="H220" i="7"/>
  <c r="H358" i="7"/>
  <c r="J194" i="7"/>
  <c r="J311" i="7"/>
  <c r="I149" i="5"/>
  <c r="H200" i="5"/>
  <c r="H285" i="5"/>
  <c r="H205" i="5"/>
  <c r="H290" i="5"/>
  <c r="H401" i="5"/>
  <c r="I155" i="5"/>
  <c r="I236" i="5"/>
  <c r="H236" i="5"/>
  <c r="H345" i="5"/>
  <c r="H447" i="5"/>
  <c r="G237" i="5"/>
  <c r="H235" i="5"/>
  <c r="H344" i="5"/>
  <c r="H231" i="5"/>
  <c r="H340" i="5"/>
  <c r="I174" i="5"/>
  <c r="I158" i="4"/>
  <c r="F369" i="8"/>
  <c r="F370" i="8"/>
  <c r="F373" i="8"/>
  <c r="F267" i="8"/>
  <c r="G414" i="4"/>
  <c r="G416" i="4"/>
  <c r="G309" i="4"/>
  <c r="G311" i="4"/>
  <c r="H252" i="10"/>
  <c r="H392" i="10"/>
  <c r="H509" i="10"/>
  <c r="I331" i="8"/>
  <c r="I339" i="8"/>
  <c r="H261" i="7"/>
  <c r="I341" i="10"/>
  <c r="I458" i="10"/>
  <c r="H332" i="6"/>
  <c r="H334" i="6"/>
  <c r="H336" i="6"/>
  <c r="H445" i="6"/>
  <c r="H447" i="6"/>
  <c r="F330" i="6"/>
  <c r="F332" i="6"/>
  <c r="F211" i="6"/>
  <c r="J185" i="6"/>
  <c r="J168" i="6"/>
  <c r="J290" i="6"/>
  <c r="H251" i="7"/>
  <c r="G383" i="8"/>
  <c r="K181" i="6"/>
  <c r="I216" i="6"/>
  <c r="H204" i="5"/>
  <c r="H289" i="5"/>
  <c r="I211" i="6"/>
  <c r="H216" i="6"/>
  <c r="H225" i="7"/>
  <c r="H363" i="7"/>
  <c r="H458" i="7"/>
  <c r="I393" i="10"/>
  <c r="I510" i="10"/>
  <c r="M136" i="8"/>
  <c r="L184" i="8"/>
  <c r="L185" i="8"/>
  <c r="L188" i="8"/>
  <c r="J195" i="7"/>
  <c r="J312" i="7"/>
  <c r="J416" i="7"/>
  <c r="I235" i="8"/>
  <c r="F357" i="4"/>
  <c r="F223" i="4"/>
  <c r="J156" i="10"/>
  <c r="J222" i="10"/>
  <c r="J341" i="10"/>
  <c r="J458" i="10"/>
  <c r="K176" i="9"/>
  <c r="J362" i="8"/>
  <c r="I468" i="8"/>
  <c r="I470" i="8"/>
  <c r="I359" i="8"/>
  <c r="K250" i="8"/>
  <c r="K358" i="8"/>
  <c r="K469" i="8"/>
  <c r="K218" i="8"/>
  <c r="K304" i="8"/>
  <c r="K419" i="8"/>
  <c r="K126" i="8"/>
  <c r="K130" i="8"/>
  <c r="K260" i="8"/>
  <c r="K368" i="8"/>
  <c r="K479" i="8"/>
  <c r="K299" i="8"/>
  <c r="K414" i="8"/>
  <c r="L123" i="8"/>
  <c r="L173" i="8"/>
  <c r="L175" i="8"/>
  <c r="L159" i="8"/>
  <c r="L162" i="8"/>
  <c r="L233" i="8"/>
  <c r="K249" i="8"/>
  <c r="K217" i="8"/>
  <c r="K353" i="8"/>
  <c r="K464" i="8"/>
  <c r="J357" i="8"/>
  <c r="J251" i="8"/>
  <c r="J219" i="8"/>
  <c r="J303" i="8"/>
  <c r="J329" i="8"/>
  <c r="I418" i="8"/>
  <c r="I420" i="8"/>
  <c r="I305" i="8"/>
  <c r="I485" i="8"/>
  <c r="I230" i="8"/>
  <c r="G281" i="6"/>
  <c r="J214" i="6"/>
  <c r="J330" i="6"/>
  <c r="J388" i="5"/>
  <c r="J277" i="5"/>
  <c r="H220" i="3"/>
  <c r="H313" i="3"/>
  <c r="J163" i="3"/>
  <c r="K181" i="9"/>
  <c r="K262" i="9"/>
  <c r="K377" i="9"/>
  <c r="K178" i="9"/>
  <c r="K259" i="9"/>
  <c r="K374" i="9"/>
  <c r="I151" i="7"/>
  <c r="J158" i="7"/>
  <c r="H381" i="6"/>
  <c r="H246" i="6"/>
  <c r="J215" i="6"/>
  <c r="J331" i="6"/>
  <c r="J446" i="6"/>
  <c r="F280" i="10"/>
  <c r="J327" i="10"/>
  <c r="J442" i="10"/>
  <c r="J444" i="10"/>
  <c r="K153" i="10"/>
  <c r="K174" i="10"/>
  <c r="K173" i="10"/>
  <c r="K199" i="10"/>
  <c r="L138" i="10"/>
  <c r="K258" i="10"/>
  <c r="K197" i="10"/>
  <c r="K201" i="10"/>
  <c r="K260" i="10"/>
  <c r="K259" i="10"/>
  <c r="K261" i="10"/>
  <c r="K263" i="10"/>
  <c r="K262" i="10"/>
  <c r="K228" i="10"/>
  <c r="K198" i="10"/>
  <c r="K200" i="10"/>
  <c r="K196" i="10"/>
  <c r="K232" i="10"/>
  <c r="K229" i="10"/>
  <c r="K231" i="10"/>
  <c r="K227" i="10"/>
  <c r="K230" i="10"/>
  <c r="J298" i="10"/>
  <c r="J177" i="10"/>
  <c r="L152" i="10"/>
  <c r="M134" i="10"/>
  <c r="F290" i="10"/>
  <c r="J367" i="10"/>
  <c r="J374" i="10"/>
  <c r="J315" i="10"/>
  <c r="J322" i="10"/>
  <c r="K207" i="9"/>
  <c r="K309" i="9"/>
  <c r="K424" i="9"/>
  <c r="K179" i="9"/>
  <c r="K260" i="9"/>
  <c r="K375" i="9"/>
  <c r="K211" i="9"/>
  <c r="K313" i="9"/>
  <c r="K428" i="9"/>
  <c r="K210" i="9"/>
  <c r="K312" i="9"/>
  <c r="K427" i="9"/>
  <c r="K208" i="9"/>
  <c r="K310" i="9"/>
  <c r="K425" i="9"/>
  <c r="K180" i="9"/>
  <c r="K261" i="9"/>
  <c r="K376" i="9"/>
  <c r="M147" i="9"/>
  <c r="M150" i="9"/>
  <c r="K209" i="9"/>
  <c r="K311" i="9"/>
  <c r="K426" i="9"/>
  <c r="K177" i="9"/>
  <c r="K258" i="9"/>
  <c r="K373" i="9"/>
  <c r="J347" i="8"/>
  <c r="L138" i="8"/>
  <c r="K210" i="8"/>
  <c r="K296" i="8"/>
  <c r="K411" i="8"/>
  <c r="K207" i="8"/>
  <c r="K241" i="8"/>
  <c r="K349" i="8"/>
  <c r="K460" i="8"/>
  <c r="K239" i="8"/>
  <c r="K212" i="8"/>
  <c r="K298" i="8"/>
  <c r="K413" i="8"/>
  <c r="K208" i="8"/>
  <c r="K294" i="8"/>
  <c r="K409" i="8"/>
  <c r="K242" i="8"/>
  <c r="K350" i="8"/>
  <c r="K461" i="8"/>
  <c r="K243" i="8"/>
  <c r="K351" i="8"/>
  <c r="K462" i="8"/>
  <c r="K240" i="8"/>
  <c r="K348" i="8"/>
  <c r="K459" i="8"/>
  <c r="K211" i="8"/>
  <c r="K297" i="8"/>
  <c r="K412" i="8"/>
  <c r="K209" i="8"/>
  <c r="K295" i="8"/>
  <c r="K410" i="8"/>
  <c r="I458" i="8"/>
  <c r="J293" i="8"/>
  <c r="J300" i="8"/>
  <c r="I408" i="8"/>
  <c r="I415" i="8"/>
  <c r="I251" i="7"/>
  <c r="M131" i="6"/>
  <c r="L146" i="6"/>
  <c r="G216" i="6"/>
  <c r="G330" i="6"/>
  <c r="K147" i="6"/>
  <c r="K150" i="6"/>
  <c r="G341" i="10"/>
  <c r="G458" i="10"/>
  <c r="G393" i="10"/>
  <c r="G510" i="10"/>
  <c r="G446" i="6"/>
  <c r="G326" i="6"/>
  <c r="G211" i="6"/>
  <c r="M129" i="5"/>
  <c r="M152" i="5"/>
  <c r="M153" i="5"/>
  <c r="L158" i="5"/>
  <c r="J162" i="5"/>
  <c r="K159" i="5"/>
  <c r="G359" i="4"/>
  <c r="G361" i="4"/>
  <c r="G460" i="4"/>
  <c r="G462" i="4"/>
  <c r="L143" i="4"/>
  <c r="M124" i="4"/>
  <c r="F340" i="10"/>
  <c r="F223" i="10"/>
  <c r="H388" i="10"/>
  <c r="H505" i="10"/>
  <c r="H249" i="10"/>
  <c r="J160" i="10"/>
  <c r="J181" i="10"/>
  <c r="J351" i="10"/>
  <c r="J180" i="10"/>
  <c r="F402" i="10"/>
  <c r="I191" i="10"/>
  <c r="F336" i="10"/>
  <c r="F218" i="10"/>
  <c r="I170" i="10"/>
  <c r="K187" i="9"/>
  <c r="K268" i="9"/>
  <c r="K383" i="9"/>
  <c r="K186" i="9"/>
  <c r="K217" i="9"/>
  <c r="K319" i="9"/>
  <c r="K434" i="9"/>
  <c r="L120" i="9"/>
  <c r="K314" i="9"/>
  <c r="K429" i="9"/>
  <c r="K263" i="9"/>
  <c r="K378" i="9"/>
  <c r="K162" i="9"/>
  <c r="K123" i="9"/>
  <c r="K127" i="9"/>
  <c r="K216" i="9"/>
  <c r="K163" i="9"/>
  <c r="K191" i="9"/>
  <c r="K169" i="9"/>
  <c r="K160" i="9"/>
  <c r="K170" i="9"/>
  <c r="K161" i="9"/>
  <c r="K241" i="9"/>
  <c r="K201" i="9"/>
  <c r="K282" i="9"/>
  <c r="K397" i="9"/>
  <c r="K200" i="9"/>
  <c r="K196" i="9"/>
  <c r="K277" i="9"/>
  <c r="K392" i="9"/>
  <c r="J423" i="9"/>
  <c r="J430" i="9"/>
  <c r="J272" i="9"/>
  <c r="J218" i="9"/>
  <c r="J318" i="9"/>
  <c r="J267" i="9"/>
  <c r="J188" i="9"/>
  <c r="I426" i="9"/>
  <c r="F197" i="9"/>
  <c r="F277" i="9"/>
  <c r="M135" i="9"/>
  <c r="J202" i="9"/>
  <c r="J281" i="9"/>
  <c r="F281" i="9"/>
  <c r="F202" i="9"/>
  <c r="J164" i="9"/>
  <c r="J240" i="9"/>
  <c r="I269" i="9"/>
  <c r="I382" i="9"/>
  <c r="I384" i="9"/>
  <c r="H319" i="8"/>
  <c r="H235" i="8"/>
  <c r="G315" i="8"/>
  <c r="G230" i="8"/>
  <c r="M134" i="8"/>
  <c r="H315" i="8"/>
  <c r="H230" i="8"/>
  <c r="G319" i="8"/>
  <c r="G434" i="8"/>
  <c r="G235" i="8"/>
  <c r="G484" i="8"/>
  <c r="J275" i="8"/>
  <c r="G435" i="8"/>
  <c r="J182" i="7"/>
  <c r="J297" i="7"/>
  <c r="I443" i="7"/>
  <c r="I445" i="7"/>
  <c r="I350" i="7"/>
  <c r="J212" i="7"/>
  <c r="J348" i="7"/>
  <c r="G221" i="7"/>
  <c r="G358" i="7"/>
  <c r="G252" i="7"/>
  <c r="J161" i="7"/>
  <c r="I391" i="7"/>
  <c r="I398" i="7"/>
  <c r="J237" i="7"/>
  <c r="I321" i="7"/>
  <c r="I323" i="7"/>
  <c r="I330" i="7"/>
  <c r="I165" i="7"/>
  <c r="G362" i="7"/>
  <c r="G226" i="7"/>
  <c r="N126" i="7"/>
  <c r="M140" i="7"/>
  <c r="I415" i="7"/>
  <c r="I417" i="7"/>
  <c r="I313" i="7"/>
  <c r="G311" i="7"/>
  <c r="G196" i="7"/>
  <c r="H372" i="7"/>
  <c r="J287" i="7"/>
  <c r="J294" i="7"/>
  <c r="I401" i="7"/>
  <c r="I403" i="7"/>
  <c r="I299" i="7"/>
  <c r="J302" i="7"/>
  <c r="J353" i="7"/>
  <c r="K241" i="7"/>
  <c r="K211" i="7"/>
  <c r="K349" i="7"/>
  <c r="K444" i="7"/>
  <c r="K248" i="7"/>
  <c r="K181" i="7"/>
  <c r="K298" i="7"/>
  <c r="K402" i="7"/>
  <c r="K163" i="7"/>
  <c r="K256" i="7"/>
  <c r="K250" i="7"/>
  <c r="K240" i="7"/>
  <c r="K164" i="7"/>
  <c r="K215" i="7"/>
  <c r="K247" i="7"/>
  <c r="K118" i="7"/>
  <c r="K122" i="7"/>
  <c r="K344" i="7"/>
  <c r="K439" i="7"/>
  <c r="K245" i="7"/>
  <c r="L115" i="7"/>
  <c r="K293" i="7"/>
  <c r="K397" i="7"/>
  <c r="K210" i="7"/>
  <c r="K246" i="7"/>
  <c r="K194" i="7"/>
  <c r="K180" i="7"/>
  <c r="K255" i="7"/>
  <c r="J257" i="7"/>
  <c r="J242" i="7"/>
  <c r="I433" i="7"/>
  <c r="F411" i="7"/>
  <c r="F308" i="7"/>
  <c r="L141" i="7"/>
  <c r="L128" i="7"/>
  <c r="K147" i="7"/>
  <c r="K154" i="7"/>
  <c r="L130" i="7"/>
  <c r="K174" i="7"/>
  <c r="K291" i="7"/>
  <c r="K395" i="7"/>
  <c r="K230" i="7"/>
  <c r="K231" i="7"/>
  <c r="K233" i="7"/>
  <c r="K200" i="7"/>
  <c r="K171" i="7"/>
  <c r="K288" i="7"/>
  <c r="K392" i="7"/>
  <c r="K175" i="7"/>
  <c r="K292" i="7"/>
  <c r="K396" i="7"/>
  <c r="K236" i="7"/>
  <c r="K205" i="7"/>
  <c r="K343" i="7"/>
  <c r="K438" i="7"/>
  <c r="K173" i="7"/>
  <c r="K290" i="7"/>
  <c r="K394" i="7"/>
  <c r="K235" i="7"/>
  <c r="K202" i="7"/>
  <c r="K340" i="7"/>
  <c r="K435" i="7"/>
  <c r="K234" i="7"/>
  <c r="K170" i="7"/>
  <c r="K204" i="7"/>
  <c r="K342" i="7"/>
  <c r="K437" i="7"/>
  <c r="K201" i="7"/>
  <c r="K339" i="7"/>
  <c r="K434" i="7"/>
  <c r="K172" i="7"/>
  <c r="K289" i="7"/>
  <c r="K393" i="7"/>
  <c r="K232" i="7"/>
  <c r="H315" i="7"/>
  <c r="F415" i="7"/>
  <c r="F417" i="7"/>
  <c r="F313" i="7"/>
  <c r="G262" i="7"/>
  <c r="G307" i="7"/>
  <c r="G191" i="7"/>
  <c r="J338" i="7"/>
  <c r="I472" i="6"/>
  <c r="I479" i="6"/>
  <c r="J367" i="6"/>
  <c r="J232" i="6"/>
  <c r="H337" i="10"/>
  <c r="I369" i="6"/>
  <c r="I482" i="6"/>
  <c r="I484" i="6"/>
  <c r="F246" i="6"/>
  <c r="F381" i="6"/>
  <c r="L161" i="6"/>
  <c r="L164" i="6"/>
  <c r="I325" i="10"/>
  <c r="I318" i="6"/>
  <c r="I377" i="10"/>
  <c r="I431" i="6"/>
  <c r="I433" i="6"/>
  <c r="H300" i="10"/>
  <c r="H307" i="10"/>
  <c r="J321" i="6"/>
  <c r="K167" i="6"/>
  <c r="L120" i="6"/>
  <c r="K169" i="6"/>
  <c r="K260" i="6"/>
  <c r="K201" i="6"/>
  <c r="K317" i="6"/>
  <c r="K200" i="6"/>
  <c r="K231" i="6"/>
  <c r="K368" i="6"/>
  <c r="K483" i="6"/>
  <c r="K261" i="6"/>
  <c r="K275" i="6"/>
  <c r="K274" i="6"/>
  <c r="K230" i="6"/>
  <c r="K170" i="6"/>
  <c r="K205" i="6"/>
  <c r="K123" i="6"/>
  <c r="K127" i="6"/>
  <c r="K312" i="6"/>
  <c r="K195" i="6"/>
  <c r="K311" i="6"/>
  <c r="K255" i="6"/>
  <c r="K192" i="6"/>
  <c r="K308" i="6"/>
  <c r="K363" i="6"/>
  <c r="K478" i="6"/>
  <c r="K225" i="6"/>
  <c r="K362" i="6"/>
  <c r="K477" i="6"/>
  <c r="K250" i="6"/>
  <c r="K190" i="6"/>
  <c r="K221" i="6"/>
  <c r="K358" i="6"/>
  <c r="K473" i="6"/>
  <c r="K252" i="6"/>
  <c r="K194" i="6"/>
  <c r="K310" i="6"/>
  <c r="K191" i="6"/>
  <c r="K307" i="6"/>
  <c r="K222" i="6"/>
  <c r="K359" i="6"/>
  <c r="K474" i="6"/>
  <c r="K251" i="6"/>
  <c r="K193" i="6"/>
  <c r="K309" i="6"/>
  <c r="K224" i="6"/>
  <c r="K361" i="6"/>
  <c r="K476" i="6"/>
  <c r="K220" i="6"/>
  <c r="K254" i="6"/>
  <c r="K223" i="6"/>
  <c r="K360" i="6"/>
  <c r="K475" i="6"/>
  <c r="K253" i="6"/>
  <c r="K176" i="6"/>
  <c r="K177" i="6"/>
  <c r="K235" i="6"/>
  <c r="K184" i="6"/>
  <c r="K244" i="6"/>
  <c r="K245" i="6"/>
  <c r="K382" i="6"/>
  <c r="K497" i="6"/>
  <c r="K183" i="6"/>
  <c r="J316" i="6"/>
  <c r="J202" i="6"/>
  <c r="H281" i="6"/>
  <c r="G402" i="10"/>
  <c r="F377" i="6"/>
  <c r="F241" i="6"/>
  <c r="L154" i="6"/>
  <c r="I350" i="10"/>
  <c r="I298" i="10"/>
  <c r="I291" i="6"/>
  <c r="I298" i="6"/>
  <c r="I391" i="6"/>
  <c r="J262" i="6"/>
  <c r="J276" i="6"/>
  <c r="H271" i="6"/>
  <c r="K240" i="6"/>
  <c r="K377" i="6"/>
  <c r="K492" i="6"/>
  <c r="J178" i="6"/>
  <c r="J341" i="6"/>
  <c r="J342" i="6"/>
  <c r="J349" i="6"/>
  <c r="M153" i="6"/>
  <c r="N133" i="6"/>
  <c r="M160" i="6"/>
  <c r="I382" i="10"/>
  <c r="I330" i="10"/>
  <c r="I327" i="6"/>
  <c r="K182" i="6"/>
  <c r="K164" i="6"/>
  <c r="H432" i="10"/>
  <c r="H439" i="10"/>
  <c r="J306" i="6"/>
  <c r="J313" i="6"/>
  <c r="J357" i="6"/>
  <c r="J364" i="6"/>
  <c r="J289" i="6"/>
  <c r="H457" i="10"/>
  <c r="K175" i="6"/>
  <c r="K341" i="6"/>
  <c r="I445" i="6"/>
  <c r="I447" i="6"/>
  <c r="I332" i="6"/>
  <c r="I340" i="10"/>
  <c r="I392" i="10"/>
  <c r="I315" i="10"/>
  <c r="I322" i="10"/>
  <c r="I367" i="10"/>
  <c r="I374" i="10"/>
  <c r="I421" i="6"/>
  <c r="I428" i="6"/>
  <c r="J240" i="6"/>
  <c r="J244" i="6"/>
  <c r="J245" i="6"/>
  <c r="J382" i="6"/>
  <c r="J497" i="6"/>
  <c r="G446" i="5"/>
  <c r="G448" i="5"/>
  <c r="G346" i="5"/>
  <c r="M118" i="5"/>
  <c r="I299" i="5"/>
  <c r="I304" i="5"/>
  <c r="I311" i="5"/>
  <c r="J147" i="5"/>
  <c r="J165" i="5"/>
  <c r="I245" i="5"/>
  <c r="I375" i="5"/>
  <c r="I382" i="5"/>
  <c r="L131" i="5"/>
  <c r="K182" i="5"/>
  <c r="K267" i="5"/>
  <c r="K378" i="5"/>
  <c r="K215" i="5"/>
  <c r="K324" i="5"/>
  <c r="K426" i="5"/>
  <c r="K184" i="5"/>
  <c r="K269" i="5"/>
  <c r="K380" i="5"/>
  <c r="K183" i="5"/>
  <c r="K268" i="5"/>
  <c r="K379" i="5"/>
  <c r="K214" i="5"/>
  <c r="K323" i="5"/>
  <c r="K425" i="5"/>
  <c r="K210" i="5"/>
  <c r="K213" i="5"/>
  <c r="K322" i="5"/>
  <c r="K424" i="5"/>
  <c r="K180" i="5"/>
  <c r="K265" i="5"/>
  <c r="K376" i="5"/>
  <c r="K179" i="5"/>
  <c r="K181" i="5"/>
  <c r="K266" i="5"/>
  <c r="K377" i="5"/>
  <c r="K211" i="5"/>
  <c r="K320" i="5"/>
  <c r="K422" i="5"/>
  <c r="K212" i="5"/>
  <c r="K321" i="5"/>
  <c r="K423" i="5"/>
  <c r="J300" i="5"/>
  <c r="J411" i="5"/>
  <c r="J171" i="5"/>
  <c r="G201" i="5"/>
  <c r="G285" i="5"/>
  <c r="I421" i="5"/>
  <c r="I428" i="5"/>
  <c r="G442" i="5"/>
  <c r="G341" i="5"/>
  <c r="K146" i="5"/>
  <c r="L127" i="5"/>
  <c r="G289" i="5"/>
  <c r="G206" i="5"/>
  <c r="J319" i="5"/>
  <c r="J326" i="5"/>
  <c r="J264" i="5"/>
  <c r="J271" i="5"/>
  <c r="J294" i="4"/>
  <c r="J181" i="4"/>
  <c r="J299" i="4"/>
  <c r="K116" i="4"/>
  <c r="K120" i="4"/>
  <c r="K180" i="4"/>
  <c r="K295" i="4"/>
  <c r="K402" i="4"/>
  <c r="K245" i="4"/>
  <c r="K290" i="4"/>
  <c r="K397" i="4"/>
  <c r="K229" i="4"/>
  <c r="K340" i="4"/>
  <c r="K443" i="4"/>
  <c r="K246" i="4"/>
  <c r="K199" i="4"/>
  <c r="K335" i="4"/>
  <c r="K438" i="4"/>
  <c r="K237" i="4"/>
  <c r="K208" i="4"/>
  <c r="K300" i="4"/>
  <c r="K407" i="4"/>
  <c r="K247" i="4"/>
  <c r="K238" i="4"/>
  <c r="K173" i="4"/>
  <c r="K288" i="4"/>
  <c r="K395" i="4"/>
  <c r="K198" i="4"/>
  <c r="K350" i="4"/>
  <c r="K453" i="4"/>
  <c r="K203" i="4"/>
  <c r="K339" i="4"/>
  <c r="K442" i="4"/>
  <c r="K202" i="4"/>
  <c r="K338" i="4"/>
  <c r="K441" i="4"/>
  <c r="K169" i="4"/>
  <c r="K252" i="4"/>
  <c r="K209" i="4"/>
  <c r="K345" i="4"/>
  <c r="K448" i="4"/>
  <c r="K200" i="4"/>
  <c r="K336" i="4"/>
  <c r="K439" i="4"/>
  <c r="K174" i="4"/>
  <c r="K289" i="4"/>
  <c r="K396" i="4"/>
  <c r="K233" i="4"/>
  <c r="K231" i="4"/>
  <c r="K242" i="4"/>
  <c r="K179" i="4"/>
  <c r="K171" i="4"/>
  <c r="K286" i="4"/>
  <c r="K393" i="4"/>
  <c r="K170" i="4"/>
  <c r="K285" i="4"/>
  <c r="K392" i="4"/>
  <c r="L113" i="4"/>
  <c r="L214" i="4"/>
  <c r="K232" i="4"/>
  <c r="K172" i="4"/>
  <c r="K287" i="4"/>
  <c r="K394" i="4"/>
  <c r="K155" i="4"/>
  <c r="J249" i="4"/>
  <c r="J254" i="4"/>
  <c r="I346" i="4"/>
  <c r="I447" i="4"/>
  <c r="I449" i="4"/>
  <c r="I406" i="4"/>
  <c r="I304" i="4"/>
  <c r="J284" i="4"/>
  <c r="J291" i="4"/>
  <c r="J239" i="4"/>
  <c r="J349" i="4"/>
  <c r="I391" i="4"/>
  <c r="I398" i="4"/>
  <c r="J158" i="4"/>
  <c r="J267" i="4"/>
  <c r="J269" i="4"/>
  <c r="J273" i="4"/>
  <c r="J384" i="4"/>
  <c r="J385" i="4"/>
  <c r="J210" i="4"/>
  <c r="J344" i="4"/>
  <c r="J334" i="4"/>
  <c r="I401" i="4"/>
  <c r="I403" i="4"/>
  <c r="I296" i="4"/>
  <c r="I409" i="3"/>
  <c r="I411" i="3"/>
  <c r="I303" i="3"/>
  <c r="G421" i="3"/>
  <c r="G423" i="3"/>
  <c r="G315" i="3"/>
  <c r="G317" i="3"/>
  <c r="G324" i="3"/>
  <c r="I399" i="3"/>
  <c r="I406" i="3"/>
  <c r="I298" i="3"/>
  <c r="J306" i="3"/>
  <c r="F421" i="3"/>
  <c r="F423" i="3"/>
  <c r="F315" i="3"/>
  <c r="F317" i="3"/>
  <c r="F324" i="3"/>
  <c r="J291" i="3"/>
  <c r="J208" i="3"/>
  <c r="J301" i="3"/>
  <c r="K206" i="3"/>
  <c r="K207" i="3"/>
  <c r="K302" i="3"/>
  <c r="K410" i="3"/>
  <c r="K201" i="3"/>
  <c r="K296" i="3"/>
  <c r="K404" i="3"/>
  <c r="K200" i="3"/>
  <c r="K295" i="3"/>
  <c r="K403" i="3"/>
  <c r="L109" i="3"/>
  <c r="K297" i="3"/>
  <c r="K405" i="3"/>
  <c r="K198" i="3"/>
  <c r="K293" i="3"/>
  <c r="K401" i="3"/>
  <c r="K162" i="3"/>
  <c r="K196" i="3"/>
  <c r="K112" i="3"/>
  <c r="K116" i="3"/>
  <c r="K199" i="3"/>
  <c r="K294" i="3"/>
  <c r="K402" i="3"/>
  <c r="I414" i="3"/>
  <c r="G410" i="5"/>
  <c r="H410" i="5"/>
  <c r="F439" i="6"/>
  <c r="H439" i="6"/>
  <c r="I439" i="6"/>
  <c r="G439" i="6"/>
  <c r="G454" i="4"/>
  <c r="I454" i="4"/>
  <c r="F454" i="4"/>
  <c r="H454" i="4"/>
  <c r="H441" i="9"/>
  <c r="I441" i="9"/>
  <c r="G441" i="9"/>
  <c r="G390" i="9"/>
  <c r="H390" i="9"/>
  <c r="F390" i="9"/>
  <c r="I390" i="9"/>
  <c r="G365" i="5"/>
  <c r="F365" i="5"/>
  <c r="H365" i="5"/>
  <c r="F393" i="5"/>
  <c r="F397" i="5"/>
  <c r="F404" i="5"/>
  <c r="G393" i="5"/>
  <c r="H393" i="5"/>
  <c r="I393" i="5"/>
  <c r="F451" i="7"/>
  <c r="I451" i="7"/>
  <c r="G451" i="7"/>
  <c r="H451" i="7"/>
  <c r="F502" i="10"/>
  <c r="G502" i="10"/>
  <c r="I502" i="10"/>
  <c r="F450" i="10"/>
  <c r="G450" i="10"/>
  <c r="H450" i="10"/>
  <c r="F366" i="5"/>
  <c r="G366" i="5"/>
  <c r="H366" i="5"/>
  <c r="H452" i="4"/>
  <c r="G417" i="3"/>
  <c r="G418" i="3"/>
  <c r="F417" i="3"/>
  <c r="F418" i="3"/>
  <c r="H417" i="3"/>
  <c r="H418" i="3"/>
  <c r="H408" i="4"/>
  <c r="H411" i="4"/>
  <c r="I408" i="4"/>
  <c r="G408" i="4"/>
  <c r="G411" i="4"/>
  <c r="F408" i="4"/>
  <c r="F411" i="4"/>
  <c r="F418" i="4"/>
  <c r="F426" i="8"/>
  <c r="H426" i="8"/>
  <c r="G426" i="8"/>
  <c r="I426" i="8"/>
  <c r="G439" i="5"/>
  <c r="I439" i="5"/>
  <c r="F439" i="5"/>
  <c r="H439" i="5"/>
  <c r="F409" i="7"/>
  <c r="H409" i="7"/>
  <c r="G409" i="7"/>
  <c r="I409" i="7"/>
  <c r="H490" i="6"/>
  <c r="I490" i="6"/>
  <c r="F490" i="6"/>
  <c r="G490" i="6"/>
  <c r="I476" i="8"/>
  <c r="F476" i="8"/>
  <c r="G476" i="8"/>
  <c r="H476" i="8"/>
  <c r="E455" i="6"/>
  <c r="E404" i="6"/>
  <c r="E405" i="6"/>
  <c r="J281" i="6"/>
  <c r="H226" i="9"/>
  <c r="H230" i="9"/>
  <c r="H231" i="9"/>
  <c r="H333" i="9"/>
  <c r="H448" i="9"/>
  <c r="H293" i="9"/>
  <c r="H300" i="9"/>
  <c r="H342" i="9"/>
  <c r="J157" i="9"/>
  <c r="J168" i="9"/>
  <c r="J292" i="9"/>
  <c r="J291" i="9"/>
  <c r="K154" i="9"/>
  <c r="K168" i="9"/>
  <c r="K292" i="9"/>
  <c r="K167" i="9"/>
  <c r="I231" i="9"/>
  <c r="I333" i="9"/>
  <c r="I448" i="9"/>
  <c r="I226" i="9"/>
  <c r="I230" i="9"/>
  <c r="M133" i="9"/>
  <c r="L153" i="9"/>
  <c r="I171" i="9"/>
  <c r="I292" i="9"/>
  <c r="G385" i="6"/>
  <c r="I492" i="6"/>
  <c r="I378" i="6"/>
  <c r="I496" i="6"/>
  <c r="I498" i="6"/>
  <c r="I383" i="6"/>
  <c r="F411" i="5"/>
  <c r="F415" i="5"/>
  <c r="F417" i="5"/>
  <c r="G411" i="5"/>
  <c r="H411" i="5"/>
  <c r="I411" i="5"/>
  <c r="F448" i="9"/>
  <c r="F449" i="9"/>
  <c r="F334" i="9"/>
  <c r="F329" i="9"/>
  <c r="I392" i="9"/>
  <c r="I278" i="9"/>
  <c r="I283" i="9"/>
  <c r="I396" i="9"/>
  <c r="I398" i="9"/>
  <c r="F295" i="5"/>
  <c r="J197" i="9"/>
  <c r="K245" i="10"/>
  <c r="K275" i="10"/>
  <c r="K276" i="10"/>
  <c r="K277" i="10"/>
  <c r="K278" i="10"/>
  <c r="K244" i="10"/>
  <c r="K247" i="10"/>
  <c r="M125" i="10"/>
  <c r="K246" i="10"/>
  <c r="K215" i="10"/>
  <c r="K216" i="10"/>
  <c r="K213" i="10"/>
  <c r="K214" i="10"/>
  <c r="K224" i="9"/>
  <c r="K326" i="9"/>
  <c r="K441" i="9"/>
  <c r="K225" i="9"/>
  <c r="K327" i="9"/>
  <c r="K442" i="9"/>
  <c r="K223" i="9"/>
  <c r="K325" i="9"/>
  <c r="K440" i="9"/>
  <c r="J278" i="9"/>
  <c r="K194" i="9"/>
  <c r="K275" i="9"/>
  <c r="K390" i="9"/>
  <c r="K195" i="9"/>
  <c r="K276" i="9"/>
  <c r="K391" i="9"/>
  <c r="K193" i="9"/>
  <c r="K274" i="9"/>
  <c r="K389" i="9"/>
  <c r="K238" i="6"/>
  <c r="K375" i="6"/>
  <c r="K490" i="6"/>
  <c r="K268" i="6"/>
  <c r="K269" i="6"/>
  <c r="K267" i="6"/>
  <c r="J327" i="6"/>
  <c r="K237" i="6"/>
  <c r="K374" i="6"/>
  <c r="K489" i="6"/>
  <c r="K239" i="6"/>
  <c r="K376" i="6"/>
  <c r="K491" i="6"/>
  <c r="M122" i="6"/>
  <c r="J211" i="6"/>
  <c r="K208" i="6"/>
  <c r="K324" i="6"/>
  <c r="K439" i="6"/>
  <c r="K209" i="6"/>
  <c r="K325" i="6"/>
  <c r="K387" i="10"/>
  <c r="K504" i="10"/>
  <c r="K207" i="6"/>
  <c r="K323" i="6"/>
  <c r="K332" i="10"/>
  <c r="K449" i="10"/>
  <c r="K228" i="5"/>
  <c r="K337" i="5"/>
  <c r="K439" i="5"/>
  <c r="K229" i="5"/>
  <c r="K338" i="5"/>
  <c r="K440" i="5"/>
  <c r="K230" i="5"/>
  <c r="K339" i="5"/>
  <c r="K441" i="5"/>
  <c r="K227" i="5"/>
  <c r="K336" i="5"/>
  <c r="K438" i="5"/>
  <c r="J187" i="3"/>
  <c r="K197" i="5"/>
  <c r="K282" i="5"/>
  <c r="K393" i="5"/>
  <c r="K198" i="5"/>
  <c r="K283" i="5"/>
  <c r="K394" i="5"/>
  <c r="K199" i="5"/>
  <c r="K284" i="5"/>
  <c r="K395" i="5"/>
  <c r="K196" i="5"/>
  <c r="K281" i="5"/>
  <c r="K392" i="5"/>
  <c r="J354" i="4"/>
  <c r="J189" i="4"/>
  <c r="J218" i="4"/>
  <c r="I417" i="3"/>
  <c r="I418" i="3"/>
  <c r="H267" i="8"/>
  <c r="K217" i="4"/>
  <c r="K353" i="4"/>
  <c r="K456" i="4"/>
  <c r="K215" i="4"/>
  <c r="K351" i="4"/>
  <c r="K454" i="4"/>
  <c r="K216" i="4"/>
  <c r="K352" i="4"/>
  <c r="K455" i="4"/>
  <c r="K187" i="4"/>
  <c r="K302" i="4"/>
  <c r="K409" i="4"/>
  <c r="K188" i="4"/>
  <c r="K303" i="4"/>
  <c r="K410" i="4"/>
  <c r="K186" i="4"/>
  <c r="K301" i="4"/>
  <c r="K408" i="4"/>
  <c r="J215" i="3"/>
  <c r="K186" i="3"/>
  <c r="K261" i="3"/>
  <c r="K369" i="3"/>
  <c r="K214" i="3"/>
  <c r="K309" i="3"/>
  <c r="K417" i="3"/>
  <c r="M111" i="3"/>
  <c r="K256" i="8"/>
  <c r="K364" i="8"/>
  <c r="K475" i="8"/>
  <c r="K257" i="8"/>
  <c r="K365" i="8"/>
  <c r="K476" i="8"/>
  <c r="K169" i="8"/>
  <c r="K261" i="8"/>
  <c r="K369" i="8"/>
  <c r="K480" i="8"/>
  <c r="K224" i="8"/>
  <c r="K310" i="8"/>
  <c r="K425" i="8"/>
  <c r="K225" i="8"/>
  <c r="K311" i="8"/>
  <c r="K426" i="8"/>
  <c r="K228" i="8"/>
  <c r="K314" i="8"/>
  <c r="K429" i="8"/>
  <c r="K189" i="7"/>
  <c r="K306" i="7"/>
  <c r="K410" i="7"/>
  <c r="K219" i="7"/>
  <c r="K357" i="7"/>
  <c r="K452" i="7"/>
  <c r="K217" i="7"/>
  <c r="K355" i="7"/>
  <c r="K450" i="7"/>
  <c r="K218" i="7"/>
  <c r="K356" i="7"/>
  <c r="K451" i="7"/>
  <c r="K187" i="7"/>
  <c r="K188" i="7"/>
  <c r="K305" i="7"/>
  <c r="K409" i="7"/>
  <c r="I665" i="8"/>
  <c r="I670" i="8"/>
  <c r="I221" i="10"/>
  <c r="I223" i="10"/>
  <c r="I217" i="10"/>
  <c r="I218" i="10"/>
  <c r="I486" i="8"/>
  <c r="H665" i="8"/>
  <c r="H670" i="8"/>
  <c r="I375" i="8"/>
  <c r="I267" i="8"/>
  <c r="L234" i="8"/>
  <c r="L229" i="8"/>
  <c r="J265" i="8"/>
  <c r="J373" i="8"/>
  <c r="J266" i="8"/>
  <c r="J374" i="8"/>
  <c r="J485" i="8"/>
  <c r="G374" i="8"/>
  <c r="G267" i="8"/>
  <c r="G369" i="8"/>
  <c r="G262" i="8"/>
  <c r="N664" i="8"/>
  <c r="M663" i="8"/>
  <c r="L662" i="8"/>
  <c r="L194" i="8"/>
  <c r="L200" i="8"/>
  <c r="L193" i="8"/>
  <c r="L192" i="8"/>
  <c r="L201" i="8"/>
  <c r="L254" i="8"/>
  <c r="L191" i="8"/>
  <c r="J660" i="8"/>
  <c r="J665" i="8"/>
  <c r="J670" i="8"/>
  <c r="K661" i="8"/>
  <c r="L166" i="8"/>
  <c r="L199" i="8"/>
  <c r="L198" i="8"/>
  <c r="M172" i="8"/>
  <c r="M158" i="8"/>
  <c r="M178" i="8"/>
  <c r="M179" i="8"/>
  <c r="M165" i="8"/>
  <c r="L227" i="8"/>
  <c r="L313" i="8"/>
  <c r="L428" i="8"/>
  <c r="L259" i="8"/>
  <c r="L367" i="8"/>
  <c r="L478" i="8"/>
  <c r="F388" i="10"/>
  <c r="F389" i="10"/>
  <c r="F392" i="10"/>
  <c r="F394" i="10"/>
  <c r="K154" i="3"/>
  <c r="K275" i="3"/>
  <c r="K383" i="3"/>
  <c r="J167" i="10"/>
  <c r="J188" i="10"/>
  <c r="I421" i="3"/>
  <c r="I423" i="3"/>
  <c r="I220" i="3"/>
  <c r="I269" i="3"/>
  <c r="I271" i="3"/>
  <c r="K145" i="3"/>
  <c r="K219" i="3"/>
  <c r="K314" i="3"/>
  <c r="K422" i="3"/>
  <c r="J219" i="3"/>
  <c r="J314" i="3"/>
  <c r="J422" i="3"/>
  <c r="F336" i="3"/>
  <c r="F337" i="3"/>
  <c r="F343" i="3"/>
  <c r="F379" i="3"/>
  <c r="G336" i="3"/>
  <c r="G337" i="3"/>
  <c r="G343" i="3"/>
  <c r="G379" i="3"/>
  <c r="H336" i="3"/>
  <c r="H337" i="3"/>
  <c r="H343" i="3"/>
  <c r="H379" i="3"/>
  <c r="I336" i="3"/>
  <c r="I337" i="3"/>
  <c r="I343" i="3"/>
  <c r="L150" i="3"/>
  <c r="L178" i="3"/>
  <c r="L179" i="3"/>
  <c r="L254" i="3"/>
  <c r="L362" i="3"/>
  <c r="L185" i="3"/>
  <c r="L260" i="3"/>
  <c r="L368" i="3"/>
  <c r="L184" i="3"/>
  <c r="L259" i="3"/>
  <c r="L367" i="3"/>
  <c r="L183" i="3"/>
  <c r="L148" i="3"/>
  <c r="L149" i="3"/>
  <c r="L228" i="3"/>
  <c r="L190" i="3"/>
  <c r="L191" i="3"/>
  <c r="L266" i="3"/>
  <c r="L374" i="3"/>
  <c r="M122" i="3"/>
  <c r="L197" i="3"/>
  <c r="L292" i="3"/>
  <c r="L400" i="3"/>
  <c r="L161" i="3"/>
  <c r="L142" i="3"/>
  <c r="L143" i="3"/>
  <c r="L155" i="3"/>
  <c r="L276" i="3"/>
  <c r="M124" i="3"/>
  <c r="L169" i="3"/>
  <c r="L244" i="3"/>
  <c r="L352" i="3"/>
  <c r="L168" i="3"/>
  <c r="L173" i="3"/>
  <c r="L248" i="3"/>
  <c r="L356" i="3"/>
  <c r="L170" i="3"/>
  <c r="L245" i="3"/>
  <c r="L353" i="3"/>
  <c r="L171" i="3"/>
  <c r="L246" i="3"/>
  <c r="L354" i="3"/>
  <c r="L172" i="3"/>
  <c r="L247" i="3"/>
  <c r="L355" i="3"/>
  <c r="L174" i="3"/>
  <c r="L249" i="3"/>
  <c r="L357" i="3"/>
  <c r="K265" i="3"/>
  <c r="K192" i="3"/>
  <c r="K258" i="3"/>
  <c r="I377" i="3"/>
  <c r="K336" i="3"/>
  <c r="K253" i="3"/>
  <c r="K180" i="3"/>
  <c r="J361" i="3"/>
  <c r="J363" i="3"/>
  <c r="J255" i="3"/>
  <c r="K243" i="3"/>
  <c r="K175" i="3"/>
  <c r="J351" i="3"/>
  <c r="J358" i="3"/>
  <c r="J250" i="3"/>
  <c r="K227" i="3"/>
  <c r="K335" i="3"/>
  <c r="K151" i="3"/>
  <c r="K160" i="3"/>
  <c r="K163" i="3"/>
  <c r="J373" i="3"/>
  <c r="J375" i="3"/>
  <c r="J267" i="3"/>
  <c r="J366" i="3"/>
  <c r="J370" i="3"/>
  <c r="J262" i="3"/>
  <c r="J335" i="3"/>
  <c r="J337" i="3"/>
  <c r="J343" i="3"/>
  <c r="J229" i="3"/>
  <c r="J235" i="3"/>
  <c r="L136" i="10"/>
  <c r="M136" i="10"/>
  <c r="K159" i="10"/>
  <c r="K180" i="10"/>
  <c r="I163" i="10"/>
  <c r="I252" i="10"/>
  <c r="J217" i="10"/>
  <c r="J218" i="10"/>
  <c r="G334" i="9"/>
  <c r="G232" i="9"/>
  <c r="O131" i="9"/>
  <c r="O146" i="9"/>
  <c r="O147" i="9"/>
  <c r="O150" i="9"/>
  <c r="L268" i="10"/>
  <c r="G329" i="9"/>
  <c r="G227" i="9"/>
  <c r="K270" i="10"/>
  <c r="L237" i="10"/>
  <c r="L377" i="10"/>
  <c r="L175" i="10"/>
  <c r="H290" i="10"/>
  <c r="L126" i="10"/>
  <c r="L130" i="10"/>
  <c r="L274" i="10"/>
  <c r="H254" i="10"/>
  <c r="L183" i="10"/>
  <c r="L242" i="10"/>
  <c r="L382" i="10"/>
  <c r="L284" i="10"/>
  <c r="L212" i="10"/>
  <c r="K239" i="10"/>
  <c r="L238" i="10"/>
  <c r="L378" i="10"/>
  <c r="L495" i="10"/>
  <c r="L206" i="10"/>
  <c r="L182" i="10"/>
  <c r="L176" i="10"/>
  <c r="L211" i="10"/>
  <c r="L207" i="10"/>
  <c r="K285" i="10"/>
  <c r="K208" i="10"/>
  <c r="L283" i="10"/>
  <c r="L373" i="10"/>
  <c r="L490" i="10"/>
  <c r="L243" i="10"/>
  <c r="L383" i="10"/>
  <c r="L500" i="10"/>
  <c r="L269" i="10"/>
  <c r="L189" i="10"/>
  <c r="L190" i="10"/>
  <c r="L273" i="10"/>
  <c r="M123" i="10"/>
  <c r="J372" i="9"/>
  <c r="J379" i="9"/>
  <c r="I430" i="9"/>
  <c r="J271" i="6"/>
  <c r="H459" i="10"/>
  <c r="H342" i="10"/>
  <c r="H344" i="10"/>
  <c r="K223" i="5"/>
  <c r="J171" i="6"/>
  <c r="F334" i="6"/>
  <c r="F336" i="6"/>
  <c r="H232" i="5"/>
  <c r="K192" i="5"/>
  <c r="K275" i="5"/>
  <c r="K277" i="5"/>
  <c r="L221" i="5"/>
  <c r="L330" i="5"/>
  <c r="L119" i="5"/>
  <c r="L123" i="5"/>
  <c r="J432" i="5"/>
  <c r="J434" i="5"/>
  <c r="H201" i="5"/>
  <c r="L329" i="5"/>
  <c r="L431" i="5"/>
  <c r="L222" i="5"/>
  <c r="L331" i="5"/>
  <c r="L433" i="5"/>
  <c r="L280" i="5"/>
  <c r="L391" i="5"/>
  <c r="L190" i="5"/>
  <c r="L275" i="5"/>
  <c r="M116" i="5"/>
  <c r="L325" i="5"/>
  <c r="L427" i="5"/>
  <c r="L274" i="5"/>
  <c r="L385" i="5"/>
  <c r="L167" i="5"/>
  <c r="L335" i="5"/>
  <c r="L437" i="5"/>
  <c r="L270" i="5"/>
  <c r="L381" i="5"/>
  <c r="L191" i="5"/>
  <c r="L276" i="5"/>
  <c r="L387" i="5"/>
  <c r="L173" i="5"/>
  <c r="K186" i="5"/>
  <c r="K217" i="5"/>
  <c r="K197" i="6"/>
  <c r="L174" i="6"/>
  <c r="L340" i="6"/>
  <c r="L455" i="6"/>
  <c r="L236" i="6"/>
  <c r="L373" i="6"/>
  <c r="L488" i="6"/>
  <c r="L206" i="6"/>
  <c r="L322" i="6"/>
  <c r="L266" i="6"/>
  <c r="K257" i="6"/>
  <c r="K265" i="6"/>
  <c r="K227" i="6"/>
  <c r="I168" i="5"/>
  <c r="I249" i="5"/>
  <c r="I256" i="5"/>
  <c r="I354" i="5"/>
  <c r="H406" i="9"/>
  <c r="F406" i="9"/>
  <c r="I406" i="9"/>
  <c r="K203" i="3"/>
  <c r="L211" i="3"/>
  <c r="L213" i="3"/>
  <c r="L308" i="3"/>
  <c r="L416" i="3"/>
  <c r="L212" i="3"/>
  <c r="L307" i="3"/>
  <c r="L415" i="3"/>
  <c r="K265" i="10"/>
  <c r="K234" i="10"/>
  <c r="K203" i="10"/>
  <c r="G408" i="9"/>
  <c r="G415" i="9"/>
  <c r="K221" i="9"/>
  <c r="K323" i="9"/>
  <c r="K213" i="9"/>
  <c r="K315" i="9"/>
  <c r="L180" i="9"/>
  <c r="L261" i="9"/>
  <c r="L376" i="9"/>
  <c r="L192" i="9"/>
  <c r="L273" i="9"/>
  <c r="L388" i="9"/>
  <c r="L222" i="9"/>
  <c r="L324" i="9"/>
  <c r="L439" i="9"/>
  <c r="K257" i="9"/>
  <c r="K264" i="9"/>
  <c r="K183" i="9"/>
  <c r="G356" i="9"/>
  <c r="G357" i="9"/>
  <c r="G364" i="9"/>
  <c r="G387" i="9"/>
  <c r="G393" i="9"/>
  <c r="H356" i="9"/>
  <c r="H357" i="9"/>
  <c r="H364" i="9"/>
  <c r="H387" i="9"/>
  <c r="H393" i="9"/>
  <c r="F387" i="9"/>
  <c r="F356" i="9"/>
  <c r="F357" i="9"/>
  <c r="F364" i="9"/>
  <c r="J356" i="9"/>
  <c r="K214" i="8"/>
  <c r="H383" i="8"/>
  <c r="I357" i="9"/>
  <c r="I364" i="9"/>
  <c r="K407" i="9"/>
  <c r="J407" i="9"/>
  <c r="H407" i="9"/>
  <c r="F407" i="9"/>
  <c r="E438" i="9"/>
  <c r="H438" i="9"/>
  <c r="J191" i="7"/>
  <c r="K356" i="9"/>
  <c r="I224" i="7"/>
  <c r="I362" i="7"/>
  <c r="I633" i="7"/>
  <c r="I638" i="7"/>
  <c r="I643" i="7"/>
  <c r="L636" i="7"/>
  <c r="J634" i="7"/>
  <c r="K635" i="7"/>
  <c r="M637" i="7"/>
  <c r="H418" i="4"/>
  <c r="L155" i="7"/>
  <c r="L271" i="7"/>
  <c r="K177" i="7"/>
  <c r="L216" i="7"/>
  <c r="L354" i="7"/>
  <c r="L449" i="7"/>
  <c r="L186" i="7"/>
  <c r="L303" i="7"/>
  <c r="L407" i="7"/>
  <c r="K230" i="4"/>
  <c r="M126" i="4"/>
  <c r="L149" i="4"/>
  <c r="L150" i="4"/>
  <c r="L152" i="4"/>
  <c r="L222" i="4"/>
  <c r="L358" i="4"/>
  <c r="L461" i="4"/>
  <c r="K150" i="4"/>
  <c r="K152" i="4"/>
  <c r="H223" i="4"/>
  <c r="J307" i="4"/>
  <c r="J414" i="4"/>
  <c r="J416" i="4"/>
  <c r="H359" i="4"/>
  <c r="H361" i="4"/>
  <c r="H368" i="4"/>
  <c r="I194" i="4"/>
  <c r="I221" i="4"/>
  <c r="I357" i="4"/>
  <c r="I460" i="4"/>
  <c r="I462" i="4"/>
  <c r="J201" i="4"/>
  <c r="J150" i="4"/>
  <c r="J152" i="4"/>
  <c r="J222" i="4"/>
  <c r="J358" i="4"/>
  <c r="J461" i="4"/>
  <c r="J230" i="4"/>
  <c r="I337" i="4"/>
  <c r="I205" i="4"/>
  <c r="K193" i="4"/>
  <c r="K308" i="4"/>
  <c r="K415" i="4"/>
  <c r="I274" i="4"/>
  <c r="I276" i="4"/>
  <c r="K205" i="4"/>
  <c r="K176" i="4"/>
  <c r="G418" i="4"/>
  <c r="L184" i="4"/>
  <c r="L213" i="4"/>
  <c r="K222" i="8"/>
  <c r="K308" i="8"/>
  <c r="L226" i="8"/>
  <c r="L312" i="8"/>
  <c r="L427" i="8"/>
  <c r="L258" i="8"/>
  <c r="L223" i="8"/>
  <c r="L309" i="8"/>
  <c r="L424" i="8"/>
  <c r="L255" i="8"/>
  <c r="L363" i="8"/>
  <c r="L474" i="8"/>
  <c r="K148" i="7"/>
  <c r="K162" i="7"/>
  <c r="K322" i="7"/>
  <c r="L181" i="8"/>
  <c r="I309" i="4"/>
  <c r="I311" i="4"/>
  <c r="H415" i="10"/>
  <c r="F415" i="10"/>
  <c r="F467" i="10"/>
  <c r="G467" i="10"/>
  <c r="L157" i="4"/>
  <c r="J166" i="5"/>
  <c r="J246" i="5"/>
  <c r="J366" i="5"/>
  <c r="F442" i="5"/>
  <c r="F443" i="5"/>
  <c r="F341" i="5"/>
  <c r="F446" i="5"/>
  <c r="F448" i="5"/>
  <c r="F346" i="5"/>
  <c r="H221" i="7"/>
  <c r="K330" i="8"/>
  <c r="J195" i="8"/>
  <c r="J202" i="8"/>
  <c r="J262" i="8"/>
  <c r="I370" i="8"/>
  <c r="I262" i="8"/>
  <c r="J370" i="8"/>
  <c r="K155" i="3"/>
  <c r="K276" i="3"/>
  <c r="K156" i="3"/>
  <c r="F154" i="3"/>
  <c r="G156" i="3"/>
  <c r="G154" i="3"/>
  <c r="G275" i="3"/>
  <c r="G383" i="3"/>
  <c r="H156" i="3"/>
  <c r="F276" i="3"/>
  <c r="H155" i="3"/>
  <c r="H276" i="3"/>
  <c r="H154" i="3"/>
  <c r="I155" i="3"/>
  <c r="I276" i="3"/>
  <c r="G155" i="3"/>
  <c r="I156" i="3"/>
  <c r="I154" i="3"/>
  <c r="J156" i="3"/>
  <c r="J154" i="3"/>
  <c r="J155" i="3"/>
  <c r="J276" i="3"/>
  <c r="E384" i="3"/>
  <c r="J291" i="6"/>
  <c r="J298" i="6"/>
  <c r="K168" i="6"/>
  <c r="K290" i="6"/>
  <c r="K299" i="10"/>
  <c r="I220" i="7"/>
  <c r="I221" i="7"/>
  <c r="I225" i="7"/>
  <c r="I363" i="7"/>
  <c r="I458" i="7"/>
  <c r="H280" i="10"/>
  <c r="K195" i="7"/>
  <c r="K312" i="7"/>
  <c r="K416" i="7"/>
  <c r="J277" i="8"/>
  <c r="J285" i="8"/>
  <c r="K276" i="8"/>
  <c r="J308" i="7"/>
  <c r="L154" i="7"/>
  <c r="L270" i="7"/>
  <c r="L156" i="7"/>
  <c r="L157" i="7"/>
  <c r="L185" i="7"/>
  <c r="E395" i="8"/>
  <c r="I395" i="8"/>
  <c r="E394" i="8"/>
  <c r="H394" i="8"/>
  <c r="I425" i="7"/>
  <c r="E445" i="8"/>
  <c r="F445" i="8"/>
  <c r="K384" i="7"/>
  <c r="F444" i="8"/>
  <c r="I444" i="8"/>
  <c r="G444" i="8"/>
  <c r="H444" i="8"/>
  <c r="E416" i="10"/>
  <c r="G415" i="10"/>
  <c r="E468" i="10"/>
  <c r="H467" i="10"/>
  <c r="F445" i="6"/>
  <c r="F447" i="6"/>
  <c r="I334" i="6"/>
  <c r="I336" i="6"/>
  <c r="I285" i="9"/>
  <c r="I287" i="9"/>
  <c r="F321" i="8"/>
  <c r="F323" i="8"/>
  <c r="F434" i="8"/>
  <c r="F436" i="8"/>
  <c r="F430" i="8"/>
  <c r="H484" i="8"/>
  <c r="H486" i="8"/>
  <c r="H375" i="8"/>
  <c r="H226" i="7"/>
  <c r="H262" i="7"/>
  <c r="J196" i="7"/>
  <c r="I315" i="8"/>
  <c r="I430" i="8"/>
  <c r="H206" i="5"/>
  <c r="J149" i="5"/>
  <c r="J205" i="5"/>
  <c r="H237" i="5"/>
  <c r="J155" i="5"/>
  <c r="J236" i="5"/>
  <c r="I205" i="5"/>
  <c r="I290" i="5"/>
  <c r="I401" i="5"/>
  <c r="J174" i="5"/>
  <c r="G452" i="4"/>
  <c r="G457" i="4"/>
  <c r="G464" i="4"/>
  <c r="F452" i="4"/>
  <c r="F457" i="4"/>
  <c r="I452" i="4"/>
  <c r="I457" i="4"/>
  <c r="I260" i="7"/>
  <c r="K342" i="6"/>
  <c r="K349" i="6"/>
  <c r="J387" i="9"/>
  <c r="J393" i="9"/>
  <c r="F375" i="8"/>
  <c r="F484" i="8"/>
  <c r="F486" i="8"/>
  <c r="F480" i="8"/>
  <c r="I204" i="5"/>
  <c r="I289" i="5"/>
  <c r="G313" i="4"/>
  <c r="G368" i="4"/>
  <c r="H252" i="7"/>
  <c r="F425" i="3"/>
  <c r="F432" i="3"/>
  <c r="H415" i="5"/>
  <c r="H417" i="5"/>
  <c r="I200" i="5"/>
  <c r="I285" i="5"/>
  <c r="I411" i="4"/>
  <c r="I418" i="4"/>
  <c r="J221" i="10"/>
  <c r="J223" i="10"/>
  <c r="J452" i="4"/>
  <c r="J457" i="4"/>
  <c r="G425" i="3"/>
  <c r="G432" i="3"/>
  <c r="L176" i="9"/>
  <c r="L181" i="9"/>
  <c r="L262" i="9"/>
  <c r="L377" i="9"/>
  <c r="L210" i="9"/>
  <c r="L312" i="9"/>
  <c r="L427" i="9"/>
  <c r="L178" i="9"/>
  <c r="L259" i="9"/>
  <c r="L374" i="9"/>
  <c r="L206" i="9"/>
  <c r="I319" i="8"/>
  <c r="I321" i="8"/>
  <c r="I365" i="5"/>
  <c r="I369" i="5"/>
  <c r="I371" i="5"/>
  <c r="I410" i="5"/>
  <c r="I415" i="5"/>
  <c r="I417" i="5"/>
  <c r="I261" i="7"/>
  <c r="L209" i="9"/>
  <c r="L311" i="9"/>
  <c r="L426" i="9"/>
  <c r="M184" i="8"/>
  <c r="M188" i="8"/>
  <c r="N136" i="8"/>
  <c r="G321" i="8"/>
  <c r="G348" i="5"/>
  <c r="G350" i="5"/>
  <c r="F460" i="4"/>
  <c r="F462" i="4"/>
  <c r="F359" i="4"/>
  <c r="F361" i="4"/>
  <c r="K156" i="10"/>
  <c r="K217" i="10"/>
  <c r="K177" i="10"/>
  <c r="L207" i="9"/>
  <c r="L309" i="9"/>
  <c r="L424" i="9"/>
  <c r="L211" i="9"/>
  <c r="L313" i="9"/>
  <c r="L428" i="9"/>
  <c r="L179" i="9"/>
  <c r="L260" i="9"/>
  <c r="L375" i="9"/>
  <c r="L177" i="9"/>
  <c r="L258" i="9"/>
  <c r="L373" i="9"/>
  <c r="L208" i="9"/>
  <c r="L310" i="9"/>
  <c r="L425" i="9"/>
  <c r="M123" i="8"/>
  <c r="M173" i="8"/>
  <c r="M175" i="8"/>
  <c r="M159" i="8"/>
  <c r="M162" i="8"/>
  <c r="M233" i="8"/>
  <c r="L250" i="8"/>
  <c r="L358" i="8"/>
  <c r="L469" i="8"/>
  <c r="L249" i="8"/>
  <c r="L218" i="8"/>
  <c r="L304" i="8"/>
  <c r="L419" i="8"/>
  <c r="L299" i="8"/>
  <c r="L414" i="8"/>
  <c r="L217" i="8"/>
  <c r="L353" i="8"/>
  <c r="L464" i="8"/>
  <c r="L126" i="8"/>
  <c r="L130" i="8"/>
  <c r="L260" i="8"/>
  <c r="L368" i="8"/>
  <c r="L479" i="8"/>
  <c r="J468" i="8"/>
  <c r="J470" i="8"/>
  <c r="J359" i="8"/>
  <c r="K357" i="8"/>
  <c r="K251" i="8"/>
  <c r="K329" i="8"/>
  <c r="J305" i="8"/>
  <c r="J418" i="8"/>
  <c r="J420" i="8"/>
  <c r="K219" i="8"/>
  <c r="K303" i="8"/>
  <c r="J331" i="8"/>
  <c r="J339" i="8"/>
  <c r="J444" i="8"/>
  <c r="K362" i="8"/>
  <c r="G415" i="5"/>
  <c r="G417" i="5"/>
  <c r="G443" i="5"/>
  <c r="G450" i="5"/>
  <c r="H315" i="3"/>
  <c r="H317" i="3"/>
  <c r="H324" i="3"/>
  <c r="H421" i="3"/>
  <c r="H423" i="3"/>
  <c r="H425" i="3"/>
  <c r="H432" i="3"/>
  <c r="J163" i="10"/>
  <c r="J253" i="10"/>
  <c r="J393" i="10"/>
  <c r="J510" i="10"/>
  <c r="J151" i="7"/>
  <c r="J216" i="6"/>
  <c r="H383" i="6"/>
  <c r="H385" i="6"/>
  <c r="H392" i="6"/>
  <c r="H496" i="6"/>
  <c r="H498" i="6"/>
  <c r="K332" i="5"/>
  <c r="K434" i="5"/>
  <c r="J300" i="10"/>
  <c r="J307" i="10"/>
  <c r="J415" i="10"/>
  <c r="J432" i="10"/>
  <c r="J439" i="10"/>
  <c r="N134" i="10"/>
  <c r="M152" i="10"/>
  <c r="J484" i="10"/>
  <c r="J491" i="10"/>
  <c r="L153" i="10"/>
  <c r="L174" i="10"/>
  <c r="L173" i="10"/>
  <c r="L201" i="10"/>
  <c r="M138" i="10"/>
  <c r="L259" i="10"/>
  <c r="L258" i="10"/>
  <c r="L263" i="10"/>
  <c r="L262" i="10"/>
  <c r="L200" i="10"/>
  <c r="L260" i="10"/>
  <c r="L261" i="10"/>
  <c r="L198" i="10"/>
  <c r="L199" i="10"/>
  <c r="L229" i="10"/>
  <c r="L369" i="10"/>
  <c r="L486" i="10"/>
  <c r="L197" i="10"/>
  <c r="L227" i="10"/>
  <c r="L196" i="10"/>
  <c r="L231" i="10"/>
  <c r="L371" i="10"/>
  <c r="L488" i="10"/>
  <c r="L228" i="10"/>
  <c r="L368" i="10"/>
  <c r="L485" i="10"/>
  <c r="L230" i="10"/>
  <c r="L370" i="10"/>
  <c r="L487" i="10"/>
  <c r="L232" i="10"/>
  <c r="L372" i="10"/>
  <c r="L489" i="10"/>
  <c r="N147" i="9"/>
  <c r="N150" i="9"/>
  <c r="K347" i="8"/>
  <c r="K293" i="8"/>
  <c r="K300" i="8"/>
  <c r="M138" i="8"/>
  <c r="L243" i="8"/>
  <c r="L351" i="8"/>
  <c r="L462" i="8"/>
  <c r="L207" i="8"/>
  <c r="L242" i="8"/>
  <c r="L350" i="8"/>
  <c r="L461" i="8"/>
  <c r="L241" i="8"/>
  <c r="L349" i="8"/>
  <c r="L460" i="8"/>
  <c r="L208" i="8"/>
  <c r="L294" i="8"/>
  <c r="L409" i="8"/>
  <c r="L211" i="8"/>
  <c r="L297" i="8"/>
  <c r="L412" i="8"/>
  <c r="L210" i="8"/>
  <c r="L296" i="8"/>
  <c r="L411" i="8"/>
  <c r="L240" i="8"/>
  <c r="L348" i="8"/>
  <c r="L459" i="8"/>
  <c r="L212" i="8"/>
  <c r="L298" i="8"/>
  <c r="L413" i="8"/>
  <c r="L239" i="8"/>
  <c r="L209" i="8"/>
  <c r="L295" i="8"/>
  <c r="L410" i="8"/>
  <c r="J408" i="8"/>
  <c r="J415" i="8"/>
  <c r="J458" i="8"/>
  <c r="K210" i="6"/>
  <c r="K326" i="6"/>
  <c r="K441" i="6"/>
  <c r="K214" i="6"/>
  <c r="K330" i="6"/>
  <c r="K215" i="6"/>
  <c r="K331" i="6"/>
  <c r="K393" i="10"/>
  <c r="K510" i="10"/>
  <c r="G445" i="6"/>
  <c r="G447" i="6"/>
  <c r="G332" i="6"/>
  <c r="G340" i="10"/>
  <c r="G392" i="10"/>
  <c r="G441" i="6"/>
  <c r="G336" i="10"/>
  <c r="G388" i="10"/>
  <c r="G327" i="6"/>
  <c r="L147" i="6"/>
  <c r="L150" i="6"/>
  <c r="N131" i="6"/>
  <c r="M146" i="6"/>
  <c r="L159" i="5"/>
  <c r="N129" i="5"/>
  <c r="N152" i="5"/>
  <c r="N153" i="5"/>
  <c r="M158" i="5"/>
  <c r="K162" i="5"/>
  <c r="M143" i="4"/>
  <c r="N124" i="4"/>
  <c r="L144" i="4"/>
  <c r="H394" i="10"/>
  <c r="H511" i="10"/>
  <c r="K187" i="10"/>
  <c r="K167" i="10"/>
  <c r="K188" i="10"/>
  <c r="F342" i="10"/>
  <c r="F457" i="10"/>
  <c r="F459" i="10"/>
  <c r="I279" i="10"/>
  <c r="I288" i="10"/>
  <c r="I289" i="10"/>
  <c r="J184" i="10"/>
  <c r="J350" i="10"/>
  <c r="F453" i="10"/>
  <c r="F337" i="10"/>
  <c r="H389" i="10"/>
  <c r="F396" i="9"/>
  <c r="F398" i="9"/>
  <c r="F283" i="9"/>
  <c r="K202" i="9"/>
  <c r="K281" i="9"/>
  <c r="K318" i="9"/>
  <c r="K218" i="9"/>
  <c r="J242" i="9"/>
  <c r="J249" i="9"/>
  <c r="J355" i="9"/>
  <c r="K423" i="9"/>
  <c r="K430" i="9"/>
  <c r="K267" i="9"/>
  <c r="K188" i="9"/>
  <c r="J396" i="9"/>
  <c r="J398" i="9"/>
  <c r="J283" i="9"/>
  <c r="J382" i="9"/>
  <c r="J384" i="9"/>
  <c r="J269" i="9"/>
  <c r="K240" i="9"/>
  <c r="K164" i="9"/>
  <c r="K272" i="9"/>
  <c r="I393" i="9"/>
  <c r="N135" i="9"/>
  <c r="F392" i="9"/>
  <c r="F278" i="9"/>
  <c r="J320" i="9"/>
  <c r="J433" i="9"/>
  <c r="J435" i="9"/>
  <c r="L123" i="9"/>
  <c r="L127" i="9"/>
  <c r="L163" i="9"/>
  <c r="L191" i="9"/>
  <c r="L314" i="9"/>
  <c r="L429" i="9"/>
  <c r="M120" i="9"/>
  <c r="L187" i="9"/>
  <c r="L268" i="9"/>
  <c r="L383" i="9"/>
  <c r="L263" i="9"/>
  <c r="L378" i="9"/>
  <c r="L162" i="9"/>
  <c r="L186" i="9"/>
  <c r="L161" i="9"/>
  <c r="L241" i="9"/>
  <c r="L356" i="9"/>
  <c r="L169" i="9"/>
  <c r="L160" i="9"/>
  <c r="L217" i="9"/>
  <c r="L319" i="9"/>
  <c r="L434" i="9"/>
  <c r="L216" i="9"/>
  <c r="L196" i="9"/>
  <c r="L277" i="9"/>
  <c r="L392" i="9"/>
  <c r="L201" i="9"/>
  <c r="L282" i="9"/>
  <c r="L397" i="9"/>
  <c r="L200" i="9"/>
  <c r="L170" i="9"/>
  <c r="J320" i="8"/>
  <c r="J435" i="8"/>
  <c r="K275" i="8"/>
  <c r="G436" i="8"/>
  <c r="H316" i="8"/>
  <c r="H430" i="8"/>
  <c r="G430" i="8"/>
  <c r="G316" i="8"/>
  <c r="H321" i="8"/>
  <c r="H434" i="8"/>
  <c r="H436" i="8"/>
  <c r="N134" i="8"/>
  <c r="J261" i="7"/>
  <c r="K237" i="7"/>
  <c r="M128" i="7"/>
  <c r="L147" i="7"/>
  <c r="L144" i="7"/>
  <c r="L195" i="7"/>
  <c r="L312" i="7"/>
  <c r="L416" i="7"/>
  <c r="F315" i="7"/>
  <c r="K297" i="7"/>
  <c r="K182" i="7"/>
  <c r="L241" i="7"/>
  <c r="L211" i="7"/>
  <c r="L349" i="7"/>
  <c r="L444" i="7"/>
  <c r="L247" i="7"/>
  <c r="L180" i="7"/>
  <c r="L344" i="7"/>
  <c r="L439" i="7"/>
  <c r="L256" i="7"/>
  <c r="L181" i="7"/>
  <c r="L298" i="7"/>
  <c r="L402" i="7"/>
  <c r="L164" i="7"/>
  <c r="L215" i="7"/>
  <c r="L255" i="7"/>
  <c r="L250" i="7"/>
  <c r="L118" i="7"/>
  <c r="L122" i="7"/>
  <c r="L240" i="7"/>
  <c r="L293" i="7"/>
  <c r="L397" i="7"/>
  <c r="L246" i="7"/>
  <c r="L248" i="7"/>
  <c r="L245" i="7"/>
  <c r="L163" i="7"/>
  <c r="M115" i="7"/>
  <c r="L210" i="7"/>
  <c r="K353" i="7"/>
  <c r="J391" i="7"/>
  <c r="J398" i="7"/>
  <c r="G313" i="7"/>
  <c r="G415" i="7"/>
  <c r="G417" i="7"/>
  <c r="N140" i="7"/>
  <c r="O126" i="7"/>
  <c r="O140" i="7"/>
  <c r="I383" i="8"/>
  <c r="I372" i="7"/>
  <c r="J321" i="7"/>
  <c r="J165" i="7"/>
  <c r="J443" i="7"/>
  <c r="J445" i="7"/>
  <c r="J350" i="7"/>
  <c r="H453" i="7"/>
  <c r="H359" i="7"/>
  <c r="G411" i="7"/>
  <c r="G308" i="7"/>
  <c r="K338" i="7"/>
  <c r="H457" i="7"/>
  <c r="H459" i="7"/>
  <c r="H364" i="7"/>
  <c r="K311" i="7"/>
  <c r="G359" i="7"/>
  <c r="G453" i="7"/>
  <c r="J401" i="7"/>
  <c r="J403" i="7"/>
  <c r="J299" i="7"/>
  <c r="J415" i="7"/>
  <c r="J417" i="7"/>
  <c r="J313" i="7"/>
  <c r="J433" i="7"/>
  <c r="H317" i="7"/>
  <c r="L174" i="7"/>
  <c r="L291" i="7"/>
  <c r="L395" i="7"/>
  <c r="L200" i="7"/>
  <c r="L171" i="7"/>
  <c r="L288" i="7"/>
  <c r="L392" i="7"/>
  <c r="L231" i="7"/>
  <c r="L230" i="7"/>
  <c r="L233" i="7"/>
  <c r="M130" i="7"/>
  <c r="L204" i="7"/>
  <c r="L342" i="7"/>
  <c r="L437" i="7"/>
  <c r="L232" i="7"/>
  <c r="L175" i="7"/>
  <c r="L292" i="7"/>
  <c r="L396" i="7"/>
  <c r="L170" i="7"/>
  <c r="L234" i="7"/>
  <c r="L205" i="7"/>
  <c r="L343" i="7"/>
  <c r="L438" i="7"/>
  <c r="L201" i="7"/>
  <c r="L339" i="7"/>
  <c r="L434" i="7"/>
  <c r="L235" i="7"/>
  <c r="L236" i="7"/>
  <c r="L172" i="7"/>
  <c r="L289" i="7"/>
  <c r="L393" i="7"/>
  <c r="L173" i="7"/>
  <c r="L290" i="7"/>
  <c r="L394" i="7"/>
  <c r="L202" i="7"/>
  <c r="L340" i="7"/>
  <c r="L435" i="7"/>
  <c r="K161" i="7"/>
  <c r="K242" i="7"/>
  <c r="K302" i="7"/>
  <c r="I252" i="7"/>
  <c r="G364" i="7"/>
  <c r="G457" i="7"/>
  <c r="G459" i="7"/>
  <c r="K287" i="7"/>
  <c r="K294" i="7"/>
  <c r="K270" i="7"/>
  <c r="K158" i="7"/>
  <c r="K257" i="7"/>
  <c r="K348" i="7"/>
  <c r="K212" i="7"/>
  <c r="M141" i="7"/>
  <c r="I315" i="7"/>
  <c r="I484" i="10"/>
  <c r="I491" i="10"/>
  <c r="I342" i="10"/>
  <c r="I457" i="10"/>
  <c r="I459" i="10"/>
  <c r="J421" i="6"/>
  <c r="J428" i="6"/>
  <c r="K270" i="6"/>
  <c r="K279" i="6"/>
  <c r="K280" i="6"/>
  <c r="I337" i="10"/>
  <c r="M154" i="6"/>
  <c r="M157" i="6"/>
  <c r="L157" i="6"/>
  <c r="L244" i="6"/>
  <c r="L175" i="6"/>
  <c r="L341" i="6"/>
  <c r="K381" i="6"/>
  <c r="K246" i="6"/>
  <c r="K316" i="10"/>
  <c r="K433" i="10"/>
  <c r="K422" i="6"/>
  <c r="K368" i="10"/>
  <c r="K485" i="10"/>
  <c r="K306" i="6"/>
  <c r="K313" i="6"/>
  <c r="K426" i="6"/>
  <c r="K372" i="10"/>
  <c r="K489" i="10"/>
  <c r="K320" i="10"/>
  <c r="K437" i="10"/>
  <c r="K321" i="6"/>
  <c r="K331" i="10"/>
  <c r="K448" i="10"/>
  <c r="K437" i="6"/>
  <c r="K383" i="10"/>
  <c r="K500" i="10"/>
  <c r="K289" i="6"/>
  <c r="K404" i="6"/>
  <c r="H402" i="10"/>
  <c r="I379" i="10"/>
  <c r="I494" i="10"/>
  <c r="I496" i="10"/>
  <c r="F383" i="6"/>
  <c r="F496" i="6"/>
  <c r="F498" i="6"/>
  <c r="K185" i="6"/>
  <c r="J246" i="6"/>
  <c r="J381" i="6"/>
  <c r="I432" i="10"/>
  <c r="I439" i="10"/>
  <c r="I389" i="10"/>
  <c r="J318" i="6"/>
  <c r="J431" i="6"/>
  <c r="J433" i="6"/>
  <c r="K318" i="10"/>
  <c r="K435" i="10"/>
  <c r="K424" i="6"/>
  <c r="K370" i="10"/>
  <c r="K487" i="10"/>
  <c r="K425" i="6"/>
  <c r="K371" i="10"/>
  <c r="K488" i="10"/>
  <c r="K319" i="10"/>
  <c r="K436" i="10"/>
  <c r="K369" i="10"/>
  <c r="K486" i="10"/>
  <c r="K423" i="6"/>
  <c r="K317" i="10"/>
  <c r="K434" i="10"/>
  <c r="K321" i="10"/>
  <c r="K438" i="10"/>
  <c r="K373" i="10"/>
  <c r="K490" i="10"/>
  <c r="K427" i="6"/>
  <c r="K232" i="6"/>
  <c r="K367" i="6"/>
  <c r="K202" i="6"/>
  <c r="K316" i="6"/>
  <c r="L280" i="6"/>
  <c r="L270" i="6"/>
  <c r="J482" i="6"/>
  <c r="J484" i="6"/>
  <c r="J369" i="6"/>
  <c r="J377" i="6"/>
  <c r="J241" i="6"/>
  <c r="J472" i="6"/>
  <c r="J479" i="6"/>
  <c r="M161" i="6"/>
  <c r="I300" i="10"/>
  <c r="I307" i="10"/>
  <c r="I415" i="10"/>
  <c r="K372" i="6"/>
  <c r="K262" i="6"/>
  <c r="M120" i="6"/>
  <c r="L201" i="6"/>
  <c r="L317" i="6"/>
  <c r="L261" i="6"/>
  <c r="L274" i="6"/>
  <c r="L230" i="6"/>
  <c r="L260" i="6"/>
  <c r="L200" i="6"/>
  <c r="L169" i="6"/>
  <c r="L170" i="6"/>
  <c r="L205" i="6"/>
  <c r="L231" i="6"/>
  <c r="L368" i="6"/>
  <c r="L483" i="6"/>
  <c r="L167" i="6"/>
  <c r="L275" i="6"/>
  <c r="L123" i="6"/>
  <c r="L127" i="6"/>
  <c r="L192" i="6"/>
  <c r="L308" i="6"/>
  <c r="L194" i="6"/>
  <c r="L310" i="6"/>
  <c r="L225" i="6"/>
  <c r="L362" i="6"/>
  <c r="L477" i="6"/>
  <c r="L363" i="6"/>
  <c r="L478" i="6"/>
  <c r="L221" i="6"/>
  <c r="L358" i="6"/>
  <c r="L473" i="6"/>
  <c r="L193" i="6"/>
  <c r="L309" i="6"/>
  <c r="L254" i="6"/>
  <c r="L195" i="6"/>
  <c r="L311" i="6"/>
  <c r="L255" i="6"/>
  <c r="L312" i="6"/>
  <c r="L222" i="6"/>
  <c r="L359" i="6"/>
  <c r="L474" i="6"/>
  <c r="L251" i="6"/>
  <c r="L252" i="6"/>
  <c r="L191" i="6"/>
  <c r="L307" i="6"/>
  <c r="L250" i="6"/>
  <c r="L224" i="6"/>
  <c r="L361" i="6"/>
  <c r="L476" i="6"/>
  <c r="L223" i="6"/>
  <c r="L220" i="6"/>
  <c r="L190" i="6"/>
  <c r="L177" i="6"/>
  <c r="L235" i="6"/>
  <c r="L176" i="6"/>
  <c r="L253" i="6"/>
  <c r="L184" i="6"/>
  <c r="L265" i="6"/>
  <c r="L183" i="6"/>
  <c r="L279" i="6"/>
  <c r="I327" i="10"/>
  <c r="I442" i="10"/>
  <c r="I444" i="10"/>
  <c r="L182" i="6"/>
  <c r="K178" i="6"/>
  <c r="I509" i="10"/>
  <c r="I511" i="10"/>
  <c r="I394" i="10"/>
  <c r="O133" i="6"/>
  <c r="N153" i="6"/>
  <c r="N160" i="6"/>
  <c r="I467" i="10"/>
  <c r="I352" i="10"/>
  <c r="I359" i="10"/>
  <c r="F492" i="6"/>
  <c r="F378" i="6"/>
  <c r="K357" i="6"/>
  <c r="K364" i="6"/>
  <c r="K276" i="6"/>
  <c r="K326" i="10"/>
  <c r="K443" i="10"/>
  <c r="K432" i="6"/>
  <c r="K378" i="10"/>
  <c r="K495" i="10"/>
  <c r="L181" i="6"/>
  <c r="J445" i="6"/>
  <c r="J447" i="6"/>
  <c r="J332" i="6"/>
  <c r="J375" i="5"/>
  <c r="J382" i="5"/>
  <c r="I235" i="5"/>
  <c r="I231" i="5"/>
  <c r="I345" i="5"/>
  <c r="I447" i="5"/>
  <c r="K300" i="5"/>
  <c r="K411" i="5"/>
  <c r="K171" i="5"/>
  <c r="G396" i="5"/>
  <c r="G397" i="5"/>
  <c r="G286" i="5"/>
  <c r="H346" i="5"/>
  <c r="H446" i="5"/>
  <c r="H448" i="5"/>
  <c r="G291" i="5"/>
  <c r="G400" i="5"/>
  <c r="G402" i="5"/>
  <c r="L146" i="5"/>
  <c r="M127" i="5"/>
  <c r="M131" i="5"/>
  <c r="L184" i="5"/>
  <c r="L269" i="5"/>
  <c r="L380" i="5"/>
  <c r="L211" i="5"/>
  <c r="L320" i="5"/>
  <c r="L422" i="5"/>
  <c r="L180" i="5"/>
  <c r="L265" i="5"/>
  <c r="L376" i="5"/>
  <c r="L212" i="5"/>
  <c r="L321" i="5"/>
  <c r="L423" i="5"/>
  <c r="L181" i="5"/>
  <c r="L266" i="5"/>
  <c r="L377" i="5"/>
  <c r="L214" i="5"/>
  <c r="L323" i="5"/>
  <c r="L425" i="5"/>
  <c r="L213" i="5"/>
  <c r="L322" i="5"/>
  <c r="L424" i="5"/>
  <c r="L183" i="5"/>
  <c r="L268" i="5"/>
  <c r="L379" i="5"/>
  <c r="L215" i="5"/>
  <c r="L324" i="5"/>
  <c r="L426" i="5"/>
  <c r="L179" i="5"/>
  <c r="L182" i="5"/>
  <c r="L267" i="5"/>
  <c r="L378" i="5"/>
  <c r="L210" i="5"/>
  <c r="H341" i="5"/>
  <c r="H442" i="5"/>
  <c r="H443" i="5"/>
  <c r="J245" i="5"/>
  <c r="J421" i="5"/>
  <c r="J428" i="5"/>
  <c r="K147" i="5"/>
  <c r="K165" i="5"/>
  <c r="J299" i="5"/>
  <c r="H400" i="5"/>
  <c r="H402" i="5"/>
  <c r="H291" i="5"/>
  <c r="K264" i="5"/>
  <c r="K271" i="5"/>
  <c r="K319" i="5"/>
  <c r="K326" i="5"/>
  <c r="N118" i="5"/>
  <c r="H396" i="5"/>
  <c r="H397" i="5"/>
  <c r="H286" i="5"/>
  <c r="H457" i="4"/>
  <c r="H464" i="4"/>
  <c r="J346" i="4"/>
  <c r="J447" i="4"/>
  <c r="J449" i="4"/>
  <c r="J391" i="4"/>
  <c r="J398" i="4"/>
  <c r="K158" i="4"/>
  <c r="K267" i="4"/>
  <c r="K269" i="4"/>
  <c r="K273" i="4"/>
  <c r="K384" i="4"/>
  <c r="K385" i="4"/>
  <c r="K239" i="4"/>
  <c r="K307" i="4"/>
  <c r="J401" i="4"/>
  <c r="J403" i="4"/>
  <c r="J296" i="4"/>
  <c r="K249" i="4"/>
  <c r="J406" i="4"/>
  <c r="J411" i="4"/>
  <c r="J304" i="4"/>
  <c r="J437" i="4"/>
  <c r="J274" i="4"/>
  <c r="J276" i="4"/>
  <c r="L246" i="4"/>
  <c r="L170" i="4"/>
  <c r="L285" i="4"/>
  <c r="L392" i="4"/>
  <c r="L169" i="4"/>
  <c r="L199" i="4"/>
  <c r="L335" i="4"/>
  <c r="L438" i="4"/>
  <c r="L116" i="4"/>
  <c r="L120" i="4"/>
  <c r="L179" i="4"/>
  <c r="L300" i="4"/>
  <c r="L407" i="4"/>
  <c r="L238" i="4"/>
  <c r="L247" i="4"/>
  <c r="L202" i="4"/>
  <c r="L338" i="4"/>
  <c r="L441" i="4"/>
  <c r="L340" i="4"/>
  <c r="L443" i="4"/>
  <c r="L200" i="4"/>
  <c r="L336" i="4"/>
  <c r="L439" i="4"/>
  <c r="L203" i="4"/>
  <c r="L339" i="4"/>
  <c r="L442" i="4"/>
  <c r="L242" i="4"/>
  <c r="L198" i="4"/>
  <c r="L252" i="4"/>
  <c r="L180" i="4"/>
  <c r="L295" i="4"/>
  <c r="L402" i="4"/>
  <c r="L237" i="4"/>
  <c r="L229" i="4"/>
  <c r="L232" i="4"/>
  <c r="L231" i="4"/>
  <c r="L350" i="4"/>
  <c r="L453" i="4"/>
  <c r="L173" i="4"/>
  <c r="L288" i="4"/>
  <c r="L395" i="4"/>
  <c r="L245" i="4"/>
  <c r="L208" i="4"/>
  <c r="L171" i="4"/>
  <c r="L286" i="4"/>
  <c r="L393" i="4"/>
  <c r="L290" i="4"/>
  <c r="L397" i="4"/>
  <c r="L174" i="4"/>
  <c r="L289" i="4"/>
  <c r="L396" i="4"/>
  <c r="M113" i="4"/>
  <c r="L209" i="4"/>
  <c r="L345" i="4"/>
  <c r="L448" i="4"/>
  <c r="L233" i="4"/>
  <c r="L155" i="4"/>
  <c r="L172" i="4"/>
  <c r="L287" i="4"/>
  <c r="L394" i="4"/>
  <c r="K254" i="4"/>
  <c r="K334" i="4"/>
  <c r="K341" i="4"/>
  <c r="K181" i="4"/>
  <c r="K294" i="4"/>
  <c r="K284" i="4"/>
  <c r="K291" i="4"/>
  <c r="K299" i="4"/>
  <c r="K344" i="4"/>
  <c r="K210" i="4"/>
  <c r="K349" i="4"/>
  <c r="H313" i="4"/>
  <c r="K306" i="3"/>
  <c r="J298" i="3"/>
  <c r="J399" i="3"/>
  <c r="J406" i="3"/>
  <c r="J310" i="3"/>
  <c r="J414" i="3"/>
  <c r="J418" i="3"/>
  <c r="K301" i="3"/>
  <c r="K208" i="3"/>
  <c r="J303" i="3"/>
  <c r="J409" i="3"/>
  <c r="J411" i="3"/>
  <c r="J421" i="3"/>
  <c r="K291" i="3"/>
  <c r="L201" i="3"/>
  <c r="L296" i="3"/>
  <c r="L404" i="3"/>
  <c r="L199" i="3"/>
  <c r="L294" i="3"/>
  <c r="L402" i="3"/>
  <c r="L162" i="3"/>
  <c r="L196" i="3"/>
  <c r="L198" i="3"/>
  <c r="L293" i="3"/>
  <c r="L401" i="3"/>
  <c r="L200" i="3"/>
  <c r="L295" i="3"/>
  <c r="L403" i="3"/>
  <c r="L112" i="3"/>
  <c r="L116" i="3"/>
  <c r="M109" i="3"/>
  <c r="L156" i="3"/>
  <c r="L207" i="3"/>
  <c r="L302" i="3"/>
  <c r="L410" i="3"/>
  <c r="L297" i="3"/>
  <c r="L405" i="3"/>
  <c r="L206" i="3"/>
  <c r="I317" i="3"/>
  <c r="G379" i="4"/>
  <c r="J379" i="4"/>
  <c r="K379" i="4"/>
  <c r="F379" i="4"/>
  <c r="H379" i="4"/>
  <c r="I379" i="4"/>
  <c r="H369" i="5"/>
  <c r="H371" i="5"/>
  <c r="G369" i="5"/>
  <c r="G371" i="5"/>
  <c r="F369" i="5"/>
  <c r="F371" i="5"/>
  <c r="F406" i="5"/>
  <c r="H378" i="4"/>
  <c r="I378" i="4"/>
  <c r="G378" i="4"/>
  <c r="J378" i="4"/>
  <c r="F378" i="4"/>
  <c r="F405" i="6"/>
  <c r="H405" i="6"/>
  <c r="J405" i="6"/>
  <c r="I405" i="6"/>
  <c r="E436" i="6"/>
  <c r="G405" i="6"/>
  <c r="H404" i="6"/>
  <c r="G404" i="6"/>
  <c r="I404" i="6"/>
  <c r="J404" i="6"/>
  <c r="F404" i="6"/>
  <c r="K455" i="6"/>
  <c r="J455" i="6"/>
  <c r="H455" i="6"/>
  <c r="F455" i="6"/>
  <c r="I455" i="6"/>
  <c r="E456" i="6"/>
  <c r="G455" i="6"/>
  <c r="H328" i="9"/>
  <c r="H227" i="9"/>
  <c r="H332" i="9"/>
  <c r="H232" i="9"/>
  <c r="I328" i="9"/>
  <c r="I227" i="9"/>
  <c r="K291" i="9"/>
  <c r="K171" i="9"/>
  <c r="J171" i="9"/>
  <c r="J226" i="9"/>
  <c r="J230" i="9"/>
  <c r="J231" i="9"/>
  <c r="J333" i="9"/>
  <c r="J448" i="9"/>
  <c r="N133" i="9"/>
  <c r="M153" i="9"/>
  <c r="L167" i="9"/>
  <c r="L154" i="9"/>
  <c r="K157" i="9"/>
  <c r="J406" i="9"/>
  <c r="J293" i="9"/>
  <c r="J300" i="9"/>
  <c r="I293" i="9"/>
  <c r="I300" i="9"/>
  <c r="I342" i="9"/>
  <c r="I407" i="9"/>
  <c r="I332" i="9"/>
  <c r="I232" i="9"/>
  <c r="G387" i="6"/>
  <c r="I385" i="6"/>
  <c r="F336" i="9"/>
  <c r="K440" i="6"/>
  <c r="K335" i="10"/>
  <c r="K452" i="10"/>
  <c r="K218" i="10"/>
  <c r="L244" i="10"/>
  <c r="L384" i="10"/>
  <c r="L501" i="10"/>
  <c r="L278" i="10"/>
  <c r="L275" i="10"/>
  <c r="L276" i="10"/>
  <c r="L277" i="10"/>
  <c r="K187" i="3"/>
  <c r="L247" i="10"/>
  <c r="L387" i="10"/>
  <c r="L504" i="10"/>
  <c r="L246" i="10"/>
  <c r="L386" i="10"/>
  <c r="L503" i="10"/>
  <c r="N125" i="10"/>
  <c r="L245" i="10"/>
  <c r="L385" i="10"/>
  <c r="L502" i="10"/>
  <c r="L214" i="10"/>
  <c r="L215" i="10"/>
  <c r="L216" i="10"/>
  <c r="L213" i="10"/>
  <c r="L223" i="9"/>
  <c r="L325" i="9"/>
  <c r="L440" i="9"/>
  <c r="L224" i="9"/>
  <c r="L326" i="9"/>
  <c r="L441" i="9"/>
  <c r="L225" i="9"/>
  <c r="L327" i="9"/>
  <c r="L442" i="9"/>
  <c r="K660" i="8"/>
  <c r="K665" i="8"/>
  <c r="K670" i="8"/>
  <c r="L661" i="8"/>
  <c r="K438" i="6"/>
  <c r="K333" i="10"/>
  <c r="K450" i="10"/>
  <c r="K197" i="9"/>
  <c r="L193" i="9"/>
  <c r="L274" i="9"/>
  <c r="L389" i="9"/>
  <c r="L194" i="9"/>
  <c r="L275" i="9"/>
  <c r="L390" i="9"/>
  <c r="L195" i="9"/>
  <c r="L276" i="9"/>
  <c r="L391" i="9"/>
  <c r="K218" i="4"/>
  <c r="L239" i="6"/>
  <c r="L376" i="6"/>
  <c r="L491" i="6"/>
  <c r="L267" i="6"/>
  <c r="L268" i="6"/>
  <c r="L269" i="6"/>
  <c r="K385" i="10"/>
  <c r="K502" i="10"/>
  <c r="K378" i="6"/>
  <c r="L238" i="6"/>
  <c r="L375" i="6"/>
  <c r="L490" i="6"/>
  <c r="K241" i="6"/>
  <c r="N122" i="6"/>
  <c r="K384" i="10"/>
  <c r="K501" i="10"/>
  <c r="L237" i="6"/>
  <c r="L374" i="6"/>
  <c r="L489" i="6"/>
  <c r="L207" i="6"/>
  <c r="L323" i="6"/>
  <c r="L332" i="10"/>
  <c r="L449" i="10"/>
  <c r="L208" i="6"/>
  <c r="L324" i="6"/>
  <c r="L333" i="10"/>
  <c r="L450" i="10"/>
  <c r="L209" i="6"/>
  <c r="L325" i="6"/>
  <c r="L440" i="6"/>
  <c r="K189" i="4"/>
  <c r="M662" i="8"/>
  <c r="L227" i="5"/>
  <c r="L336" i="5"/>
  <c r="L438" i="5"/>
  <c r="L228" i="5"/>
  <c r="L337" i="5"/>
  <c r="L439" i="5"/>
  <c r="L229" i="5"/>
  <c r="L338" i="5"/>
  <c r="L440" i="5"/>
  <c r="L230" i="5"/>
  <c r="L339" i="5"/>
  <c r="L441" i="5"/>
  <c r="L196" i="5"/>
  <c r="L281" i="5"/>
  <c r="L392" i="5"/>
  <c r="L197" i="5"/>
  <c r="L282" i="5"/>
  <c r="L393" i="5"/>
  <c r="L198" i="5"/>
  <c r="L283" i="5"/>
  <c r="L394" i="5"/>
  <c r="L199" i="5"/>
  <c r="L284" i="5"/>
  <c r="L395" i="5"/>
  <c r="L216" i="4"/>
  <c r="L352" i="4"/>
  <c r="L455" i="4"/>
  <c r="L217" i="4"/>
  <c r="L353" i="4"/>
  <c r="L456" i="4"/>
  <c r="L215" i="4"/>
  <c r="L351" i="4"/>
  <c r="L454" i="4"/>
  <c r="L186" i="4"/>
  <c r="L301" i="4"/>
  <c r="L408" i="4"/>
  <c r="L187" i="4"/>
  <c r="L302" i="4"/>
  <c r="L409" i="4"/>
  <c r="L188" i="4"/>
  <c r="L303" i="4"/>
  <c r="L410" i="4"/>
  <c r="K215" i="3"/>
  <c r="L186" i="3"/>
  <c r="L261" i="3"/>
  <c r="L369" i="3"/>
  <c r="L214" i="3"/>
  <c r="L309" i="3"/>
  <c r="L417" i="3"/>
  <c r="N111" i="3"/>
  <c r="O664" i="8"/>
  <c r="K265" i="8"/>
  <c r="K373" i="8"/>
  <c r="K484" i="8"/>
  <c r="N663" i="8"/>
  <c r="K266" i="8"/>
  <c r="K374" i="8"/>
  <c r="K485" i="8"/>
  <c r="L257" i="8"/>
  <c r="L365" i="8"/>
  <c r="L476" i="8"/>
  <c r="L256" i="8"/>
  <c r="L364" i="8"/>
  <c r="L475" i="8"/>
  <c r="K191" i="7"/>
  <c r="K304" i="7"/>
  <c r="K408" i="7"/>
  <c r="L228" i="8"/>
  <c r="L314" i="8"/>
  <c r="L429" i="8"/>
  <c r="L224" i="8"/>
  <c r="L310" i="8"/>
  <c r="L425" i="8"/>
  <c r="L225" i="8"/>
  <c r="L311" i="8"/>
  <c r="L426" i="8"/>
  <c r="L189" i="7"/>
  <c r="L306" i="7"/>
  <c r="L410" i="7"/>
  <c r="L218" i="7"/>
  <c r="L356" i="7"/>
  <c r="L451" i="7"/>
  <c r="L219" i="7"/>
  <c r="L357" i="7"/>
  <c r="L452" i="7"/>
  <c r="L217" i="7"/>
  <c r="L355" i="7"/>
  <c r="L450" i="7"/>
  <c r="L187" i="7"/>
  <c r="L304" i="7"/>
  <c r="L408" i="7"/>
  <c r="L188" i="7"/>
  <c r="L305" i="7"/>
  <c r="L409" i="7"/>
  <c r="M234" i="8"/>
  <c r="M229" i="8"/>
  <c r="G485" i="8"/>
  <c r="G486" i="8"/>
  <c r="G375" i="8"/>
  <c r="G370" i="8"/>
  <c r="G480" i="8"/>
  <c r="M200" i="8"/>
  <c r="M193" i="8"/>
  <c r="M192" i="8"/>
  <c r="M201" i="8"/>
  <c r="M254" i="8"/>
  <c r="M191" i="8"/>
  <c r="M194" i="8"/>
  <c r="L169" i="8"/>
  <c r="L261" i="8"/>
  <c r="M166" i="8"/>
  <c r="M199" i="8"/>
  <c r="M198" i="8"/>
  <c r="N158" i="8"/>
  <c r="N172" i="8"/>
  <c r="N178" i="8"/>
  <c r="N179" i="8"/>
  <c r="N165" i="8"/>
  <c r="M172" i="5"/>
  <c r="M227" i="8"/>
  <c r="M313" i="8"/>
  <c r="M428" i="8"/>
  <c r="M259" i="8"/>
  <c r="M367" i="8"/>
  <c r="M478" i="8"/>
  <c r="F505" i="10"/>
  <c r="F396" i="10"/>
  <c r="F398" i="10"/>
  <c r="F509" i="10"/>
  <c r="F511" i="10"/>
  <c r="K277" i="3"/>
  <c r="K283" i="3"/>
  <c r="J191" i="10"/>
  <c r="J170" i="10"/>
  <c r="J289" i="10"/>
  <c r="J423" i="3"/>
  <c r="J425" i="3"/>
  <c r="L159" i="10"/>
  <c r="L180" i="10"/>
  <c r="I425" i="3"/>
  <c r="I432" i="3"/>
  <c r="I324" i="3"/>
  <c r="J315" i="3"/>
  <c r="J317" i="3"/>
  <c r="J220" i="3"/>
  <c r="L154" i="3"/>
  <c r="L275" i="3"/>
  <c r="L383" i="3"/>
  <c r="L166" i="10"/>
  <c r="L167" i="10"/>
  <c r="L188" i="10"/>
  <c r="K218" i="3"/>
  <c r="K220" i="3"/>
  <c r="L160" i="3"/>
  <c r="I379" i="3"/>
  <c r="K337" i="3"/>
  <c r="K343" i="3"/>
  <c r="L145" i="3"/>
  <c r="L218" i="3"/>
  <c r="L313" i="3"/>
  <c r="K267" i="3"/>
  <c r="K373" i="3"/>
  <c r="K375" i="3"/>
  <c r="N124" i="3"/>
  <c r="M172" i="3"/>
  <c r="M247" i="3"/>
  <c r="M355" i="3"/>
  <c r="M169" i="3"/>
  <c r="M244" i="3"/>
  <c r="M352" i="3"/>
  <c r="M168" i="3"/>
  <c r="M173" i="3"/>
  <c r="M248" i="3"/>
  <c r="M356" i="3"/>
  <c r="M170" i="3"/>
  <c r="M245" i="3"/>
  <c r="M353" i="3"/>
  <c r="M171" i="3"/>
  <c r="M246" i="3"/>
  <c r="M354" i="3"/>
  <c r="M174" i="3"/>
  <c r="M249" i="3"/>
  <c r="M357" i="3"/>
  <c r="N122" i="3"/>
  <c r="M197" i="3"/>
  <c r="M292" i="3"/>
  <c r="M400" i="3"/>
  <c r="M161" i="3"/>
  <c r="M142" i="3"/>
  <c r="M143" i="3"/>
  <c r="M145" i="3"/>
  <c r="M218" i="3"/>
  <c r="L227" i="3"/>
  <c r="L335" i="3"/>
  <c r="L151" i="3"/>
  <c r="M179" i="3"/>
  <c r="M254" i="3"/>
  <c r="M178" i="3"/>
  <c r="M150" i="3"/>
  <c r="M185" i="3"/>
  <c r="M260" i="3"/>
  <c r="M368" i="3"/>
  <c r="M183" i="3"/>
  <c r="M184" i="3"/>
  <c r="M259" i="3"/>
  <c r="M367" i="3"/>
  <c r="M190" i="3"/>
  <c r="M148" i="3"/>
  <c r="M149" i="3"/>
  <c r="M228" i="3"/>
  <c r="M191" i="3"/>
  <c r="M266" i="3"/>
  <c r="M374" i="3"/>
  <c r="J377" i="3"/>
  <c r="J379" i="3"/>
  <c r="L258" i="3"/>
  <c r="K351" i="3"/>
  <c r="K358" i="3"/>
  <c r="K250" i="3"/>
  <c r="K229" i="3"/>
  <c r="K235" i="3"/>
  <c r="K366" i="3"/>
  <c r="K370" i="3"/>
  <c r="K262" i="3"/>
  <c r="L243" i="3"/>
  <c r="L175" i="3"/>
  <c r="L265" i="3"/>
  <c r="L192" i="3"/>
  <c r="L180" i="3"/>
  <c r="L253" i="3"/>
  <c r="J269" i="3"/>
  <c r="J271" i="3"/>
  <c r="K255" i="3"/>
  <c r="K361" i="3"/>
  <c r="K363" i="3"/>
  <c r="L336" i="3"/>
  <c r="J336" i="10"/>
  <c r="J453" i="10"/>
  <c r="K160" i="10"/>
  <c r="K181" i="10"/>
  <c r="K184" i="10"/>
  <c r="I253" i="10"/>
  <c r="I254" i="10"/>
  <c r="I248" i="10"/>
  <c r="I249" i="10"/>
  <c r="J252" i="10"/>
  <c r="J392" i="10"/>
  <c r="G336" i="9"/>
  <c r="G338" i="9"/>
  <c r="L239" i="10"/>
  <c r="L270" i="10"/>
  <c r="L285" i="10"/>
  <c r="L208" i="10"/>
  <c r="M126" i="10"/>
  <c r="M130" i="10"/>
  <c r="M237" i="10"/>
  <c r="M243" i="10"/>
  <c r="M189" i="10"/>
  <c r="M183" i="10"/>
  <c r="M242" i="10"/>
  <c r="M176" i="10"/>
  <c r="M211" i="10"/>
  <c r="M207" i="10"/>
  <c r="M206" i="10"/>
  <c r="M269" i="10"/>
  <c r="M190" i="10"/>
  <c r="M273" i="10"/>
  <c r="N123" i="10"/>
  <c r="M212" i="10"/>
  <c r="M274" i="10"/>
  <c r="M283" i="10"/>
  <c r="M238" i="10"/>
  <c r="M268" i="10"/>
  <c r="M182" i="10"/>
  <c r="M175" i="10"/>
  <c r="M284" i="10"/>
  <c r="L203" i="10"/>
  <c r="K171" i="6"/>
  <c r="K388" i="10"/>
  <c r="K505" i="10"/>
  <c r="K336" i="10"/>
  <c r="K453" i="10"/>
  <c r="I392" i="6"/>
  <c r="I393" i="6"/>
  <c r="K351" i="10"/>
  <c r="K468" i="10"/>
  <c r="K405" i="6"/>
  <c r="K406" i="6"/>
  <c r="K413" i="6"/>
  <c r="K386" i="5"/>
  <c r="K388" i="5"/>
  <c r="N116" i="5"/>
  <c r="N172" i="5"/>
  <c r="M270" i="5"/>
  <c r="M381" i="5"/>
  <c r="L223" i="5"/>
  <c r="L197" i="6"/>
  <c r="M325" i="5"/>
  <c r="M427" i="5"/>
  <c r="M222" i="5"/>
  <c r="M331" i="5"/>
  <c r="M433" i="5"/>
  <c r="M280" i="5"/>
  <c r="M391" i="5"/>
  <c r="M335" i="5"/>
  <c r="M437" i="5"/>
  <c r="M221" i="5"/>
  <c r="M330" i="5"/>
  <c r="M167" i="5"/>
  <c r="M190" i="5"/>
  <c r="M275" i="5"/>
  <c r="M274" i="5"/>
  <c r="M385" i="5"/>
  <c r="M191" i="5"/>
  <c r="M276" i="5"/>
  <c r="M387" i="5"/>
  <c r="M173" i="5"/>
  <c r="M119" i="5"/>
  <c r="M123" i="5"/>
  <c r="M329" i="5"/>
  <c r="M431" i="5"/>
  <c r="L192" i="5"/>
  <c r="J168" i="5"/>
  <c r="L186" i="5"/>
  <c r="L217" i="5"/>
  <c r="I408" i="9"/>
  <c r="I415" i="9"/>
  <c r="I457" i="9"/>
  <c r="J408" i="9"/>
  <c r="J415" i="9"/>
  <c r="M181" i="6"/>
  <c r="M236" i="6"/>
  <c r="M373" i="6"/>
  <c r="M488" i="6"/>
  <c r="M206" i="6"/>
  <c r="M322" i="6"/>
  <c r="M266" i="6"/>
  <c r="L257" i="6"/>
  <c r="L357" i="6"/>
  <c r="L472" i="6"/>
  <c r="L227" i="6"/>
  <c r="H408" i="9"/>
  <c r="H415" i="9"/>
  <c r="H457" i="9"/>
  <c r="F408" i="9"/>
  <c r="F415" i="9"/>
  <c r="F457" i="9"/>
  <c r="M211" i="3"/>
  <c r="M212" i="3"/>
  <c r="M307" i="3"/>
  <c r="M415" i="3"/>
  <c r="M213" i="3"/>
  <c r="M308" i="3"/>
  <c r="M416" i="3"/>
  <c r="L203" i="3"/>
  <c r="F393" i="9"/>
  <c r="F400" i="9"/>
  <c r="F402" i="9"/>
  <c r="L265" i="10"/>
  <c r="L234" i="10"/>
  <c r="G457" i="9"/>
  <c r="L257" i="9"/>
  <c r="L264" i="9"/>
  <c r="L183" i="9"/>
  <c r="L221" i="9"/>
  <c r="L323" i="9"/>
  <c r="L438" i="9"/>
  <c r="K372" i="9"/>
  <c r="K379" i="9"/>
  <c r="L308" i="9"/>
  <c r="L213" i="9"/>
  <c r="M181" i="9"/>
  <c r="M262" i="9"/>
  <c r="M377" i="9"/>
  <c r="M192" i="9"/>
  <c r="M273" i="9"/>
  <c r="M388" i="9"/>
  <c r="M222" i="9"/>
  <c r="M324" i="9"/>
  <c r="M439" i="9"/>
  <c r="G438" i="9"/>
  <c r="G444" i="9"/>
  <c r="G451" i="9"/>
  <c r="G453" i="9"/>
  <c r="J357" i="9"/>
  <c r="J364" i="9"/>
  <c r="L214" i="8"/>
  <c r="F438" i="9"/>
  <c r="F444" i="9"/>
  <c r="F451" i="9"/>
  <c r="I438" i="9"/>
  <c r="J438" i="9"/>
  <c r="K438" i="9"/>
  <c r="K196" i="7"/>
  <c r="I358" i="7"/>
  <c r="I359" i="7"/>
  <c r="J224" i="7"/>
  <c r="J362" i="7"/>
  <c r="N637" i="7"/>
  <c r="J633" i="7"/>
  <c r="J638" i="7"/>
  <c r="J643" i="7"/>
  <c r="M636" i="7"/>
  <c r="K634" i="7"/>
  <c r="L635" i="7"/>
  <c r="J309" i="4"/>
  <c r="J311" i="4"/>
  <c r="L177" i="7"/>
  <c r="I226" i="7"/>
  <c r="M216" i="7"/>
  <c r="M354" i="7"/>
  <c r="M449" i="7"/>
  <c r="M186" i="7"/>
  <c r="M303" i="7"/>
  <c r="M407" i="7"/>
  <c r="L201" i="4"/>
  <c r="L337" i="4"/>
  <c r="L440" i="4"/>
  <c r="L221" i="4"/>
  <c r="L357" i="4"/>
  <c r="K257" i="4"/>
  <c r="M198" i="4"/>
  <c r="M334" i="4"/>
  <c r="M199" i="4"/>
  <c r="M335" i="4"/>
  <c r="M438" i="4"/>
  <c r="K221" i="4"/>
  <c r="K222" i="4"/>
  <c r="K358" i="4"/>
  <c r="K461" i="4"/>
  <c r="N126" i="4"/>
  <c r="M149" i="4"/>
  <c r="M150" i="4"/>
  <c r="M152" i="4"/>
  <c r="M222" i="4"/>
  <c r="M358" i="4"/>
  <c r="M461" i="4"/>
  <c r="L230" i="4"/>
  <c r="K194" i="4"/>
  <c r="J221" i="4"/>
  <c r="J223" i="4"/>
  <c r="I359" i="4"/>
  <c r="I223" i="4"/>
  <c r="I440" i="4"/>
  <c r="I444" i="4"/>
  <c r="I464" i="4"/>
  <c r="I341" i="4"/>
  <c r="I258" i="4"/>
  <c r="I257" i="4"/>
  <c r="J337" i="4"/>
  <c r="J205" i="4"/>
  <c r="L176" i="4"/>
  <c r="M213" i="4"/>
  <c r="M184" i="4"/>
  <c r="M226" i="8"/>
  <c r="M312" i="8"/>
  <c r="M427" i="8"/>
  <c r="M258" i="8"/>
  <c r="M366" i="8"/>
  <c r="M477" i="8"/>
  <c r="M255" i="8"/>
  <c r="M363" i="8"/>
  <c r="M474" i="8"/>
  <c r="M223" i="8"/>
  <c r="M309" i="8"/>
  <c r="M424" i="8"/>
  <c r="L222" i="8"/>
  <c r="L308" i="8"/>
  <c r="I313" i="4"/>
  <c r="J391" i="6"/>
  <c r="L148" i="7"/>
  <c r="L162" i="7"/>
  <c r="L322" i="7"/>
  <c r="L426" i="7"/>
  <c r="M181" i="8"/>
  <c r="J468" i="10"/>
  <c r="F468" i="10"/>
  <c r="F469" i="10"/>
  <c r="F476" i="10"/>
  <c r="H456" i="5"/>
  <c r="G456" i="5"/>
  <c r="I456" i="5"/>
  <c r="F456" i="5"/>
  <c r="F285" i="9"/>
  <c r="L146" i="4"/>
  <c r="L193" i="4"/>
  <c r="L308" i="4"/>
  <c r="L415" i="4"/>
  <c r="L156" i="4"/>
  <c r="L158" i="4"/>
  <c r="M157" i="4"/>
  <c r="K166" i="5"/>
  <c r="K246" i="5"/>
  <c r="K366" i="5"/>
  <c r="F348" i="5"/>
  <c r="F450" i="5"/>
  <c r="F457" i="5"/>
  <c r="K202" i="8"/>
  <c r="H323" i="8"/>
  <c r="G323" i="8"/>
  <c r="L329" i="8"/>
  <c r="L444" i="8"/>
  <c r="K195" i="8"/>
  <c r="L366" i="8"/>
  <c r="L477" i="8"/>
  <c r="J375" i="8"/>
  <c r="J484" i="8"/>
  <c r="J486" i="8"/>
  <c r="K262" i="8"/>
  <c r="J267" i="8"/>
  <c r="K370" i="8"/>
  <c r="I316" i="8"/>
  <c r="I323" i="8"/>
  <c r="K384" i="3"/>
  <c r="K385" i="3"/>
  <c r="K391" i="3"/>
  <c r="K157" i="3"/>
  <c r="F384" i="3"/>
  <c r="L384" i="3"/>
  <c r="I384" i="3"/>
  <c r="H384" i="3"/>
  <c r="J275" i="3"/>
  <c r="J157" i="3"/>
  <c r="G157" i="3"/>
  <c r="G276" i="3"/>
  <c r="F275" i="3"/>
  <c r="F383" i="3"/>
  <c r="F157" i="3"/>
  <c r="J384" i="3"/>
  <c r="I157" i="3"/>
  <c r="I275" i="3"/>
  <c r="H275" i="3"/>
  <c r="H157" i="3"/>
  <c r="M155" i="7"/>
  <c r="M271" i="7"/>
  <c r="M384" i="7"/>
  <c r="K211" i="6"/>
  <c r="J285" i="9"/>
  <c r="J287" i="9"/>
  <c r="L202" i="8"/>
  <c r="L276" i="8"/>
  <c r="L395" i="8"/>
  <c r="L190" i="7"/>
  <c r="L307" i="7"/>
  <c r="L411" i="7"/>
  <c r="M154" i="7"/>
  <c r="M270" i="7"/>
  <c r="M156" i="7"/>
  <c r="M157" i="7"/>
  <c r="M185" i="7"/>
  <c r="J340" i="10"/>
  <c r="J342" i="10"/>
  <c r="G395" i="8"/>
  <c r="J395" i="8"/>
  <c r="K395" i="8"/>
  <c r="E423" i="8"/>
  <c r="J423" i="8"/>
  <c r="H395" i="8"/>
  <c r="H396" i="8"/>
  <c r="H404" i="8"/>
  <c r="F395" i="8"/>
  <c r="J426" i="7"/>
  <c r="K426" i="7"/>
  <c r="L384" i="7"/>
  <c r="G394" i="8"/>
  <c r="I394" i="8"/>
  <c r="I396" i="8"/>
  <c r="I404" i="8"/>
  <c r="H448" i="7"/>
  <c r="H454" i="7"/>
  <c r="F448" i="7"/>
  <c r="F454" i="7"/>
  <c r="J448" i="7"/>
  <c r="F394" i="8"/>
  <c r="J394" i="8"/>
  <c r="H384" i="7"/>
  <c r="G384" i="7"/>
  <c r="F384" i="7"/>
  <c r="I384" i="7"/>
  <c r="G426" i="7"/>
  <c r="H426" i="7"/>
  <c r="F426" i="7"/>
  <c r="I426" i="7"/>
  <c r="I427" i="7"/>
  <c r="I429" i="7"/>
  <c r="G448" i="7"/>
  <c r="G454" i="7"/>
  <c r="J384" i="7"/>
  <c r="F383" i="7"/>
  <c r="H383" i="7"/>
  <c r="I383" i="7"/>
  <c r="G383" i="7"/>
  <c r="J383" i="7"/>
  <c r="K406" i="7"/>
  <c r="H445" i="8"/>
  <c r="H446" i="8"/>
  <c r="H454" i="8"/>
  <c r="I445" i="8"/>
  <c r="I446" i="8"/>
  <c r="I454" i="8"/>
  <c r="G445" i="8"/>
  <c r="G446" i="8"/>
  <c r="G454" i="8"/>
  <c r="J445" i="8"/>
  <c r="J446" i="8"/>
  <c r="J454" i="8"/>
  <c r="K445" i="8"/>
  <c r="E473" i="8"/>
  <c r="K473" i="8"/>
  <c r="K481" i="8"/>
  <c r="H425" i="7"/>
  <c r="F425" i="7"/>
  <c r="G425" i="7"/>
  <c r="I448" i="7"/>
  <c r="F446" i="8"/>
  <c r="F454" i="8"/>
  <c r="K416" i="10"/>
  <c r="J400" i="9"/>
  <c r="E499" i="10"/>
  <c r="F499" i="10"/>
  <c r="G468" i="10"/>
  <c r="G469" i="10"/>
  <c r="G476" i="10"/>
  <c r="H468" i="10"/>
  <c r="H469" i="10"/>
  <c r="H476" i="10"/>
  <c r="I468" i="10"/>
  <c r="I469" i="10"/>
  <c r="I476" i="10"/>
  <c r="E447" i="10"/>
  <c r="F416" i="10"/>
  <c r="F417" i="10"/>
  <c r="F424" i="10"/>
  <c r="H416" i="10"/>
  <c r="H417" i="10"/>
  <c r="H424" i="10"/>
  <c r="G416" i="10"/>
  <c r="G417" i="10"/>
  <c r="G424" i="10"/>
  <c r="J416" i="10"/>
  <c r="J417" i="10"/>
  <c r="J424" i="10"/>
  <c r="I416" i="10"/>
  <c r="I417" i="10"/>
  <c r="I424" i="10"/>
  <c r="G334" i="6"/>
  <c r="G392" i="6"/>
  <c r="G393" i="6"/>
  <c r="H400" i="9"/>
  <c r="H402" i="9"/>
  <c r="G400" i="9"/>
  <c r="G402" i="9"/>
  <c r="I400" i="9"/>
  <c r="I402" i="9"/>
  <c r="J334" i="6"/>
  <c r="J336" i="6"/>
  <c r="H393" i="6"/>
  <c r="F539" i="6"/>
  <c r="J248" i="10"/>
  <c r="J249" i="10"/>
  <c r="J225" i="7"/>
  <c r="J363" i="7"/>
  <c r="J458" i="7"/>
  <c r="J220" i="7"/>
  <c r="J221" i="7"/>
  <c r="I206" i="5"/>
  <c r="K149" i="5"/>
  <c r="H293" i="5"/>
  <c r="H295" i="5"/>
  <c r="K155" i="5"/>
  <c r="K236" i="5"/>
  <c r="I201" i="5"/>
  <c r="K174" i="5"/>
  <c r="H450" i="5"/>
  <c r="G452" i="5"/>
  <c r="G471" i="4"/>
  <c r="H471" i="4"/>
  <c r="I262" i="7"/>
  <c r="I434" i="8"/>
  <c r="I436" i="8"/>
  <c r="K319" i="8"/>
  <c r="K378" i="4"/>
  <c r="K380" i="4"/>
  <c r="K387" i="4"/>
  <c r="K320" i="8"/>
  <c r="K435" i="8"/>
  <c r="L168" i="6"/>
  <c r="L290" i="6"/>
  <c r="L299" i="10"/>
  <c r="L416" i="10"/>
  <c r="K222" i="10"/>
  <c r="F464" i="4"/>
  <c r="K221" i="10"/>
  <c r="J251" i="7"/>
  <c r="J252" i="7"/>
  <c r="I402" i="10"/>
  <c r="O136" i="8"/>
  <c r="N184" i="8"/>
  <c r="F385" i="6"/>
  <c r="F392" i="6"/>
  <c r="F393" i="6"/>
  <c r="H348" i="5"/>
  <c r="H350" i="5"/>
  <c r="F368" i="4"/>
  <c r="L357" i="8"/>
  <c r="L251" i="8"/>
  <c r="K418" i="8"/>
  <c r="K420" i="8"/>
  <c r="K305" i="8"/>
  <c r="K331" i="8"/>
  <c r="K339" i="8"/>
  <c r="K444" i="8"/>
  <c r="L303" i="8"/>
  <c r="L219" i="8"/>
  <c r="K468" i="8"/>
  <c r="K470" i="8"/>
  <c r="K359" i="8"/>
  <c r="L362" i="8"/>
  <c r="M218" i="8"/>
  <c r="M304" i="8"/>
  <c r="M419" i="8"/>
  <c r="M249" i="8"/>
  <c r="M250" i="8"/>
  <c r="M358" i="8"/>
  <c r="M469" i="8"/>
  <c r="M126" i="8"/>
  <c r="M130" i="8"/>
  <c r="M260" i="8"/>
  <c r="M368" i="8"/>
  <c r="M479" i="8"/>
  <c r="N123" i="8"/>
  <c r="N173" i="8"/>
  <c r="N175" i="8"/>
  <c r="N159" i="8"/>
  <c r="N162" i="8"/>
  <c r="N233" i="8"/>
  <c r="M217" i="8"/>
  <c r="M353" i="8"/>
  <c r="M464" i="8"/>
  <c r="M299" i="8"/>
  <c r="M414" i="8"/>
  <c r="K446" i="6"/>
  <c r="K216" i="6"/>
  <c r="K341" i="10"/>
  <c r="K458" i="10"/>
  <c r="H396" i="10"/>
  <c r="H398" i="10"/>
  <c r="F344" i="10"/>
  <c r="F346" i="10"/>
  <c r="L177" i="10"/>
  <c r="L214" i="6"/>
  <c r="L330" i="6"/>
  <c r="L210" i="6"/>
  <c r="L326" i="6"/>
  <c r="L441" i="6"/>
  <c r="L215" i="6"/>
  <c r="L331" i="6"/>
  <c r="L341" i="10"/>
  <c r="L458" i="10"/>
  <c r="H387" i="6"/>
  <c r="L386" i="5"/>
  <c r="L388" i="5"/>
  <c r="L277" i="5"/>
  <c r="L432" i="5"/>
  <c r="L434" i="5"/>
  <c r="L332" i="5"/>
  <c r="L156" i="10"/>
  <c r="N152" i="10"/>
  <c r="O134" i="10"/>
  <c r="O152" i="10"/>
  <c r="L367" i="10"/>
  <c r="L374" i="10"/>
  <c r="M198" i="10"/>
  <c r="M262" i="10"/>
  <c r="M201" i="10"/>
  <c r="M229" i="10"/>
  <c r="M232" i="10"/>
  <c r="M258" i="10"/>
  <c r="M230" i="10"/>
  <c r="M263" i="10"/>
  <c r="M259" i="10"/>
  <c r="M228" i="10"/>
  <c r="M231" i="10"/>
  <c r="M200" i="10"/>
  <c r="N138" i="10"/>
  <c r="M197" i="10"/>
  <c r="M260" i="10"/>
  <c r="M261" i="10"/>
  <c r="M199" i="10"/>
  <c r="M227" i="10"/>
  <c r="M196" i="10"/>
  <c r="L494" i="10"/>
  <c r="L496" i="10"/>
  <c r="L379" i="10"/>
  <c r="M153" i="10"/>
  <c r="M174" i="10"/>
  <c r="M173" i="10"/>
  <c r="M206" i="9"/>
  <c r="M209" i="9"/>
  <c r="M311" i="9"/>
  <c r="M426" i="9"/>
  <c r="M180" i="9"/>
  <c r="M261" i="9"/>
  <c r="M376" i="9"/>
  <c r="L347" i="8"/>
  <c r="N138" i="8"/>
  <c r="M243" i="8"/>
  <c r="M351" i="8"/>
  <c r="M462" i="8"/>
  <c r="M240" i="8"/>
  <c r="M348" i="8"/>
  <c r="M459" i="8"/>
  <c r="M209" i="8"/>
  <c r="M295" i="8"/>
  <c r="M410" i="8"/>
  <c r="M212" i="8"/>
  <c r="M298" i="8"/>
  <c r="M413" i="8"/>
  <c r="M210" i="8"/>
  <c r="M296" i="8"/>
  <c r="M411" i="8"/>
  <c r="M239" i="8"/>
  <c r="M241" i="8"/>
  <c r="M349" i="8"/>
  <c r="M460" i="8"/>
  <c r="M207" i="8"/>
  <c r="M211" i="8"/>
  <c r="M297" i="8"/>
  <c r="M412" i="8"/>
  <c r="M208" i="8"/>
  <c r="M294" i="8"/>
  <c r="M409" i="8"/>
  <c r="M242" i="8"/>
  <c r="M350" i="8"/>
  <c r="M461" i="8"/>
  <c r="K408" i="8"/>
  <c r="K415" i="8"/>
  <c r="L293" i="8"/>
  <c r="L300" i="8"/>
  <c r="K458" i="8"/>
  <c r="J260" i="7"/>
  <c r="L158" i="7"/>
  <c r="G315" i="7"/>
  <c r="G505" i="10"/>
  <c r="G389" i="10"/>
  <c r="G394" i="10"/>
  <c r="G509" i="10"/>
  <c r="G511" i="10"/>
  <c r="M147" i="6"/>
  <c r="M150" i="6"/>
  <c r="G453" i="10"/>
  <c r="G337" i="10"/>
  <c r="G457" i="10"/>
  <c r="G459" i="10"/>
  <c r="G342" i="10"/>
  <c r="L178" i="6"/>
  <c r="N146" i="6"/>
  <c r="N147" i="6"/>
  <c r="N150" i="6"/>
  <c r="O131" i="6"/>
  <c r="O146" i="6"/>
  <c r="L162" i="5"/>
  <c r="M159" i="5"/>
  <c r="O129" i="5"/>
  <c r="N158" i="5"/>
  <c r="H404" i="5"/>
  <c r="H406" i="5"/>
  <c r="G293" i="5"/>
  <c r="G295" i="5"/>
  <c r="G404" i="5"/>
  <c r="G406" i="5"/>
  <c r="N143" i="4"/>
  <c r="O124" i="4"/>
  <c r="O143" i="4"/>
  <c r="M144" i="4"/>
  <c r="I280" i="10"/>
  <c r="I290" i="10"/>
  <c r="K191" i="10"/>
  <c r="J352" i="10"/>
  <c r="J359" i="10"/>
  <c r="J467" i="10"/>
  <c r="M159" i="10"/>
  <c r="N136" i="10"/>
  <c r="M166" i="10"/>
  <c r="K170" i="10"/>
  <c r="L272" i="9"/>
  <c r="M207" i="9"/>
  <c r="M309" i="9"/>
  <c r="M424" i="9"/>
  <c r="M210" i="9"/>
  <c r="M312" i="9"/>
  <c r="M427" i="9"/>
  <c r="M177" i="9"/>
  <c r="M258" i="9"/>
  <c r="M373" i="9"/>
  <c r="K355" i="9"/>
  <c r="K357" i="9"/>
  <c r="K364" i="9"/>
  <c r="K242" i="9"/>
  <c r="K249" i="9"/>
  <c r="L218" i="9"/>
  <c r="L318" i="9"/>
  <c r="L267" i="9"/>
  <c r="L188" i="9"/>
  <c r="K433" i="9"/>
  <c r="K435" i="9"/>
  <c r="K320" i="9"/>
  <c r="L202" i="9"/>
  <c r="L281" i="9"/>
  <c r="L240" i="9"/>
  <c r="L164" i="9"/>
  <c r="M123" i="9"/>
  <c r="M127" i="9"/>
  <c r="M187" i="9"/>
  <c r="M268" i="9"/>
  <c r="M383" i="9"/>
  <c r="M263" i="9"/>
  <c r="M378" i="9"/>
  <c r="M186" i="9"/>
  <c r="M162" i="9"/>
  <c r="M163" i="9"/>
  <c r="M191" i="9"/>
  <c r="M314" i="9"/>
  <c r="M429" i="9"/>
  <c r="N120" i="9"/>
  <c r="M160" i="9"/>
  <c r="M169" i="9"/>
  <c r="M161" i="9"/>
  <c r="M241" i="9"/>
  <c r="M356" i="9"/>
  <c r="M201" i="9"/>
  <c r="M282" i="9"/>
  <c r="M397" i="9"/>
  <c r="M216" i="9"/>
  <c r="M217" i="9"/>
  <c r="M319" i="9"/>
  <c r="M434" i="9"/>
  <c r="M196" i="9"/>
  <c r="M277" i="9"/>
  <c r="M392" i="9"/>
  <c r="M170" i="9"/>
  <c r="M200" i="9"/>
  <c r="M208" i="9"/>
  <c r="M310" i="9"/>
  <c r="M425" i="9"/>
  <c r="M176" i="9"/>
  <c r="O135" i="9"/>
  <c r="K387" i="9"/>
  <c r="K393" i="9"/>
  <c r="K278" i="9"/>
  <c r="K283" i="9"/>
  <c r="K396" i="9"/>
  <c r="K398" i="9"/>
  <c r="M211" i="9"/>
  <c r="M313" i="9"/>
  <c r="M428" i="9"/>
  <c r="M179" i="9"/>
  <c r="M260" i="9"/>
  <c r="M375" i="9"/>
  <c r="M178" i="9"/>
  <c r="M259" i="9"/>
  <c r="M374" i="9"/>
  <c r="K382" i="9"/>
  <c r="K384" i="9"/>
  <c r="K269" i="9"/>
  <c r="J230" i="8"/>
  <c r="J315" i="8"/>
  <c r="J235" i="8"/>
  <c r="J319" i="8"/>
  <c r="O134" i="8"/>
  <c r="L275" i="8"/>
  <c r="K315" i="8"/>
  <c r="K230" i="8"/>
  <c r="K277" i="8"/>
  <c r="K285" i="8"/>
  <c r="K394" i="8"/>
  <c r="M204" i="7"/>
  <c r="M342" i="7"/>
  <c r="M437" i="7"/>
  <c r="M200" i="7"/>
  <c r="M173" i="7"/>
  <c r="M290" i="7"/>
  <c r="M394" i="7"/>
  <c r="M232" i="7"/>
  <c r="M235" i="7"/>
  <c r="M233" i="7"/>
  <c r="M202" i="7"/>
  <c r="M340" i="7"/>
  <c r="M435" i="7"/>
  <c r="M172" i="7"/>
  <c r="M289" i="7"/>
  <c r="M393" i="7"/>
  <c r="N130" i="7"/>
  <c r="M201" i="7"/>
  <c r="M339" i="7"/>
  <c r="M434" i="7"/>
  <c r="M205" i="7"/>
  <c r="M343" i="7"/>
  <c r="M438" i="7"/>
  <c r="M171" i="7"/>
  <c r="M288" i="7"/>
  <c r="M392" i="7"/>
  <c r="M236" i="7"/>
  <c r="M170" i="7"/>
  <c r="M175" i="7"/>
  <c r="M292" i="7"/>
  <c r="M396" i="7"/>
  <c r="M174" i="7"/>
  <c r="M291" i="7"/>
  <c r="M395" i="7"/>
  <c r="M231" i="7"/>
  <c r="M234" i="7"/>
  <c r="M230" i="7"/>
  <c r="K151" i="7"/>
  <c r="L272" i="7"/>
  <c r="L279" i="7"/>
  <c r="L383" i="7"/>
  <c r="K433" i="7"/>
  <c r="O141" i="7"/>
  <c r="J315" i="7"/>
  <c r="L194" i="7"/>
  <c r="L242" i="7"/>
  <c r="L257" i="7"/>
  <c r="L182" i="7"/>
  <c r="L297" i="7"/>
  <c r="L161" i="7"/>
  <c r="I317" i="7"/>
  <c r="L237" i="7"/>
  <c r="L338" i="7"/>
  <c r="K313" i="7"/>
  <c r="K415" i="7"/>
  <c r="K417" i="7"/>
  <c r="J323" i="7"/>
  <c r="J330" i="7"/>
  <c r="J425" i="7"/>
  <c r="N141" i="7"/>
  <c r="M241" i="7"/>
  <c r="M211" i="7"/>
  <c r="M349" i="7"/>
  <c r="M444" i="7"/>
  <c r="M180" i="7"/>
  <c r="M344" i="7"/>
  <c r="M439" i="7"/>
  <c r="M245" i="7"/>
  <c r="M250" i="7"/>
  <c r="N115" i="7"/>
  <c r="M181" i="7"/>
  <c r="M298" i="7"/>
  <c r="M402" i="7"/>
  <c r="M256" i="7"/>
  <c r="M248" i="7"/>
  <c r="M210" i="7"/>
  <c r="M246" i="7"/>
  <c r="M164" i="7"/>
  <c r="M215" i="7"/>
  <c r="M247" i="7"/>
  <c r="M118" i="7"/>
  <c r="M122" i="7"/>
  <c r="M240" i="7"/>
  <c r="M255" i="7"/>
  <c r="M163" i="7"/>
  <c r="M293" i="7"/>
  <c r="M397" i="7"/>
  <c r="K401" i="7"/>
  <c r="K403" i="7"/>
  <c r="K299" i="7"/>
  <c r="M144" i="7"/>
  <c r="K272" i="7"/>
  <c r="K279" i="7"/>
  <c r="K383" i="7"/>
  <c r="K385" i="7"/>
  <c r="K387" i="7"/>
  <c r="K321" i="7"/>
  <c r="K165" i="7"/>
  <c r="L302" i="7"/>
  <c r="L353" i="7"/>
  <c r="F317" i="7"/>
  <c r="N128" i="7"/>
  <c r="M147" i="7"/>
  <c r="I364" i="7"/>
  <c r="I457" i="7"/>
  <c r="I459" i="7"/>
  <c r="K443" i="7"/>
  <c r="K445" i="7"/>
  <c r="K350" i="7"/>
  <c r="K391" i="7"/>
  <c r="K398" i="7"/>
  <c r="L287" i="7"/>
  <c r="L294" i="7"/>
  <c r="K448" i="7"/>
  <c r="L348" i="7"/>
  <c r="L212" i="7"/>
  <c r="O153" i="6"/>
  <c r="O160" i="6"/>
  <c r="L372" i="6"/>
  <c r="L426" i="6"/>
  <c r="L320" i="10"/>
  <c r="L437" i="10"/>
  <c r="L423" i="6"/>
  <c r="L317" i="10"/>
  <c r="L434" i="10"/>
  <c r="L437" i="6"/>
  <c r="L331" i="10"/>
  <c r="L448" i="10"/>
  <c r="K392" i="10"/>
  <c r="K332" i="6"/>
  <c r="K445" i="6"/>
  <c r="K340" i="10"/>
  <c r="K382" i="10"/>
  <c r="K330" i="10"/>
  <c r="K327" i="6"/>
  <c r="L245" i="6"/>
  <c r="L382" i="6"/>
  <c r="L497" i="6"/>
  <c r="L240" i="6"/>
  <c r="L377" i="6"/>
  <c r="L492" i="6"/>
  <c r="I344" i="10"/>
  <c r="K271" i="6"/>
  <c r="L185" i="6"/>
  <c r="L381" i="6"/>
  <c r="L360" i="6"/>
  <c r="L475" i="6"/>
  <c r="L316" i="10"/>
  <c r="L433" i="10"/>
  <c r="L422" i="6"/>
  <c r="L321" i="6"/>
  <c r="L436" i="6"/>
  <c r="L316" i="6"/>
  <c r="L202" i="6"/>
  <c r="L232" i="6"/>
  <c r="L367" i="6"/>
  <c r="L432" i="6"/>
  <c r="L326" i="10"/>
  <c r="L443" i="10"/>
  <c r="N120" i="6"/>
  <c r="M230" i="6"/>
  <c r="M170" i="6"/>
  <c r="M205" i="6"/>
  <c r="M274" i="6"/>
  <c r="M169" i="6"/>
  <c r="M231" i="6"/>
  <c r="M368" i="6"/>
  <c r="M483" i="6"/>
  <c r="M275" i="6"/>
  <c r="M200" i="6"/>
  <c r="M167" i="6"/>
  <c r="M201" i="6"/>
  <c r="M317" i="6"/>
  <c r="M312" i="6"/>
  <c r="M195" i="6"/>
  <c r="M311" i="6"/>
  <c r="M225" i="6"/>
  <c r="M362" i="6"/>
  <c r="M477" i="6"/>
  <c r="M363" i="6"/>
  <c r="M478" i="6"/>
  <c r="M123" i="6"/>
  <c r="M127" i="6"/>
  <c r="M194" i="6"/>
  <c r="M310" i="6"/>
  <c r="M192" i="6"/>
  <c r="M308" i="6"/>
  <c r="M220" i="6"/>
  <c r="M224" i="6"/>
  <c r="M361" i="6"/>
  <c r="M476" i="6"/>
  <c r="M193" i="6"/>
  <c r="M309" i="6"/>
  <c r="M221" i="6"/>
  <c r="M358" i="6"/>
  <c r="M473" i="6"/>
  <c r="M222" i="6"/>
  <c r="M359" i="6"/>
  <c r="M474" i="6"/>
  <c r="M253" i="6"/>
  <c r="M191" i="6"/>
  <c r="M307" i="6"/>
  <c r="M190" i="6"/>
  <c r="M245" i="6"/>
  <c r="M382" i="6"/>
  <c r="M497" i="6"/>
  <c r="M223" i="6"/>
  <c r="M360" i="6"/>
  <c r="M475" i="6"/>
  <c r="M177" i="6"/>
  <c r="M235" i="6"/>
  <c r="M251" i="6"/>
  <c r="M250" i="6"/>
  <c r="M184" i="6"/>
  <c r="M265" i="6"/>
  <c r="M261" i="6"/>
  <c r="M255" i="6"/>
  <c r="M252" i="6"/>
  <c r="M176" i="6"/>
  <c r="M260" i="6"/>
  <c r="M254" i="6"/>
  <c r="M183" i="6"/>
  <c r="M182" i="6"/>
  <c r="J492" i="6"/>
  <c r="J378" i="6"/>
  <c r="K482" i="6"/>
  <c r="K484" i="6"/>
  <c r="K369" i="6"/>
  <c r="I396" i="10"/>
  <c r="K315" i="10"/>
  <c r="K322" i="10"/>
  <c r="K367" i="10"/>
  <c r="K374" i="10"/>
  <c r="K421" i="6"/>
  <c r="K428" i="6"/>
  <c r="M174" i="6"/>
  <c r="K472" i="6"/>
  <c r="K479" i="6"/>
  <c r="N161" i="6"/>
  <c r="L281" i="6"/>
  <c r="L427" i="6"/>
  <c r="L321" i="10"/>
  <c r="L438" i="10"/>
  <c r="L289" i="6"/>
  <c r="L276" i="6"/>
  <c r="J383" i="6"/>
  <c r="J496" i="6"/>
  <c r="J498" i="6"/>
  <c r="K291" i="6"/>
  <c r="K298" i="6"/>
  <c r="K391" i="6"/>
  <c r="K350" i="10"/>
  <c r="K298" i="10"/>
  <c r="K496" i="6"/>
  <c r="K498" i="6"/>
  <c r="K383" i="6"/>
  <c r="M244" i="6"/>
  <c r="M240" i="6"/>
  <c r="M377" i="6"/>
  <c r="M492" i="6"/>
  <c r="N154" i="6"/>
  <c r="L306" i="6"/>
  <c r="L313" i="6"/>
  <c r="L318" i="10"/>
  <c r="L435" i="10"/>
  <c r="L424" i="6"/>
  <c r="L319" i="10"/>
  <c r="L436" i="10"/>
  <c r="L425" i="6"/>
  <c r="L262" i="6"/>
  <c r="M164" i="6"/>
  <c r="M270" i="6"/>
  <c r="K318" i="6"/>
  <c r="K431" i="6"/>
  <c r="K433" i="6"/>
  <c r="K377" i="10"/>
  <c r="K325" i="10"/>
  <c r="H346" i="10"/>
  <c r="L342" i="6"/>
  <c r="L349" i="6"/>
  <c r="M175" i="6"/>
  <c r="M341" i="6"/>
  <c r="M456" i="6"/>
  <c r="K281" i="6"/>
  <c r="O118" i="5"/>
  <c r="K421" i="5"/>
  <c r="K428" i="5"/>
  <c r="J345" i="5"/>
  <c r="J447" i="5"/>
  <c r="J235" i="5"/>
  <c r="J231" i="5"/>
  <c r="K245" i="5"/>
  <c r="N131" i="5"/>
  <c r="M180" i="5"/>
  <c r="M265" i="5"/>
  <c r="M376" i="5"/>
  <c r="M184" i="5"/>
  <c r="M269" i="5"/>
  <c r="M380" i="5"/>
  <c r="M214" i="5"/>
  <c r="M323" i="5"/>
  <c r="M425" i="5"/>
  <c r="M215" i="5"/>
  <c r="M324" i="5"/>
  <c r="M426" i="5"/>
  <c r="M211" i="5"/>
  <c r="M320" i="5"/>
  <c r="M422" i="5"/>
  <c r="M181" i="5"/>
  <c r="M266" i="5"/>
  <c r="M377" i="5"/>
  <c r="M183" i="5"/>
  <c r="M268" i="5"/>
  <c r="M379" i="5"/>
  <c r="M182" i="5"/>
  <c r="M267" i="5"/>
  <c r="M378" i="5"/>
  <c r="M210" i="5"/>
  <c r="M179" i="5"/>
  <c r="M213" i="5"/>
  <c r="M322" i="5"/>
  <c r="M424" i="5"/>
  <c r="M212" i="5"/>
  <c r="M321" i="5"/>
  <c r="M423" i="5"/>
  <c r="M146" i="5"/>
  <c r="N127" i="5"/>
  <c r="I344" i="5"/>
  <c r="I237" i="5"/>
  <c r="J290" i="5"/>
  <c r="J401" i="5"/>
  <c r="J204" i="5"/>
  <c r="J200" i="5"/>
  <c r="J304" i="5"/>
  <c r="J311" i="5"/>
  <c r="J410" i="5"/>
  <c r="J415" i="5"/>
  <c r="J417" i="5"/>
  <c r="K205" i="5"/>
  <c r="L319" i="5"/>
  <c r="L326" i="5"/>
  <c r="L147" i="5"/>
  <c r="L165" i="5"/>
  <c r="K375" i="5"/>
  <c r="K382" i="5"/>
  <c r="I396" i="5"/>
  <c r="I397" i="5"/>
  <c r="I286" i="5"/>
  <c r="J249" i="5"/>
  <c r="J256" i="5"/>
  <c r="J365" i="5"/>
  <c r="J369" i="5"/>
  <c r="J371" i="5"/>
  <c r="I400" i="5"/>
  <c r="I402" i="5"/>
  <c r="I291" i="5"/>
  <c r="L264" i="5"/>
  <c r="L271" i="5"/>
  <c r="L300" i="5"/>
  <c r="L411" i="5"/>
  <c r="L171" i="5"/>
  <c r="K299" i="5"/>
  <c r="I340" i="5"/>
  <c r="I232" i="5"/>
  <c r="K346" i="4"/>
  <c r="K447" i="4"/>
  <c r="K449" i="4"/>
  <c r="L299" i="4"/>
  <c r="K391" i="4"/>
  <c r="K398" i="4"/>
  <c r="K401" i="4"/>
  <c r="K403" i="4"/>
  <c r="K296" i="4"/>
  <c r="L254" i="4"/>
  <c r="J418" i="4"/>
  <c r="I380" i="4"/>
  <c r="K354" i="4"/>
  <c r="K452" i="4"/>
  <c r="K457" i="4"/>
  <c r="K437" i="4"/>
  <c r="K444" i="4"/>
  <c r="M246" i="4"/>
  <c r="M242" i="4"/>
  <c r="N113" i="4"/>
  <c r="M180" i="4"/>
  <c r="M295" i="4"/>
  <c r="M402" i="4"/>
  <c r="M208" i="4"/>
  <c r="M247" i="4"/>
  <c r="M237" i="4"/>
  <c r="M290" i="4"/>
  <c r="M397" i="4"/>
  <c r="M252" i="4"/>
  <c r="M179" i="4"/>
  <c r="M170" i="4"/>
  <c r="M285" i="4"/>
  <c r="M392" i="4"/>
  <c r="M116" i="4"/>
  <c r="M120" i="4"/>
  <c r="M300" i="4"/>
  <c r="M407" i="4"/>
  <c r="M238" i="4"/>
  <c r="M171" i="4"/>
  <c r="M286" i="4"/>
  <c r="M393" i="4"/>
  <c r="M350" i="4"/>
  <c r="M453" i="4"/>
  <c r="M169" i="4"/>
  <c r="M245" i="4"/>
  <c r="M340" i="4"/>
  <c r="M443" i="4"/>
  <c r="M231" i="4"/>
  <c r="M233" i="4"/>
  <c r="M209" i="4"/>
  <c r="M345" i="4"/>
  <c r="M448" i="4"/>
  <c r="M203" i="4"/>
  <c r="M339" i="4"/>
  <c r="M442" i="4"/>
  <c r="M173" i="4"/>
  <c r="M288" i="4"/>
  <c r="M395" i="4"/>
  <c r="M202" i="4"/>
  <c r="M338" i="4"/>
  <c r="M441" i="4"/>
  <c r="M232" i="4"/>
  <c r="M229" i="4"/>
  <c r="M200" i="4"/>
  <c r="M174" i="4"/>
  <c r="M289" i="4"/>
  <c r="M396" i="4"/>
  <c r="M172" i="4"/>
  <c r="M287" i="4"/>
  <c r="M394" i="4"/>
  <c r="M155" i="4"/>
  <c r="L334" i="4"/>
  <c r="L181" i="4"/>
  <c r="L294" i="4"/>
  <c r="L284" i="4"/>
  <c r="L291" i="4"/>
  <c r="K274" i="4"/>
  <c r="K276" i="4"/>
  <c r="K304" i="4"/>
  <c r="K406" i="4"/>
  <c r="K411" i="4"/>
  <c r="L267" i="4"/>
  <c r="L344" i="4"/>
  <c r="L210" i="4"/>
  <c r="L349" i="4"/>
  <c r="L239" i="4"/>
  <c r="L249" i="4"/>
  <c r="K414" i="4"/>
  <c r="K416" i="4"/>
  <c r="K309" i="4"/>
  <c r="L291" i="3"/>
  <c r="K303" i="3"/>
  <c r="K409" i="3"/>
  <c r="K411" i="3"/>
  <c r="L208" i="3"/>
  <c r="L301" i="3"/>
  <c r="N109" i="3"/>
  <c r="M206" i="3"/>
  <c r="M112" i="3"/>
  <c r="M116" i="3"/>
  <c r="M156" i="3"/>
  <c r="M297" i="3"/>
  <c r="M405" i="3"/>
  <c r="M198" i="3"/>
  <c r="M293" i="3"/>
  <c r="M401" i="3"/>
  <c r="M199" i="3"/>
  <c r="M294" i="3"/>
  <c r="M402" i="3"/>
  <c r="M207" i="3"/>
  <c r="M302" i="3"/>
  <c r="M410" i="3"/>
  <c r="M196" i="3"/>
  <c r="M200" i="3"/>
  <c r="M295" i="3"/>
  <c r="M403" i="3"/>
  <c r="M201" i="3"/>
  <c r="M296" i="3"/>
  <c r="M404" i="3"/>
  <c r="M162" i="3"/>
  <c r="K298" i="3"/>
  <c r="K399" i="3"/>
  <c r="K406" i="3"/>
  <c r="K414" i="3"/>
  <c r="K418" i="3"/>
  <c r="K310" i="3"/>
  <c r="L306" i="3"/>
  <c r="G380" i="4"/>
  <c r="F380" i="4"/>
  <c r="I406" i="6"/>
  <c r="I413" i="6"/>
  <c r="J380" i="4"/>
  <c r="J387" i="4"/>
  <c r="H380" i="4"/>
  <c r="F406" i="6"/>
  <c r="F413" i="6"/>
  <c r="H406" i="6"/>
  <c r="H413" i="6"/>
  <c r="I456" i="6"/>
  <c r="I457" i="6"/>
  <c r="I464" i="6"/>
  <c r="G456" i="6"/>
  <c r="G457" i="6"/>
  <c r="G464" i="6"/>
  <c r="L456" i="6"/>
  <c r="L457" i="6"/>
  <c r="L464" i="6"/>
  <c r="J456" i="6"/>
  <c r="J457" i="6"/>
  <c r="J464" i="6"/>
  <c r="F456" i="6"/>
  <c r="F457" i="6"/>
  <c r="F464" i="6"/>
  <c r="E487" i="6"/>
  <c r="H456" i="6"/>
  <c r="H457" i="6"/>
  <c r="H464" i="6"/>
  <c r="K456" i="6"/>
  <c r="K457" i="6"/>
  <c r="K464" i="6"/>
  <c r="J406" i="6"/>
  <c r="J413" i="6"/>
  <c r="G406" i="6"/>
  <c r="G413" i="6"/>
  <c r="H436" i="6"/>
  <c r="H442" i="6"/>
  <c r="H449" i="6"/>
  <c r="G436" i="6"/>
  <c r="G442" i="6"/>
  <c r="G449" i="6"/>
  <c r="I436" i="6"/>
  <c r="I442" i="6"/>
  <c r="I449" i="6"/>
  <c r="F436" i="6"/>
  <c r="F442" i="6"/>
  <c r="F449" i="6"/>
  <c r="J436" i="6"/>
  <c r="J442" i="6"/>
  <c r="J449" i="6"/>
  <c r="K436" i="6"/>
  <c r="H443" i="9"/>
  <c r="H444" i="9"/>
  <c r="H329" i="9"/>
  <c r="H334" i="9"/>
  <c r="H447" i="9"/>
  <c r="H449" i="9"/>
  <c r="I334" i="9"/>
  <c r="I447" i="9"/>
  <c r="I449" i="9"/>
  <c r="K226" i="9"/>
  <c r="K230" i="9"/>
  <c r="K231" i="9"/>
  <c r="K333" i="9"/>
  <c r="K448" i="9"/>
  <c r="I443" i="9"/>
  <c r="I329" i="9"/>
  <c r="J342" i="9"/>
  <c r="L157" i="9"/>
  <c r="L168" i="9"/>
  <c r="L292" i="9"/>
  <c r="L407" i="9"/>
  <c r="M167" i="9"/>
  <c r="M154" i="9"/>
  <c r="M168" i="9"/>
  <c r="M292" i="9"/>
  <c r="M407" i="9"/>
  <c r="J332" i="9"/>
  <c r="J232" i="9"/>
  <c r="K293" i="9"/>
  <c r="K300" i="9"/>
  <c r="K406" i="9"/>
  <c r="K408" i="9"/>
  <c r="K415" i="9"/>
  <c r="L291" i="9"/>
  <c r="O133" i="9"/>
  <c r="N153" i="9"/>
  <c r="J328" i="9"/>
  <c r="J227" i="9"/>
  <c r="I387" i="6"/>
  <c r="F338" i="9"/>
  <c r="L335" i="10"/>
  <c r="L452" i="10"/>
  <c r="K442" i="6"/>
  <c r="L215" i="3"/>
  <c r="M247" i="10"/>
  <c r="M277" i="10"/>
  <c r="M278" i="10"/>
  <c r="M275" i="10"/>
  <c r="M276" i="10"/>
  <c r="M246" i="10"/>
  <c r="M245" i="10"/>
  <c r="O125" i="10"/>
  <c r="M244" i="10"/>
  <c r="M213" i="10"/>
  <c r="M214" i="10"/>
  <c r="M215" i="10"/>
  <c r="M216" i="10"/>
  <c r="M223" i="9"/>
  <c r="M325" i="9"/>
  <c r="M440" i="9"/>
  <c r="M224" i="9"/>
  <c r="M326" i="9"/>
  <c r="M441" i="9"/>
  <c r="M225" i="9"/>
  <c r="M327" i="9"/>
  <c r="M442" i="9"/>
  <c r="L439" i="6"/>
  <c r="L271" i="6"/>
  <c r="L197" i="9"/>
  <c r="M193" i="9"/>
  <c r="M274" i="9"/>
  <c r="M389" i="9"/>
  <c r="M194" i="9"/>
  <c r="M275" i="9"/>
  <c r="M390" i="9"/>
  <c r="M195" i="9"/>
  <c r="M276" i="9"/>
  <c r="M391" i="9"/>
  <c r="K375" i="8"/>
  <c r="M237" i="6"/>
  <c r="M374" i="6"/>
  <c r="M489" i="6"/>
  <c r="M267" i="6"/>
  <c r="M268" i="6"/>
  <c r="M269" i="6"/>
  <c r="M238" i="6"/>
  <c r="M375" i="6"/>
  <c r="M490" i="6"/>
  <c r="L438" i="6"/>
  <c r="L442" i="6"/>
  <c r="O122" i="6"/>
  <c r="M239" i="6"/>
  <c r="M376" i="6"/>
  <c r="M491" i="6"/>
  <c r="M207" i="6"/>
  <c r="M323" i="6"/>
  <c r="M384" i="10"/>
  <c r="M501" i="10"/>
  <c r="M208" i="6"/>
  <c r="M324" i="6"/>
  <c r="M333" i="10"/>
  <c r="M450" i="10"/>
  <c r="M209" i="6"/>
  <c r="M325" i="6"/>
  <c r="M387" i="10"/>
  <c r="M504" i="10"/>
  <c r="K486" i="8"/>
  <c r="M230" i="5"/>
  <c r="M339" i="5"/>
  <c r="M441" i="5"/>
  <c r="M227" i="5"/>
  <c r="M336" i="5"/>
  <c r="M438" i="5"/>
  <c r="M228" i="5"/>
  <c r="M337" i="5"/>
  <c r="M439" i="5"/>
  <c r="M229" i="5"/>
  <c r="M338" i="5"/>
  <c r="M440" i="5"/>
  <c r="M199" i="5"/>
  <c r="M284" i="5"/>
  <c r="M395" i="5"/>
  <c r="M196" i="5"/>
  <c r="M281" i="5"/>
  <c r="M392" i="5"/>
  <c r="M197" i="5"/>
  <c r="M282" i="5"/>
  <c r="M393" i="5"/>
  <c r="M198" i="5"/>
  <c r="M283" i="5"/>
  <c r="M394" i="5"/>
  <c r="L218" i="4"/>
  <c r="L189" i="4"/>
  <c r="L187" i="3"/>
  <c r="K267" i="8"/>
  <c r="M215" i="4"/>
  <c r="M351" i="4"/>
  <c r="M454" i="4"/>
  <c r="M216" i="4"/>
  <c r="M352" i="4"/>
  <c r="M455" i="4"/>
  <c r="M217" i="4"/>
  <c r="M353" i="4"/>
  <c r="M456" i="4"/>
  <c r="K412" i="7"/>
  <c r="K419" i="7"/>
  <c r="K308" i="7"/>
  <c r="K315" i="7"/>
  <c r="M186" i="4"/>
  <c r="M301" i="4"/>
  <c r="M408" i="4"/>
  <c r="M187" i="4"/>
  <c r="M302" i="4"/>
  <c r="M409" i="4"/>
  <c r="M188" i="4"/>
  <c r="M303" i="4"/>
  <c r="M410" i="4"/>
  <c r="M186" i="3"/>
  <c r="M261" i="3"/>
  <c r="M369" i="3"/>
  <c r="M214" i="3"/>
  <c r="M309" i="3"/>
  <c r="M417" i="3"/>
  <c r="O111" i="3"/>
  <c r="M256" i="8"/>
  <c r="M364" i="8"/>
  <c r="M475" i="8"/>
  <c r="M257" i="8"/>
  <c r="M365" i="8"/>
  <c r="M476" i="8"/>
  <c r="M228" i="8"/>
  <c r="M314" i="8"/>
  <c r="M429" i="8"/>
  <c r="M224" i="8"/>
  <c r="M310" i="8"/>
  <c r="M425" i="8"/>
  <c r="M225" i="8"/>
  <c r="M311" i="8"/>
  <c r="M426" i="8"/>
  <c r="M189" i="7"/>
  <c r="M306" i="7"/>
  <c r="M410" i="7"/>
  <c r="M217" i="7"/>
  <c r="M355" i="7"/>
  <c r="M450" i="7"/>
  <c r="M218" i="7"/>
  <c r="M356" i="7"/>
  <c r="M451" i="7"/>
  <c r="M219" i="7"/>
  <c r="M357" i="7"/>
  <c r="M452" i="7"/>
  <c r="M187" i="7"/>
  <c r="M304" i="7"/>
  <c r="M408" i="7"/>
  <c r="M188" i="7"/>
  <c r="M305" i="7"/>
  <c r="M409" i="7"/>
  <c r="N234" i="8"/>
  <c r="N229" i="8"/>
  <c r="L265" i="8"/>
  <c r="L373" i="8"/>
  <c r="L484" i="8"/>
  <c r="L266" i="8"/>
  <c r="L374" i="8"/>
  <c r="L485" i="8"/>
  <c r="M661" i="8"/>
  <c r="O663" i="8"/>
  <c r="N662" i="8"/>
  <c r="P664" i="8"/>
  <c r="N192" i="8"/>
  <c r="N201" i="8"/>
  <c r="N254" i="8"/>
  <c r="N191" i="8"/>
  <c r="N194" i="8"/>
  <c r="N200" i="8"/>
  <c r="N193" i="8"/>
  <c r="L660" i="8"/>
  <c r="L665" i="8"/>
  <c r="L670" i="8"/>
  <c r="M169" i="8"/>
  <c r="M261" i="8"/>
  <c r="M369" i="8"/>
  <c r="M480" i="8"/>
  <c r="N166" i="8"/>
  <c r="N199" i="8"/>
  <c r="N198" i="8"/>
  <c r="O172" i="8"/>
  <c r="O158" i="8"/>
  <c r="O178" i="8"/>
  <c r="O165" i="8"/>
  <c r="N227" i="8"/>
  <c r="N313" i="8"/>
  <c r="N428" i="8"/>
  <c r="N259" i="8"/>
  <c r="N367" i="8"/>
  <c r="N478" i="8"/>
  <c r="K323" i="3"/>
  <c r="L160" i="10"/>
  <c r="L181" i="10"/>
  <c r="L351" i="10"/>
  <c r="L468" i="10"/>
  <c r="J288" i="10"/>
  <c r="J290" i="10"/>
  <c r="J279" i="10"/>
  <c r="L187" i="10"/>
  <c r="L191" i="10"/>
  <c r="K313" i="3"/>
  <c r="K315" i="3"/>
  <c r="K317" i="3"/>
  <c r="L277" i="3"/>
  <c r="L283" i="3"/>
  <c r="L157" i="3"/>
  <c r="M155" i="3"/>
  <c r="M276" i="3"/>
  <c r="M384" i="3"/>
  <c r="M219" i="3"/>
  <c r="M314" i="3"/>
  <c r="M422" i="3"/>
  <c r="L219" i="3"/>
  <c r="L314" i="3"/>
  <c r="L422" i="3"/>
  <c r="M154" i="3"/>
  <c r="M275" i="3"/>
  <c r="M383" i="3"/>
  <c r="K431" i="3"/>
  <c r="M160" i="3"/>
  <c r="L163" i="3"/>
  <c r="L337" i="3"/>
  <c r="L343" i="3"/>
  <c r="K269" i="3"/>
  <c r="K271" i="3"/>
  <c r="L373" i="3"/>
  <c r="L375" i="3"/>
  <c r="L267" i="3"/>
  <c r="K377" i="3"/>
  <c r="K379" i="3"/>
  <c r="O122" i="3"/>
  <c r="N197" i="3"/>
  <c r="N292" i="3"/>
  <c r="N400" i="3"/>
  <c r="N142" i="3"/>
  <c r="N143" i="3"/>
  <c r="N145" i="3"/>
  <c r="N219" i="3"/>
  <c r="N314" i="3"/>
  <c r="N422" i="3"/>
  <c r="N161" i="3"/>
  <c r="O124" i="3"/>
  <c r="N171" i="3"/>
  <c r="N246" i="3"/>
  <c r="N354" i="3"/>
  <c r="N172" i="3"/>
  <c r="N247" i="3"/>
  <c r="N355" i="3"/>
  <c r="N173" i="3"/>
  <c r="N248" i="3"/>
  <c r="N356" i="3"/>
  <c r="N169" i="3"/>
  <c r="N244" i="3"/>
  <c r="N352" i="3"/>
  <c r="N168" i="3"/>
  <c r="N170" i="3"/>
  <c r="N245" i="3"/>
  <c r="N353" i="3"/>
  <c r="N174" i="3"/>
  <c r="N249" i="3"/>
  <c r="N357" i="3"/>
  <c r="J324" i="3"/>
  <c r="L229" i="3"/>
  <c r="L235" i="3"/>
  <c r="L361" i="3"/>
  <c r="L363" i="3"/>
  <c r="L255" i="3"/>
  <c r="M336" i="3"/>
  <c r="M258" i="3"/>
  <c r="M253" i="3"/>
  <c r="M361" i="3"/>
  <c r="M180" i="3"/>
  <c r="M243" i="3"/>
  <c r="M175" i="3"/>
  <c r="M265" i="3"/>
  <c r="M192" i="3"/>
  <c r="N178" i="3"/>
  <c r="N179" i="3"/>
  <c r="N254" i="3"/>
  <c r="N362" i="3"/>
  <c r="N150" i="3"/>
  <c r="N185" i="3"/>
  <c r="N260" i="3"/>
  <c r="N368" i="3"/>
  <c r="N183" i="3"/>
  <c r="N190" i="3"/>
  <c r="N184" i="3"/>
  <c r="N259" i="3"/>
  <c r="N367" i="3"/>
  <c r="N148" i="3"/>
  <c r="N149" i="3"/>
  <c r="N228" i="3"/>
  <c r="N336" i="3"/>
  <c r="N191" i="3"/>
  <c r="N266" i="3"/>
  <c r="N374" i="3"/>
  <c r="J432" i="3"/>
  <c r="L351" i="3"/>
  <c r="L358" i="3"/>
  <c r="L250" i="3"/>
  <c r="L366" i="3"/>
  <c r="L370" i="3"/>
  <c r="L262" i="3"/>
  <c r="M227" i="3"/>
  <c r="M335" i="3"/>
  <c r="M151" i="3"/>
  <c r="M362" i="3"/>
  <c r="J254" i="10"/>
  <c r="K163" i="10"/>
  <c r="K253" i="10"/>
  <c r="J337" i="10"/>
  <c r="J344" i="10"/>
  <c r="J346" i="10"/>
  <c r="N206" i="10"/>
  <c r="N325" i="10"/>
  <c r="N237" i="10"/>
  <c r="N377" i="10"/>
  <c r="N207" i="10"/>
  <c r="N326" i="10"/>
  <c r="N443" i="10"/>
  <c r="N189" i="10"/>
  <c r="G343" i="9"/>
  <c r="G344" i="9"/>
  <c r="N183" i="10"/>
  <c r="N242" i="10"/>
  <c r="N382" i="10"/>
  <c r="N499" i="10"/>
  <c r="N190" i="10"/>
  <c r="N273" i="10"/>
  <c r="N373" i="10"/>
  <c r="N490" i="10"/>
  <c r="N268" i="10"/>
  <c r="O123" i="10"/>
  <c r="N274" i="10"/>
  <c r="N182" i="10"/>
  <c r="N176" i="10"/>
  <c r="N211" i="10"/>
  <c r="N330" i="10"/>
  <c r="N284" i="10"/>
  <c r="N243" i="10"/>
  <c r="N383" i="10"/>
  <c r="N500" i="10"/>
  <c r="N212" i="10"/>
  <c r="N331" i="10"/>
  <c r="N448" i="10"/>
  <c r="M239" i="10"/>
  <c r="N238" i="10"/>
  <c r="N378" i="10"/>
  <c r="N495" i="10"/>
  <c r="N175" i="10"/>
  <c r="N269" i="10"/>
  <c r="N321" i="10"/>
  <c r="N438" i="10"/>
  <c r="N283" i="10"/>
  <c r="N126" i="10"/>
  <c r="N130" i="10"/>
  <c r="M285" i="10"/>
  <c r="M208" i="10"/>
  <c r="M270" i="10"/>
  <c r="M203" i="10"/>
  <c r="L372" i="9"/>
  <c r="L379" i="9"/>
  <c r="F607" i="6"/>
  <c r="F598" i="6"/>
  <c r="F588" i="6"/>
  <c r="F577" i="6"/>
  <c r="F566" i="6"/>
  <c r="K588" i="6"/>
  <c r="K607" i="6"/>
  <c r="K598" i="6"/>
  <c r="K566" i="6"/>
  <c r="K577" i="6"/>
  <c r="L171" i="6"/>
  <c r="F385" i="3"/>
  <c r="F391" i="3"/>
  <c r="N222" i="5"/>
  <c r="N331" i="5"/>
  <c r="N433" i="5"/>
  <c r="N119" i="5"/>
  <c r="N123" i="5"/>
  <c r="N173" i="5"/>
  <c r="N335" i="5"/>
  <c r="N437" i="5"/>
  <c r="N190" i="5"/>
  <c r="N275" i="5"/>
  <c r="N386" i="5"/>
  <c r="N274" i="5"/>
  <c r="N385" i="5"/>
  <c r="N191" i="5"/>
  <c r="N276" i="5"/>
  <c r="N387" i="5"/>
  <c r="N280" i="5"/>
  <c r="N391" i="5"/>
  <c r="N221" i="5"/>
  <c r="N330" i="5"/>
  <c r="N329" i="5"/>
  <c r="N431" i="5"/>
  <c r="N270" i="5"/>
  <c r="N381" i="5"/>
  <c r="O116" i="5"/>
  <c r="N325" i="5"/>
  <c r="N427" i="5"/>
  <c r="N167" i="5"/>
  <c r="G336" i="6"/>
  <c r="M192" i="5"/>
  <c r="M223" i="5"/>
  <c r="K168" i="5"/>
  <c r="J457" i="9"/>
  <c r="G427" i="7"/>
  <c r="G429" i="7"/>
  <c r="F453" i="9"/>
  <c r="M197" i="6"/>
  <c r="N181" i="6"/>
  <c r="N236" i="6"/>
  <c r="N373" i="6"/>
  <c r="N488" i="6"/>
  <c r="N206" i="6"/>
  <c r="N322" i="6"/>
  <c r="N437" i="6"/>
  <c r="N266" i="6"/>
  <c r="L479" i="6"/>
  <c r="L364" i="6"/>
  <c r="M257" i="6"/>
  <c r="M227" i="6"/>
  <c r="M186" i="5"/>
  <c r="M217" i="5"/>
  <c r="J469" i="10"/>
  <c r="J476" i="10"/>
  <c r="J519" i="10"/>
  <c r="J402" i="9"/>
  <c r="N211" i="3"/>
  <c r="N213" i="3"/>
  <c r="N308" i="3"/>
  <c r="N416" i="3"/>
  <c r="N212" i="3"/>
  <c r="N307" i="3"/>
  <c r="N415" i="3"/>
  <c r="M203" i="3"/>
  <c r="M234" i="10"/>
  <c r="M265" i="10"/>
  <c r="M183" i="9"/>
  <c r="N178" i="9"/>
  <c r="N259" i="9"/>
  <c r="N374" i="9"/>
  <c r="N192" i="9"/>
  <c r="N273" i="9"/>
  <c r="N388" i="9"/>
  <c r="N222" i="9"/>
  <c r="N324" i="9"/>
  <c r="N439" i="9"/>
  <c r="M308" i="9"/>
  <c r="M315" i="9"/>
  <c r="M213" i="9"/>
  <c r="M221" i="9"/>
  <c r="M323" i="9"/>
  <c r="M438" i="9"/>
  <c r="L423" i="9"/>
  <c r="L430" i="9"/>
  <c r="L315" i="9"/>
  <c r="F287" i="9"/>
  <c r="I444" i="9"/>
  <c r="I451" i="9"/>
  <c r="M214" i="8"/>
  <c r="L330" i="8"/>
  <c r="L445" i="8"/>
  <c r="L446" i="8"/>
  <c r="L454" i="8"/>
  <c r="I453" i="7"/>
  <c r="I454" i="7"/>
  <c r="L191" i="7"/>
  <c r="L634" i="7"/>
  <c r="M635" i="7"/>
  <c r="O637" i="7"/>
  <c r="K633" i="7"/>
  <c r="K638" i="7"/>
  <c r="K643" i="7"/>
  <c r="N636" i="7"/>
  <c r="M177" i="7"/>
  <c r="N186" i="7"/>
  <c r="N303" i="7"/>
  <c r="N407" i="7"/>
  <c r="N216" i="7"/>
  <c r="N354" i="7"/>
  <c r="N449" i="7"/>
  <c r="L341" i="4"/>
  <c r="L223" i="4"/>
  <c r="M201" i="4"/>
  <c r="M337" i="4"/>
  <c r="M440" i="4"/>
  <c r="M221" i="4"/>
  <c r="M357" i="4"/>
  <c r="K258" i="4"/>
  <c r="L205" i="4"/>
  <c r="J357" i="4"/>
  <c r="J460" i="4"/>
  <c r="J462" i="4"/>
  <c r="K259" i="4"/>
  <c r="N149" i="4"/>
  <c r="O126" i="4"/>
  <c r="M230" i="4"/>
  <c r="K357" i="4"/>
  <c r="K223" i="4"/>
  <c r="I361" i="4"/>
  <c r="I368" i="4"/>
  <c r="J440" i="4"/>
  <c r="J444" i="4"/>
  <c r="J341" i="4"/>
  <c r="J257" i="4"/>
  <c r="J258" i="4"/>
  <c r="I259" i="4"/>
  <c r="F387" i="4"/>
  <c r="F420" i="4"/>
  <c r="M176" i="4"/>
  <c r="L268" i="4"/>
  <c r="L379" i="4"/>
  <c r="I387" i="4"/>
  <c r="I420" i="4"/>
  <c r="G387" i="4"/>
  <c r="G420" i="4"/>
  <c r="H387" i="4"/>
  <c r="H420" i="4"/>
  <c r="N213" i="4"/>
  <c r="N214" i="4"/>
  <c r="N350" i="4"/>
  <c r="N453" i="4"/>
  <c r="N184" i="4"/>
  <c r="N226" i="8"/>
  <c r="N312" i="8"/>
  <c r="N427" i="8"/>
  <c r="N258" i="8"/>
  <c r="N366" i="8"/>
  <c r="N477" i="8"/>
  <c r="N223" i="8"/>
  <c r="N309" i="8"/>
  <c r="N424" i="8"/>
  <c r="N255" i="8"/>
  <c r="N363" i="8"/>
  <c r="N474" i="8"/>
  <c r="M222" i="8"/>
  <c r="M308" i="8"/>
  <c r="M423" i="8"/>
  <c r="F343" i="9"/>
  <c r="F344" i="9"/>
  <c r="M148" i="7"/>
  <c r="M162" i="7"/>
  <c r="M322" i="7"/>
  <c r="M426" i="7"/>
  <c r="J226" i="7"/>
  <c r="N181" i="8"/>
  <c r="J456" i="5"/>
  <c r="H457" i="5"/>
  <c r="H458" i="5"/>
  <c r="F458" i="5"/>
  <c r="G457" i="5"/>
  <c r="G458" i="5"/>
  <c r="L192" i="4"/>
  <c r="L307" i="4"/>
  <c r="L309" i="4"/>
  <c r="M146" i="4"/>
  <c r="M192" i="4"/>
  <c r="M156" i="4"/>
  <c r="M268" i="4"/>
  <c r="M379" i="4"/>
  <c r="N157" i="4"/>
  <c r="L166" i="5"/>
  <c r="L246" i="5"/>
  <c r="L366" i="5"/>
  <c r="F452" i="5"/>
  <c r="F355" i="5"/>
  <c r="F356" i="5"/>
  <c r="F350" i="5"/>
  <c r="M330" i="8"/>
  <c r="M445" i="8"/>
  <c r="L195" i="8"/>
  <c r="L385" i="3"/>
  <c r="L391" i="3"/>
  <c r="I277" i="3"/>
  <c r="I283" i="3"/>
  <c r="I323" i="3"/>
  <c r="I383" i="3"/>
  <c r="I385" i="3"/>
  <c r="I391" i="3"/>
  <c r="I431" i="3"/>
  <c r="F277" i="3"/>
  <c r="F283" i="3"/>
  <c r="F323" i="3"/>
  <c r="J277" i="3"/>
  <c r="J283" i="3"/>
  <c r="J323" i="3"/>
  <c r="J383" i="3"/>
  <c r="J385" i="3"/>
  <c r="J391" i="3"/>
  <c r="J431" i="3"/>
  <c r="H277" i="3"/>
  <c r="H283" i="3"/>
  <c r="H323" i="3"/>
  <c r="H383" i="3"/>
  <c r="H385" i="3"/>
  <c r="H391" i="3"/>
  <c r="H431" i="3"/>
  <c r="G277" i="3"/>
  <c r="G283" i="3"/>
  <c r="G323" i="3"/>
  <c r="G384" i="3"/>
  <c r="G385" i="3"/>
  <c r="G391" i="3"/>
  <c r="J388" i="10"/>
  <c r="J389" i="10"/>
  <c r="J457" i="10"/>
  <c r="J459" i="10"/>
  <c r="L369" i="8"/>
  <c r="L480" i="8"/>
  <c r="M276" i="8"/>
  <c r="M395" i="8"/>
  <c r="G396" i="8"/>
  <c r="G404" i="8"/>
  <c r="J358" i="7"/>
  <c r="J453" i="7"/>
  <c r="J454" i="7"/>
  <c r="N144" i="7"/>
  <c r="N190" i="7"/>
  <c r="N307" i="7"/>
  <c r="N411" i="7"/>
  <c r="N155" i="7"/>
  <c r="N271" i="7"/>
  <c r="N384" i="7"/>
  <c r="O144" i="7"/>
  <c r="M190" i="7"/>
  <c r="M307" i="7"/>
  <c r="M411" i="7"/>
  <c r="N154" i="7"/>
  <c r="N270" i="7"/>
  <c r="N157" i="7"/>
  <c r="N185" i="7"/>
  <c r="N156" i="7"/>
  <c r="F423" i="8"/>
  <c r="F431" i="8"/>
  <c r="F438" i="8"/>
  <c r="K396" i="8"/>
  <c r="K404" i="8"/>
  <c r="J427" i="7"/>
  <c r="J429" i="7"/>
  <c r="H423" i="8"/>
  <c r="H431" i="8"/>
  <c r="H438" i="8"/>
  <c r="L385" i="7"/>
  <c r="L387" i="7"/>
  <c r="K423" i="8"/>
  <c r="I423" i="8"/>
  <c r="I431" i="8"/>
  <c r="I438" i="8"/>
  <c r="G423" i="8"/>
  <c r="G431" i="8"/>
  <c r="G438" i="8"/>
  <c r="L423" i="8"/>
  <c r="H427" i="7"/>
  <c r="H429" i="7"/>
  <c r="J385" i="7"/>
  <c r="J387" i="7"/>
  <c r="J396" i="8"/>
  <c r="J404" i="8"/>
  <c r="F396" i="8"/>
  <c r="F404" i="8"/>
  <c r="F427" i="7"/>
  <c r="F429" i="7"/>
  <c r="H385" i="7"/>
  <c r="H387" i="7"/>
  <c r="K446" i="8"/>
  <c r="K454" i="8"/>
  <c r="F385" i="7"/>
  <c r="F387" i="7"/>
  <c r="I385" i="7"/>
  <c r="I387" i="7"/>
  <c r="G385" i="7"/>
  <c r="G387" i="7"/>
  <c r="H406" i="7"/>
  <c r="H412" i="7"/>
  <c r="H419" i="7"/>
  <c r="I406" i="7"/>
  <c r="I412" i="7"/>
  <c r="I419" i="7"/>
  <c r="J406" i="7"/>
  <c r="J412" i="7"/>
  <c r="J419" i="7"/>
  <c r="G406" i="7"/>
  <c r="G412" i="7"/>
  <c r="G419" i="7"/>
  <c r="F406" i="7"/>
  <c r="F412" i="7"/>
  <c r="F419" i="7"/>
  <c r="F473" i="8"/>
  <c r="F481" i="8"/>
  <c r="G473" i="8"/>
  <c r="G481" i="8"/>
  <c r="H473" i="8"/>
  <c r="H481" i="8"/>
  <c r="J473" i="8"/>
  <c r="J481" i="8"/>
  <c r="I473" i="8"/>
  <c r="I481" i="8"/>
  <c r="I519" i="10"/>
  <c r="H519" i="10"/>
  <c r="F519" i="10"/>
  <c r="G519" i="10"/>
  <c r="F447" i="10"/>
  <c r="F454" i="10"/>
  <c r="F461" i="10"/>
  <c r="F463" i="10"/>
  <c r="G447" i="10"/>
  <c r="G454" i="10"/>
  <c r="G461" i="10"/>
  <c r="G463" i="10"/>
  <c r="J447" i="10"/>
  <c r="J454" i="10"/>
  <c r="J461" i="10"/>
  <c r="J463" i="10"/>
  <c r="H447" i="10"/>
  <c r="H454" i="10"/>
  <c r="H461" i="10"/>
  <c r="H463" i="10"/>
  <c r="I447" i="10"/>
  <c r="I454" i="10"/>
  <c r="I461" i="10"/>
  <c r="I463" i="10"/>
  <c r="G499" i="10"/>
  <c r="G506" i="10"/>
  <c r="G513" i="10"/>
  <c r="G515" i="10"/>
  <c r="H499" i="10"/>
  <c r="H506" i="10"/>
  <c r="H513" i="10"/>
  <c r="H515" i="10"/>
  <c r="F506" i="10"/>
  <c r="F513" i="10"/>
  <c r="F515" i="10"/>
  <c r="J499" i="10"/>
  <c r="L499" i="10"/>
  <c r="I499" i="10"/>
  <c r="I506" i="10"/>
  <c r="I513" i="10"/>
  <c r="I515" i="10"/>
  <c r="G458" i="9"/>
  <c r="G459" i="9"/>
  <c r="G469" i="9"/>
  <c r="K400" i="9"/>
  <c r="K402" i="9"/>
  <c r="K334" i="6"/>
  <c r="K336" i="6"/>
  <c r="K285" i="9"/>
  <c r="F387" i="6"/>
  <c r="O158" i="5"/>
  <c r="O152" i="5"/>
  <c r="O153" i="5"/>
  <c r="K557" i="6"/>
  <c r="K539" i="6"/>
  <c r="F548" i="6"/>
  <c r="K548" i="6"/>
  <c r="F557" i="6"/>
  <c r="H452" i="5"/>
  <c r="L149" i="5"/>
  <c r="L155" i="5"/>
  <c r="L236" i="5"/>
  <c r="L174" i="5"/>
  <c r="H355" i="5"/>
  <c r="H356" i="5"/>
  <c r="F527" i="5"/>
  <c r="I471" i="4"/>
  <c r="J420" i="4"/>
  <c r="J262" i="7"/>
  <c r="K235" i="8"/>
  <c r="L446" i="6"/>
  <c r="F403" i="10"/>
  <c r="F404" i="10"/>
  <c r="L405" i="6"/>
  <c r="K447" i="6"/>
  <c r="K223" i="10"/>
  <c r="F458" i="9"/>
  <c r="F459" i="9"/>
  <c r="G470" i="9"/>
  <c r="F471" i="4"/>
  <c r="M177" i="10"/>
  <c r="L216" i="6"/>
  <c r="N175" i="6"/>
  <c r="N341" i="6"/>
  <c r="N456" i="6"/>
  <c r="H325" i="8"/>
  <c r="N185" i="8"/>
  <c r="N188" i="8"/>
  <c r="O184" i="8"/>
  <c r="O185" i="8"/>
  <c r="O188" i="8"/>
  <c r="I336" i="9"/>
  <c r="I338" i="9"/>
  <c r="N206" i="9"/>
  <c r="N217" i="8"/>
  <c r="N299" i="8"/>
  <c r="N414" i="8"/>
  <c r="N250" i="8"/>
  <c r="N358" i="8"/>
  <c r="N469" i="8"/>
  <c r="N126" i="8"/>
  <c r="N130" i="8"/>
  <c r="N260" i="8"/>
  <c r="N368" i="8"/>
  <c r="N479" i="8"/>
  <c r="N249" i="8"/>
  <c r="N218" i="8"/>
  <c r="N304" i="8"/>
  <c r="N419" i="8"/>
  <c r="N353" i="8"/>
  <c r="N464" i="8"/>
  <c r="O123" i="8"/>
  <c r="O173" i="8"/>
  <c r="O175" i="8"/>
  <c r="O159" i="8"/>
  <c r="O162" i="8"/>
  <c r="O233" i="8"/>
  <c r="M329" i="8"/>
  <c r="M362" i="8"/>
  <c r="M303" i="8"/>
  <c r="M219" i="8"/>
  <c r="L473" i="8"/>
  <c r="M251" i="8"/>
  <c r="M357" i="8"/>
  <c r="L418" i="8"/>
  <c r="L420" i="8"/>
  <c r="L305" i="8"/>
  <c r="L468" i="8"/>
  <c r="L470" i="8"/>
  <c r="L359" i="8"/>
  <c r="L336" i="10"/>
  <c r="L453" i="10"/>
  <c r="H403" i="10"/>
  <c r="H404" i="10"/>
  <c r="L211" i="6"/>
  <c r="L246" i="6"/>
  <c r="J313" i="4"/>
  <c r="L170" i="10"/>
  <c r="L289" i="10"/>
  <c r="G396" i="10"/>
  <c r="G398" i="10"/>
  <c r="M156" i="10"/>
  <c r="M217" i="10"/>
  <c r="N209" i="9"/>
  <c r="N311" i="9"/>
  <c r="N426" i="9"/>
  <c r="N179" i="9"/>
  <c r="N260" i="9"/>
  <c r="N375" i="9"/>
  <c r="H506" i="6"/>
  <c r="N174" i="6"/>
  <c r="N340" i="6"/>
  <c r="N455" i="6"/>
  <c r="N182" i="6"/>
  <c r="M168" i="6"/>
  <c r="M290" i="6"/>
  <c r="M405" i="6"/>
  <c r="M386" i="5"/>
  <c r="M388" i="5"/>
  <c r="M277" i="5"/>
  <c r="M432" i="5"/>
  <c r="M434" i="5"/>
  <c r="M332" i="5"/>
  <c r="L484" i="10"/>
  <c r="L491" i="10"/>
  <c r="O153" i="10"/>
  <c r="L217" i="10"/>
  <c r="L218" i="10"/>
  <c r="L222" i="10"/>
  <c r="L221" i="10"/>
  <c r="N173" i="10"/>
  <c r="N153" i="10"/>
  <c r="N174" i="10"/>
  <c r="N299" i="10"/>
  <c r="N416" i="10"/>
  <c r="O138" i="10"/>
  <c r="N261" i="10"/>
  <c r="N197" i="10"/>
  <c r="N316" i="10"/>
  <c r="N433" i="10"/>
  <c r="N263" i="10"/>
  <c r="N260" i="10"/>
  <c r="N259" i="10"/>
  <c r="N262" i="10"/>
  <c r="N200" i="10"/>
  <c r="N319" i="10"/>
  <c r="N436" i="10"/>
  <c r="N199" i="10"/>
  <c r="N318" i="10"/>
  <c r="N435" i="10"/>
  <c r="N198" i="10"/>
  <c r="N317" i="10"/>
  <c r="N434" i="10"/>
  <c r="N258" i="10"/>
  <c r="N196" i="10"/>
  <c r="N232" i="10"/>
  <c r="N372" i="10"/>
  <c r="N489" i="10"/>
  <c r="N201" i="10"/>
  <c r="N320" i="10"/>
  <c r="N437" i="10"/>
  <c r="N229" i="10"/>
  <c r="N369" i="10"/>
  <c r="N486" i="10"/>
  <c r="N230" i="10"/>
  <c r="N370" i="10"/>
  <c r="N487" i="10"/>
  <c r="N228" i="10"/>
  <c r="N368" i="10"/>
  <c r="N485" i="10"/>
  <c r="N231" i="10"/>
  <c r="N371" i="10"/>
  <c r="N488" i="10"/>
  <c r="N227" i="10"/>
  <c r="N208" i="9"/>
  <c r="N310" i="9"/>
  <c r="N425" i="9"/>
  <c r="N177" i="9"/>
  <c r="N258" i="9"/>
  <c r="N373" i="9"/>
  <c r="N180" i="9"/>
  <c r="N261" i="9"/>
  <c r="N376" i="9"/>
  <c r="N211" i="9"/>
  <c r="N313" i="9"/>
  <c r="N428" i="9"/>
  <c r="N207" i="9"/>
  <c r="N309" i="9"/>
  <c r="N424" i="9"/>
  <c r="N181" i="9"/>
  <c r="N262" i="9"/>
  <c r="N377" i="9"/>
  <c r="N210" i="9"/>
  <c r="N312" i="9"/>
  <c r="N427" i="9"/>
  <c r="N176" i="9"/>
  <c r="M293" i="8"/>
  <c r="M300" i="8"/>
  <c r="M347" i="8"/>
  <c r="O138" i="8"/>
  <c r="N207" i="8"/>
  <c r="N212" i="8"/>
  <c r="N298" i="8"/>
  <c r="N413" i="8"/>
  <c r="N240" i="8"/>
  <c r="N348" i="8"/>
  <c r="N459" i="8"/>
  <c r="N241" i="8"/>
  <c r="N349" i="8"/>
  <c r="N460" i="8"/>
  <c r="N208" i="8"/>
  <c r="N294" i="8"/>
  <c r="N409" i="8"/>
  <c r="N242" i="8"/>
  <c r="N350" i="8"/>
  <c r="N461" i="8"/>
  <c r="N209" i="8"/>
  <c r="N295" i="8"/>
  <c r="N410" i="8"/>
  <c r="N243" i="8"/>
  <c r="N351" i="8"/>
  <c r="N462" i="8"/>
  <c r="N211" i="8"/>
  <c r="N297" i="8"/>
  <c r="N412" i="8"/>
  <c r="N239" i="8"/>
  <c r="N210" i="8"/>
  <c r="N296" i="8"/>
  <c r="N411" i="8"/>
  <c r="L458" i="8"/>
  <c r="L408" i="8"/>
  <c r="L415" i="8"/>
  <c r="M158" i="7"/>
  <c r="G317" i="7"/>
  <c r="M215" i="6"/>
  <c r="M331" i="6"/>
  <c r="M341" i="10"/>
  <c r="M458" i="10"/>
  <c r="M210" i="6"/>
  <c r="M326" i="6"/>
  <c r="M388" i="10"/>
  <c r="M505" i="10"/>
  <c r="M214" i="6"/>
  <c r="M330" i="6"/>
  <c r="N157" i="6"/>
  <c r="N244" i="6"/>
  <c r="O147" i="6"/>
  <c r="O150" i="6"/>
  <c r="M280" i="6"/>
  <c r="L241" i="6"/>
  <c r="G344" i="10"/>
  <c r="F506" i="6"/>
  <c r="M162" i="5"/>
  <c r="G355" i="5"/>
  <c r="G356" i="5"/>
  <c r="N159" i="5"/>
  <c r="O144" i="4"/>
  <c r="N144" i="4"/>
  <c r="O136" i="10"/>
  <c r="N166" i="10"/>
  <c r="N159" i="10"/>
  <c r="J509" i="10"/>
  <c r="J511" i="10"/>
  <c r="J394" i="10"/>
  <c r="M167" i="10"/>
  <c r="M188" i="10"/>
  <c r="M187" i="10"/>
  <c r="J402" i="10"/>
  <c r="K289" i="10"/>
  <c r="K288" i="10"/>
  <c r="K279" i="10"/>
  <c r="M160" i="10"/>
  <c r="M181" i="10"/>
  <c r="M180" i="10"/>
  <c r="L350" i="10"/>
  <c r="I346" i="10"/>
  <c r="M257" i="9"/>
  <c r="M264" i="9"/>
  <c r="M281" i="9"/>
  <c r="M202" i="9"/>
  <c r="M318" i="9"/>
  <c r="M218" i="9"/>
  <c r="O120" i="9"/>
  <c r="N187" i="9"/>
  <c r="N268" i="9"/>
  <c r="N383" i="9"/>
  <c r="N186" i="9"/>
  <c r="N123" i="9"/>
  <c r="N127" i="9"/>
  <c r="N162" i="9"/>
  <c r="N314" i="9"/>
  <c r="N429" i="9"/>
  <c r="N169" i="9"/>
  <c r="N163" i="9"/>
  <c r="N191" i="9"/>
  <c r="N263" i="9"/>
  <c r="N378" i="9"/>
  <c r="N217" i="9"/>
  <c r="N319" i="9"/>
  <c r="N434" i="9"/>
  <c r="N201" i="9"/>
  <c r="N282" i="9"/>
  <c r="N397" i="9"/>
  <c r="N200" i="9"/>
  <c r="N216" i="9"/>
  <c r="N160" i="9"/>
  <c r="N161" i="9"/>
  <c r="N241" i="9"/>
  <c r="N356" i="9"/>
  <c r="N170" i="9"/>
  <c r="N196" i="9"/>
  <c r="N277" i="9"/>
  <c r="N392" i="9"/>
  <c r="M272" i="9"/>
  <c r="M267" i="9"/>
  <c r="M188" i="9"/>
  <c r="L242" i="9"/>
  <c r="L249" i="9"/>
  <c r="L355" i="9"/>
  <c r="L357" i="9"/>
  <c r="L364" i="9"/>
  <c r="L396" i="9"/>
  <c r="L398" i="9"/>
  <c r="L283" i="9"/>
  <c r="L433" i="9"/>
  <c r="L435" i="9"/>
  <c r="L320" i="9"/>
  <c r="L269" i="9"/>
  <c r="L382" i="9"/>
  <c r="L384" i="9"/>
  <c r="M240" i="9"/>
  <c r="M164" i="9"/>
  <c r="L387" i="9"/>
  <c r="L393" i="9"/>
  <c r="L278" i="9"/>
  <c r="M275" i="8"/>
  <c r="K430" i="8"/>
  <c r="K316" i="8"/>
  <c r="K434" i="8"/>
  <c r="K436" i="8"/>
  <c r="K321" i="8"/>
  <c r="J316" i="8"/>
  <c r="J430" i="8"/>
  <c r="J431" i="8"/>
  <c r="L277" i="8"/>
  <c r="L285" i="8"/>
  <c r="L394" i="8"/>
  <c r="L396" i="8"/>
  <c r="L404" i="8"/>
  <c r="L320" i="8"/>
  <c r="L435" i="8"/>
  <c r="J321" i="8"/>
  <c r="J434" i="8"/>
  <c r="J436" i="8"/>
  <c r="L261" i="7"/>
  <c r="F325" i="8"/>
  <c r="L391" i="7"/>
  <c r="L398" i="7"/>
  <c r="M195" i="7"/>
  <c r="M312" i="7"/>
  <c r="M416" i="7"/>
  <c r="M302" i="7"/>
  <c r="M353" i="7"/>
  <c r="L321" i="7"/>
  <c r="L165" i="7"/>
  <c r="L311" i="7"/>
  <c r="L196" i="7"/>
  <c r="J364" i="7"/>
  <c r="J457" i="7"/>
  <c r="J459" i="7"/>
  <c r="L443" i="7"/>
  <c r="L445" i="7"/>
  <c r="L350" i="7"/>
  <c r="L448" i="7"/>
  <c r="M242" i="7"/>
  <c r="M297" i="7"/>
  <c r="M182" i="7"/>
  <c r="L433" i="7"/>
  <c r="I325" i="8"/>
  <c r="J317" i="7"/>
  <c r="M237" i="7"/>
  <c r="M161" i="7"/>
  <c r="K323" i="7"/>
  <c r="K330" i="7"/>
  <c r="K425" i="7"/>
  <c r="K427" i="7"/>
  <c r="K429" i="7"/>
  <c r="M194" i="7"/>
  <c r="M212" i="7"/>
  <c r="M348" i="7"/>
  <c r="N181" i="7"/>
  <c r="N298" i="7"/>
  <c r="N402" i="7"/>
  <c r="N344" i="7"/>
  <c r="N439" i="7"/>
  <c r="N246" i="7"/>
  <c r="N250" i="7"/>
  <c r="O115" i="7"/>
  <c r="N210" i="7"/>
  <c r="N241" i="7"/>
  <c r="N211" i="7"/>
  <c r="N349" i="7"/>
  <c r="N444" i="7"/>
  <c r="N293" i="7"/>
  <c r="N397" i="7"/>
  <c r="N245" i="7"/>
  <c r="N118" i="7"/>
  <c r="N122" i="7"/>
  <c r="N256" i="7"/>
  <c r="N248" i="7"/>
  <c r="N195" i="7"/>
  <c r="N312" i="7"/>
  <c r="N416" i="7"/>
  <c r="N255" i="7"/>
  <c r="N163" i="7"/>
  <c r="N180" i="7"/>
  <c r="N240" i="7"/>
  <c r="N247" i="7"/>
  <c r="N194" i="7"/>
  <c r="N164" i="7"/>
  <c r="N215" i="7"/>
  <c r="J372" i="7"/>
  <c r="L401" i="7"/>
  <c r="L403" i="7"/>
  <c r="L299" i="7"/>
  <c r="K251" i="7"/>
  <c r="K261" i="7"/>
  <c r="K260" i="7"/>
  <c r="M287" i="7"/>
  <c r="M294" i="7"/>
  <c r="O128" i="7"/>
  <c r="N147" i="7"/>
  <c r="L308" i="7"/>
  <c r="L406" i="7"/>
  <c r="L412" i="7"/>
  <c r="M257" i="7"/>
  <c r="L151" i="7"/>
  <c r="K220" i="7"/>
  <c r="K224" i="7"/>
  <c r="K225" i="7"/>
  <c r="K363" i="7"/>
  <c r="K458" i="7"/>
  <c r="N234" i="7"/>
  <c r="N205" i="7"/>
  <c r="N343" i="7"/>
  <c r="N438" i="7"/>
  <c r="N170" i="7"/>
  <c r="N173" i="7"/>
  <c r="N290" i="7"/>
  <c r="N394" i="7"/>
  <c r="N204" i="7"/>
  <c r="N342" i="7"/>
  <c r="N437" i="7"/>
  <c r="N231" i="7"/>
  <c r="N230" i="7"/>
  <c r="N236" i="7"/>
  <c r="N175" i="7"/>
  <c r="N292" i="7"/>
  <c r="N396" i="7"/>
  <c r="N171" i="7"/>
  <c r="N288" i="7"/>
  <c r="N392" i="7"/>
  <c r="N174" i="7"/>
  <c r="N291" i="7"/>
  <c r="N395" i="7"/>
  <c r="N201" i="7"/>
  <c r="N339" i="7"/>
  <c r="N434" i="7"/>
  <c r="N200" i="7"/>
  <c r="N233" i="7"/>
  <c r="N202" i="7"/>
  <c r="N340" i="7"/>
  <c r="N435" i="7"/>
  <c r="N232" i="7"/>
  <c r="O130" i="7"/>
  <c r="N235" i="7"/>
  <c r="N172" i="7"/>
  <c r="N289" i="7"/>
  <c r="N393" i="7"/>
  <c r="M338" i="7"/>
  <c r="M272" i="7"/>
  <c r="M279" i="7"/>
  <c r="M383" i="7"/>
  <c r="M385" i="7"/>
  <c r="M387" i="7"/>
  <c r="K327" i="10"/>
  <c r="K442" i="10"/>
  <c r="K444" i="10"/>
  <c r="L315" i="10"/>
  <c r="L322" i="10"/>
  <c r="L421" i="6"/>
  <c r="L428" i="6"/>
  <c r="K415" i="10"/>
  <c r="K417" i="10"/>
  <c r="K424" i="10"/>
  <c r="K300" i="10"/>
  <c r="K307" i="10"/>
  <c r="N164" i="6"/>
  <c r="N270" i="6"/>
  <c r="K432" i="10"/>
  <c r="K439" i="10"/>
  <c r="M372" i="6"/>
  <c r="M321" i="10"/>
  <c r="M438" i="10"/>
  <c r="M373" i="10"/>
  <c r="M490" i="10"/>
  <c r="M427" i="6"/>
  <c r="M289" i="6"/>
  <c r="M437" i="6"/>
  <c r="M331" i="10"/>
  <c r="M448" i="10"/>
  <c r="M383" i="10"/>
  <c r="M500" i="10"/>
  <c r="L482" i="6"/>
  <c r="L484" i="6"/>
  <c r="L369" i="6"/>
  <c r="L383" i="6"/>
  <c r="L496" i="6"/>
  <c r="L498" i="6"/>
  <c r="K389" i="10"/>
  <c r="K499" i="10"/>
  <c r="K506" i="10"/>
  <c r="K379" i="10"/>
  <c r="K494" i="10"/>
  <c r="K496" i="10"/>
  <c r="M381" i="6"/>
  <c r="M246" i="6"/>
  <c r="K467" i="10"/>
  <c r="K469" i="10"/>
  <c r="K476" i="10"/>
  <c r="K352" i="10"/>
  <c r="K359" i="10"/>
  <c r="M340" i="6"/>
  <c r="M178" i="6"/>
  <c r="M262" i="6"/>
  <c r="M357" i="6"/>
  <c r="M364" i="6"/>
  <c r="M425" i="6"/>
  <c r="M319" i="10"/>
  <c r="M436" i="10"/>
  <c r="M371" i="10"/>
  <c r="M488" i="10"/>
  <c r="M316" i="6"/>
  <c r="M202" i="6"/>
  <c r="M276" i="6"/>
  <c r="N274" i="6"/>
  <c r="N200" i="6"/>
  <c r="N230" i="6"/>
  <c r="N167" i="6"/>
  <c r="O120" i="6"/>
  <c r="N201" i="6"/>
  <c r="N317" i="6"/>
  <c r="N432" i="6"/>
  <c r="N231" i="6"/>
  <c r="N368" i="6"/>
  <c r="N483" i="6"/>
  <c r="N170" i="6"/>
  <c r="N205" i="6"/>
  <c r="N123" i="6"/>
  <c r="N127" i="6"/>
  <c r="N215" i="6"/>
  <c r="N331" i="6"/>
  <c r="N446" i="6"/>
  <c r="N275" i="6"/>
  <c r="N190" i="6"/>
  <c r="N214" i="6"/>
  <c r="N221" i="6"/>
  <c r="N358" i="6"/>
  <c r="N473" i="6"/>
  <c r="N224" i="6"/>
  <c r="N361" i="6"/>
  <c r="N476" i="6"/>
  <c r="N193" i="6"/>
  <c r="N309" i="6"/>
  <c r="N424" i="6"/>
  <c r="N192" i="6"/>
  <c r="N308" i="6"/>
  <c r="N423" i="6"/>
  <c r="N169" i="6"/>
  <c r="N363" i="6"/>
  <c r="N478" i="6"/>
  <c r="N220" i="6"/>
  <c r="N312" i="6"/>
  <c r="N427" i="6"/>
  <c r="N210" i="6"/>
  <c r="N326" i="6"/>
  <c r="N441" i="6"/>
  <c r="N225" i="6"/>
  <c r="N362" i="6"/>
  <c r="N477" i="6"/>
  <c r="N223" i="6"/>
  <c r="N222" i="6"/>
  <c r="N359" i="6"/>
  <c r="N474" i="6"/>
  <c r="N191" i="6"/>
  <c r="N307" i="6"/>
  <c r="N422" i="6"/>
  <c r="N195" i="6"/>
  <c r="N311" i="6"/>
  <c r="N426" i="6"/>
  <c r="N194" i="6"/>
  <c r="N310" i="6"/>
  <c r="N425" i="6"/>
  <c r="N168" i="6"/>
  <c r="N290" i="6"/>
  <c r="N405" i="6"/>
  <c r="N255" i="6"/>
  <c r="N250" i="6"/>
  <c r="N177" i="6"/>
  <c r="N235" i="6"/>
  <c r="N260" i="6"/>
  <c r="N252" i="6"/>
  <c r="N253" i="6"/>
  <c r="N261" i="6"/>
  <c r="N251" i="6"/>
  <c r="N254" i="6"/>
  <c r="N176" i="6"/>
  <c r="N184" i="6"/>
  <c r="N265" i="6"/>
  <c r="N183" i="6"/>
  <c r="L330" i="10"/>
  <c r="L327" i="6"/>
  <c r="O161" i="6"/>
  <c r="O164" i="6"/>
  <c r="L298" i="10"/>
  <c r="L291" i="6"/>
  <c r="L298" i="6"/>
  <c r="L391" i="6"/>
  <c r="L404" i="6"/>
  <c r="I398" i="10"/>
  <c r="I403" i="10"/>
  <c r="I404" i="10"/>
  <c r="J385" i="6"/>
  <c r="J392" i="6"/>
  <c r="M306" i="6"/>
  <c r="M313" i="6"/>
  <c r="M432" i="6"/>
  <c r="M326" i="10"/>
  <c r="M443" i="10"/>
  <c r="M378" i="10"/>
  <c r="M495" i="10"/>
  <c r="M321" i="6"/>
  <c r="L445" i="6"/>
  <c r="L332" i="6"/>
  <c r="L340" i="10"/>
  <c r="K509" i="10"/>
  <c r="K511" i="10"/>
  <c r="K394" i="10"/>
  <c r="L378" i="6"/>
  <c r="O154" i="6"/>
  <c r="O157" i="6"/>
  <c r="M185" i="6"/>
  <c r="K385" i="6"/>
  <c r="K484" i="10"/>
  <c r="K491" i="10"/>
  <c r="M279" i="6"/>
  <c r="M316" i="10"/>
  <c r="M433" i="10"/>
  <c r="M368" i="10"/>
  <c r="M485" i="10"/>
  <c r="M422" i="6"/>
  <c r="M318" i="10"/>
  <c r="M435" i="10"/>
  <c r="M424" i="6"/>
  <c r="M370" i="10"/>
  <c r="M487" i="10"/>
  <c r="M369" i="10"/>
  <c r="M486" i="10"/>
  <c r="M317" i="10"/>
  <c r="M434" i="10"/>
  <c r="M423" i="6"/>
  <c r="M372" i="10"/>
  <c r="M489" i="10"/>
  <c r="M426" i="6"/>
  <c r="M320" i="10"/>
  <c r="M437" i="10"/>
  <c r="M367" i="6"/>
  <c r="M232" i="6"/>
  <c r="L325" i="10"/>
  <c r="L431" i="6"/>
  <c r="L433" i="6"/>
  <c r="L318" i="6"/>
  <c r="K447" i="10"/>
  <c r="K454" i="10"/>
  <c r="K337" i="10"/>
  <c r="K457" i="10"/>
  <c r="K459" i="10"/>
  <c r="K342" i="10"/>
  <c r="K304" i="5"/>
  <c r="K311" i="5"/>
  <c r="K410" i="5"/>
  <c r="K415" i="5"/>
  <c r="K417" i="5"/>
  <c r="L375" i="5"/>
  <c r="L382" i="5"/>
  <c r="L421" i="5"/>
  <c r="L428" i="5"/>
  <c r="J354" i="5"/>
  <c r="I346" i="5"/>
  <c r="I446" i="5"/>
  <c r="I448" i="5"/>
  <c r="O127" i="5"/>
  <c r="N146" i="5"/>
  <c r="M264" i="5"/>
  <c r="M271" i="5"/>
  <c r="J344" i="5"/>
  <c r="J237" i="5"/>
  <c r="I293" i="5"/>
  <c r="L245" i="5"/>
  <c r="J285" i="5"/>
  <c r="J201" i="5"/>
  <c r="M147" i="5"/>
  <c r="M165" i="5"/>
  <c r="M319" i="5"/>
  <c r="M326" i="5"/>
  <c r="N184" i="5"/>
  <c r="N269" i="5"/>
  <c r="N380" i="5"/>
  <c r="N180" i="5"/>
  <c r="N265" i="5"/>
  <c r="N376" i="5"/>
  <c r="N179" i="5"/>
  <c r="N213" i="5"/>
  <c r="N322" i="5"/>
  <c r="N424" i="5"/>
  <c r="N212" i="5"/>
  <c r="N321" i="5"/>
  <c r="N423" i="5"/>
  <c r="O131" i="5"/>
  <c r="N215" i="5"/>
  <c r="N324" i="5"/>
  <c r="N426" i="5"/>
  <c r="N211" i="5"/>
  <c r="N320" i="5"/>
  <c r="N422" i="5"/>
  <c r="N214" i="5"/>
  <c r="N323" i="5"/>
  <c r="N425" i="5"/>
  <c r="N210" i="5"/>
  <c r="N183" i="5"/>
  <c r="N268" i="5"/>
  <c r="N379" i="5"/>
  <c r="N182" i="5"/>
  <c r="N267" i="5"/>
  <c r="N378" i="5"/>
  <c r="N181" i="5"/>
  <c r="N266" i="5"/>
  <c r="N377" i="5"/>
  <c r="K249" i="5"/>
  <c r="K256" i="5"/>
  <c r="K365" i="5"/>
  <c r="K369" i="5"/>
  <c r="K371" i="5"/>
  <c r="L299" i="5"/>
  <c r="I404" i="5"/>
  <c r="I406" i="5"/>
  <c r="K345" i="5"/>
  <c r="K447" i="5"/>
  <c r="K235" i="5"/>
  <c r="K231" i="5"/>
  <c r="L205" i="5"/>
  <c r="K204" i="5"/>
  <c r="K290" i="5"/>
  <c r="K401" i="5"/>
  <c r="K200" i="5"/>
  <c r="J206" i="5"/>
  <c r="J289" i="5"/>
  <c r="I442" i="5"/>
  <c r="I443" i="5"/>
  <c r="I341" i="5"/>
  <c r="M300" i="5"/>
  <c r="M411" i="5"/>
  <c r="M171" i="5"/>
  <c r="J340" i="5"/>
  <c r="J232" i="5"/>
  <c r="L460" i="4"/>
  <c r="L462" i="4"/>
  <c r="L359" i="4"/>
  <c r="L401" i="4"/>
  <c r="L403" i="4"/>
  <c r="L296" i="4"/>
  <c r="M267" i="4"/>
  <c r="M284" i="4"/>
  <c r="M291" i="4"/>
  <c r="L304" i="4"/>
  <c r="L406" i="4"/>
  <c r="L411" i="4"/>
  <c r="M294" i="4"/>
  <c r="M181" i="4"/>
  <c r="L346" i="4"/>
  <c r="L447" i="4"/>
  <c r="L449" i="4"/>
  <c r="L391" i="4"/>
  <c r="L398" i="4"/>
  <c r="L437" i="4"/>
  <c r="L444" i="4"/>
  <c r="M336" i="4"/>
  <c r="M439" i="4"/>
  <c r="M254" i="4"/>
  <c r="M210" i="4"/>
  <c r="M344" i="4"/>
  <c r="N242" i="4"/>
  <c r="N209" i="4"/>
  <c r="N345" i="4"/>
  <c r="N448" i="4"/>
  <c r="N208" i="4"/>
  <c r="N229" i="4"/>
  <c r="N340" i="4"/>
  <c r="N443" i="4"/>
  <c r="N290" i="4"/>
  <c r="N397" i="4"/>
  <c r="N202" i="4"/>
  <c r="N338" i="4"/>
  <c r="N441" i="4"/>
  <c r="N246" i="4"/>
  <c r="N170" i="4"/>
  <c r="N285" i="4"/>
  <c r="N392" i="4"/>
  <c r="N252" i="4"/>
  <c r="O113" i="4"/>
  <c r="O214" i="4"/>
  <c r="N180" i="4"/>
  <c r="N295" i="4"/>
  <c r="N402" i="4"/>
  <c r="N179" i="4"/>
  <c r="N247" i="4"/>
  <c r="N237" i="4"/>
  <c r="N174" i="4"/>
  <c r="N289" i="4"/>
  <c r="N396" i="4"/>
  <c r="N231" i="4"/>
  <c r="N169" i="4"/>
  <c r="N232" i="4"/>
  <c r="N238" i="4"/>
  <c r="N199" i="4"/>
  <c r="N335" i="4"/>
  <c r="N438" i="4"/>
  <c r="N173" i="4"/>
  <c r="N288" i="4"/>
  <c r="N395" i="4"/>
  <c r="N233" i="4"/>
  <c r="N171" i="4"/>
  <c r="N286" i="4"/>
  <c r="N393" i="4"/>
  <c r="N198" i="4"/>
  <c r="N116" i="4"/>
  <c r="N120" i="4"/>
  <c r="N300" i="4"/>
  <c r="N407" i="4"/>
  <c r="N245" i="4"/>
  <c r="N200" i="4"/>
  <c r="N336" i="4"/>
  <c r="N439" i="4"/>
  <c r="N203" i="4"/>
  <c r="N339" i="4"/>
  <c r="N442" i="4"/>
  <c r="N155" i="4"/>
  <c r="N172" i="4"/>
  <c r="N287" i="4"/>
  <c r="N394" i="4"/>
  <c r="K311" i="4"/>
  <c r="L354" i="4"/>
  <c r="L452" i="4"/>
  <c r="L457" i="4"/>
  <c r="L378" i="4"/>
  <c r="K418" i="4"/>
  <c r="K420" i="4"/>
  <c r="M437" i="4"/>
  <c r="M299" i="4"/>
  <c r="M349" i="4"/>
  <c r="M239" i="4"/>
  <c r="M249" i="4"/>
  <c r="L399" i="3"/>
  <c r="L406" i="3"/>
  <c r="L298" i="3"/>
  <c r="M313" i="3"/>
  <c r="M291" i="3"/>
  <c r="M301" i="3"/>
  <c r="M208" i="3"/>
  <c r="L310" i="3"/>
  <c r="L414" i="3"/>
  <c r="L418" i="3"/>
  <c r="L421" i="3"/>
  <c r="M306" i="3"/>
  <c r="N201" i="3"/>
  <c r="N296" i="3"/>
  <c r="N404" i="3"/>
  <c r="N199" i="3"/>
  <c r="N294" i="3"/>
  <c r="N402" i="3"/>
  <c r="N198" i="3"/>
  <c r="N293" i="3"/>
  <c r="N401" i="3"/>
  <c r="N207" i="3"/>
  <c r="N302" i="3"/>
  <c r="N410" i="3"/>
  <c r="N297" i="3"/>
  <c r="N405" i="3"/>
  <c r="N200" i="3"/>
  <c r="N295" i="3"/>
  <c r="N403" i="3"/>
  <c r="N112" i="3"/>
  <c r="N116" i="3"/>
  <c r="N206" i="3"/>
  <c r="N156" i="3"/>
  <c r="N196" i="3"/>
  <c r="O109" i="3"/>
  <c r="N162" i="3"/>
  <c r="L303" i="3"/>
  <c r="L409" i="3"/>
  <c r="L411" i="3"/>
  <c r="I451" i="6"/>
  <c r="K506" i="6"/>
  <c r="I506" i="6"/>
  <c r="J451" i="6"/>
  <c r="H451" i="6"/>
  <c r="G451" i="6"/>
  <c r="F451" i="6"/>
  <c r="J506" i="6"/>
  <c r="I487" i="6"/>
  <c r="I493" i="6"/>
  <c r="I500" i="6"/>
  <c r="L487" i="6"/>
  <c r="L493" i="6"/>
  <c r="F487" i="6"/>
  <c r="F493" i="6"/>
  <c r="F500" i="6"/>
  <c r="H487" i="6"/>
  <c r="H493" i="6"/>
  <c r="H500" i="6"/>
  <c r="J487" i="6"/>
  <c r="J493" i="6"/>
  <c r="J500" i="6"/>
  <c r="G487" i="6"/>
  <c r="G493" i="6"/>
  <c r="G500" i="6"/>
  <c r="K487" i="6"/>
  <c r="K493" i="6"/>
  <c r="K500" i="6"/>
  <c r="G506" i="6"/>
  <c r="H336" i="9"/>
  <c r="H338" i="9"/>
  <c r="H451" i="9"/>
  <c r="H453" i="9"/>
  <c r="M157" i="9"/>
  <c r="M226" i="9"/>
  <c r="K332" i="9"/>
  <c r="K232" i="9"/>
  <c r="N167" i="9"/>
  <c r="N154" i="9"/>
  <c r="N168" i="9"/>
  <c r="N292" i="9"/>
  <c r="N407" i="9"/>
  <c r="L406" i="9"/>
  <c r="L408" i="9"/>
  <c r="L415" i="9"/>
  <c r="L293" i="9"/>
  <c r="L300" i="9"/>
  <c r="K342" i="9"/>
  <c r="O153" i="9"/>
  <c r="M291" i="9"/>
  <c r="M171" i="9"/>
  <c r="J447" i="9"/>
  <c r="J449" i="9"/>
  <c r="J334" i="9"/>
  <c r="J443" i="9"/>
  <c r="J444" i="9"/>
  <c r="J329" i="9"/>
  <c r="L171" i="9"/>
  <c r="K457" i="9"/>
  <c r="L226" i="9"/>
  <c r="L231" i="9"/>
  <c r="L333" i="9"/>
  <c r="L448" i="9"/>
  <c r="L230" i="9"/>
  <c r="K328" i="9"/>
  <c r="K227" i="9"/>
  <c r="M439" i="6"/>
  <c r="M438" i="6"/>
  <c r="M241" i="6"/>
  <c r="K449" i="6"/>
  <c r="K451" i="6"/>
  <c r="M385" i="10"/>
  <c r="M502" i="10"/>
  <c r="M187" i="3"/>
  <c r="M218" i="10"/>
  <c r="N246" i="10"/>
  <c r="N386" i="10"/>
  <c r="N503" i="10"/>
  <c r="N276" i="10"/>
  <c r="N277" i="10"/>
  <c r="N278" i="10"/>
  <c r="N275" i="10"/>
  <c r="N245" i="10"/>
  <c r="N385" i="10"/>
  <c r="N502" i="10"/>
  <c r="N244" i="10"/>
  <c r="N384" i="10"/>
  <c r="N501" i="10"/>
  <c r="N247" i="10"/>
  <c r="N387" i="10"/>
  <c r="N504" i="10"/>
  <c r="N216" i="10"/>
  <c r="N335" i="10"/>
  <c r="N452" i="10"/>
  <c r="N213" i="10"/>
  <c r="N332" i="10"/>
  <c r="N449" i="10"/>
  <c r="N214" i="10"/>
  <c r="N333" i="10"/>
  <c r="N450" i="10"/>
  <c r="N215" i="10"/>
  <c r="N334" i="10"/>
  <c r="N451" i="10"/>
  <c r="M271" i="6"/>
  <c r="M218" i="4"/>
  <c r="N225" i="9"/>
  <c r="N327" i="9"/>
  <c r="N442" i="9"/>
  <c r="N223" i="9"/>
  <c r="N325" i="9"/>
  <c r="N440" i="9"/>
  <c r="N224" i="9"/>
  <c r="N326" i="9"/>
  <c r="N441" i="9"/>
  <c r="M378" i="6"/>
  <c r="M197" i="9"/>
  <c r="N195" i="9"/>
  <c r="N276" i="9"/>
  <c r="N391" i="9"/>
  <c r="N193" i="9"/>
  <c r="N274" i="9"/>
  <c r="N389" i="9"/>
  <c r="N194" i="9"/>
  <c r="N275" i="9"/>
  <c r="N390" i="9"/>
  <c r="N238" i="6"/>
  <c r="N375" i="6"/>
  <c r="N490" i="6"/>
  <c r="N269" i="6"/>
  <c r="N267" i="6"/>
  <c r="N268" i="6"/>
  <c r="N237" i="6"/>
  <c r="N374" i="6"/>
  <c r="N489" i="6"/>
  <c r="M335" i="10"/>
  <c r="M452" i="10"/>
  <c r="M440" i="6"/>
  <c r="M332" i="10"/>
  <c r="M449" i="10"/>
  <c r="N239" i="6"/>
  <c r="N376" i="6"/>
  <c r="N491" i="6"/>
  <c r="N209" i="6"/>
  <c r="N325" i="6"/>
  <c r="N440" i="6"/>
  <c r="N207" i="6"/>
  <c r="N323" i="6"/>
  <c r="N438" i="6"/>
  <c r="N208" i="6"/>
  <c r="N324" i="6"/>
  <c r="N439" i="6"/>
  <c r="M189" i="4"/>
  <c r="M215" i="3"/>
  <c r="N229" i="5"/>
  <c r="N338" i="5"/>
  <c r="N440" i="5"/>
  <c r="N230" i="5"/>
  <c r="N339" i="5"/>
  <c r="N441" i="5"/>
  <c r="N227" i="5"/>
  <c r="N336" i="5"/>
  <c r="N438" i="5"/>
  <c r="N228" i="5"/>
  <c r="N337" i="5"/>
  <c r="N439" i="5"/>
  <c r="N198" i="5"/>
  <c r="N283" i="5"/>
  <c r="N394" i="5"/>
  <c r="N199" i="5"/>
  <c r="N284" i="5"/>
  <c r="N395" i="5"/>
  <c r="N196" i="5"/>
  <c r="N281" i="5"/>
  <c r="N392" i="5"/>
  <c r="N197" i="5"/>
  <c r="N282" i="5"/>
  <c r="N393" i="5"/>
  <c r="N215" i="4"/>
  <c r="N351" i="4"/>
  <c r="N454" i="4"/>
  <c r="N216" i="4"/>
  <c r="N352" i="4"/>
  <c r="N455" i="4"/>
  <c r="N217" i="4"/>
  <c r="N353" i="4"/>
  <c r="N456" i="4"/>
  <c r="N188" i="4"/>
  <c r="N303" i="4"/>
  <c r="N410" i="4"/>
  <c r="N186" i="4"/>
  <c r="N301" i="4"/>
  <c r="N408" i="4"/>
  <c r="N187" i="4"/>
  <c r="N302" i="4"/>
  <c r="N409" i="4"/>
  <c r="N186" i="3"/>
  <c r="N261" i="3"/>
  <c r="N369" i="3"/>
  <c r="N214" i="3"/>
  <c r="N309" i="3"/>
  <c r="N417" i="3"/>
  <c r="N256" i="8"/>
  <c r="N364" i="8"/>
  <c r="N475" i="8"/>
  <c r="N257" i="8"/>
  <c r="N365" i="8"/>
  <c r="N476" i="8"/>
  <c r="N225" i="8"/>
  <c r="N311" i="8"/>
  <c r="N426" i="8"/>
  <c r="N228" i="8"/>
  <c r="N314" i="8"/>
  <c r="N429" i="8"/>
  <c r="N224" i="8"/>
  <c r="N310" i="8"/>
  <c r="N425" i="8"/>
  <c r="N189" i="7"/>
  <c r="N306" i="7"/>
  <c r="N410" i="7"/>
  <c r="N217" i="7"/>
  <c r="N355" i="7"/>
  <c r="N450" i="7"/>
  <c r="N218" i="7"/>
  <c r="N356" i="7"/>
  <c r="N451" i="7"/>
  <c r="N219" i="7"/>
  <c r="N357" i="7"/>
  <c r="N452" i="7"/>
  <c r="N187" i="7"/>
  <c r="N304" i="7"/>
  <c r="N408" i="7"/>
  <c r="N188" i="7"/>
  <c r="N305" i="7"/>
  <c r="N409" i="7"/>
  <c r="L375" i="8"/>
  <c r="L486" i="8"/>
  <c r="O244" i="8"/>
  <c r="O352" i="8"/>
  <c r="O463" i="8"/>
  <c r="L267" i="8"/>
  <c r="O234" i="8"/>
  <c r="O229" i="8"/>
  <c r="F244" i="8"/>
  <c r="F246" i="8"/>
  <c r="G244" i="8"/>
  <c r="G246" i="8"/>
  <c r="H244" i="8"/>
  <c r="H246" i="8"/>
  <c r="I244" i="8"/>
  <c r="I246" i="8"/>
  <c r="J244" i="8"/>
  <c r="J246" i="8"/>
  <c r="K244" i="8"/>
  <c r="K246" i="8"/>
  <c r="L244" i="8"/>
  <c r="L246" i="8"/>
  <c r="M244" i="8"/>
  <c r="M246" i="8"/>
  <c r="N244" i="8"/>
  <c r="N352" i="8"/>
  <c r="N463" i="8"/>
  <c r="M265" i="8"/>
  <c r="M373" i="8"/>
  <c r="M484" i="8"/>
  <c r="M266" i="8"/>
  <c r="M374" i="8"/>
  <c r="M485" i="8"/>
  <c r="P663" i="8"/>
  <c r="O662" i="8"/>
  <c r="Q664" i="8"/>
  <c r="O201" i="8"/>
  <c r="O254" i="8"/>
  <c r="O191" i="8"/>
  <c r="O194" i="8"/>
  <c r="O200" i="8"/>
  <c r="O193" i="8"/>
  <c r="O192" i="8"/>
  <c r="O276" i="8"/>
  <c r="O395" i="8"/>
  <c r="N169" i="8"/>
  <c r="N261" i="8"/>
  <c r="N369" i="8"/>
  <c r="N480" i="8"/>
  <c r="M660" i="8"/>
  <c r="M665" i="8"/>
  <c r="M670" i="8"/>
  <c r="N661" i="8"/>
  <c r="O166" i="8"/>
  <c r="O198" i="8"/>
  <c r="O179" i="8"/>
  <c r="O181" i="8"/>
  <c r="O227" i="8"/>
  <c r="O313" i="8"/>
  <c r="O428" i="8"/>
  <c r="O259" i="8"/>
  <c r="O367" i="8"/>
  <c r="O478" i="8"/>
  <c r="L163" i="10"/>
  <c r="L253" i="10"/>
  <c r="L393" i="10"/>
  <c r="L510" i="10"/>
  <c r="L184" i="10"/>
  <c r="K421" i="3"/>
  <c r="K423" i="3"/>
  <c r="K425" i="3"/>
  <c r="K432" i="3"/>
  <c r="K433" i="3"/>
  <c r="J280" i="10"/>
  <c r="L423" i="3"/>
  <c r="L425" i="3"/>
  <c r="L315" i="3"/>
  <c r="L317" i="3"/>
  <c r="M163" i="3"/>
  <c r="L220" i="3"/>
  <c r="L323" i="3"/>
  <c r="M385" i="3"/>
  <c r="M391" i="3"/>
  <c r="M220" i="3"/>
  <c r="M277" i="3"/>
  <c r="M283" i="3"/>
  <c r="M157" i="3"/>
  <c r="N208" i="10"/>
  <c r="K324" i="3"/>
  <c r="K325" i="3"/>
  <c r="N218" i="3"/>
  <c r="N313" i="3"/>
  <c r="L431" i="3"/>
  <c r="N154" i="3"/>
  <c r="N275" i="3"/>
  <c r="N155" i="3"/>
  <c r="N276" i="3"/>
  <c r="N384" i="3"/>
  <c r="M363" i="3"/>
  <c r="N160" i="3"/>
  <c r="L377" i="3"/>
  <c r="L379" i="3"/>
  <c r="M337" i="3"/>
  <c r="M343" i="3"/>
  <c r="M229" i="3"/>
  <c r="M235" i="3"/>
  <c r="F431" i="3"/>
  <c r="F433" i="3"/>
  <c r="N265" i="3"/>
  <c r="N192" i="3"/>
  <c r="N243" i="3"/>
  <c r="N175" i="3"/>
  <c r="N227" i="3"/>
  <c r="N151" i="3"/>
  <c r="N253" i="3"/>
  <c r="N180" i="3"/>
  <c r="N258" i="3"/>
  <c r="M267" i="3"/>
  <c r="M373" i="3"/>
  <c r="M375" i="3"/>
  <c r="O170" i="3"/>
  <c r="O245" i="3"/>
  <c r="O353" i="3"/>
  <c r="O171" i="3"/>
  <c r="O246" i="3"/>
  <c r="O354" i="3"/>
  <c r="O172" i="3"/>
  <c r="O247" i="3"/>
  <c r="O355" i="3"/>
  <c r="O169" i="3"/>
  <c r="O244" i="3"/>
  <c r="O352" i="3"/>
  <c r="O173" i="3"/>
  <c r="O248" i="3"/>
  <c r="O356" i="3"/>
  <c r="O168" i="3"/>
  <c r="O174" i="3"/>
  <c r="O249" i="3"/>
  <c r="O357" i="3"/>
  <c r="O197" i="3"/>
  <c r="O292" i="3"/>
  <c r="O400" i="3"/>
  <c r="O142" i="3"/>
  <c r="O143" i="3"/>
  <c r="O145" i="3"/>
  <c r="O218" i="3"/>
  <c r="O178" i="3"/>
  <c r="O253" i="3"/>
  <c r="O150" i="3"/>
  <c r="O179" i="3"/>
  <c r="O185" i="3"/>
  <c r="O260" i="3"/>
  <c r="O368" i="3"/>
  <c r="O190" i="3"/>
  <c r="O183" i="3"/>
  <c r="O184" i="3"/>
  <c r="O259" i="3"/>
  <c r="O367" i="3"/>
  <c r="O148" i="3"/>
  <c r="O149" i="3"/>
  <c r="O228" i="3"/>
  <c r="O191" i="3"/>
  <c r="O266" i="3"/>
  <c r="O374" i="3"/>
  <c r="G431" i="3"/>
  <c r="G433" i="3"/>
  <c r="I445" i="3"/>
  <c r="M255" i="3"/>
  <c r="L269" i="3"/>
  <c r="L271" i="3"/>
  <c r="M351" i="3"/>
  <c r="M358" i="3"/>
  <c r="M250" i="3"/>
  <c r="M366" i="3"/>
  <c r="M370" i="3"/>
  <c r="M262" i="3"/>
  <c r="K248" i="10"/>
  <c r="K249" i="10"/>
  <c r="K252" i="10"/>
  <c r="K254" i="10"/>
  <c r="O167" i="5"/>
  <c r="O126" i="10"/>
  <c r="O130" i="10"/>
  <c r="N239" i="10"/>
  <c r="O174" i="10"/>
  <c r="O207" i="10"/>
  <c r="O284" i="10"/>
  <c r="O182" i="10"/>
  <c r="O206" i="10"/>
  <c r="O269" i="10"/>
  <c r="O173" i="10"/>
  <c r="O175" i="10"/>
  <c r="O238" i="10"/>
  <c r="O183" i="10"/>
  <c r="O242" i="10"/>
  <c r="O237" i="10"/>
  <c r="O189" i="10"/>
  <c r="O176" i="10"/>
  <c r="O211" i="10"/>
  <c r="O190" i="10"/>
  <c r="O273" i="10"/>
  <c r="O243" i="10"/>
  <c r="O274" i="10"/>
  <c r="O283" i="10"/>
  <c r="O268" i="10"/>
  <c r="O212" i="10"/>
  <c r="N270" i="10"/>
  <c r="N285" i="10"/>
  <c r="M423" i="9"/>
  <c r="M430" i="9"/>
  <c r="K392" i="6"/>
  <c r="K393" i="6"/>
  <c r="L447" i="6"/>
  <c r="L449" i="6"/>
  <c r="F427" i="3"/>
  <c r="O329" i="5"/>
  <c r="O431" i="5"/>
  <c r="O325" i="5"/>
  <c r="O427" i="5"/>
  <c r="O221" i="5"/>
  <c r="O191" i="5"/>
  <c r="O276" i="5"/>
  <c r="O387" i="5"/>
  <c r="O172" i="5"/>
  <c r="O270" i="5"/>
  <c r="O381" i="5"/>
  <c r="O222" i="5"/>
  <c r="O331" i="5"/>
  <c r="O433" i="5"/>
  <c r="O190" i="5"/>
  <c r="O275" i="5"/>
  <c r="O386" i="5"/>
  <c r="O335" i="5"/>
  <c r="O437" i="5"/>
  <c r="O280" i="5"/>
  <c r="O391" i="5"/>
  <c r="O274" i="5"/>
  <c r="O385" i="5"/>
  <c r="O119" i="5"/>
  <c r="O123" i="5"/>
  <c r="N223" i="5"/>
  <c r="N192" i="5"/>
  <c r="O173" i="5"/>
  <c r="O159" i="5"/>
  <c r="O162" i="5"/>
  <c r="F566" i="5"/>
  <c r="F557" i="5"/>
  <c r="K538" i="5"/>
  <c r="K516" i="5"/>
  <c r="K507" i="5"/>
  <c r="K498" i="5"/>
  <c r="K489" i="5"/>
  <c r="K557" i="5"/>
  <c r="F548" i="5"/>
  <c r="F538" i="5"/>
  <c r="F516" i="5"/>
  <c r="F507" i="5"/>
  <c r="F498" i="5"/>
  <c r="F489" i="5"/>
  <c r="N257" i="6"/>
  <c r="O181" i="6"/>
  <c r="O206" i="6"/>
  <c r="O322" i="6"/>
  <c r="O236" i="6"/>
  <c r="O373" i="6"/>
  <c r="O488" i="6"/>
  <c r="O266" i="6"/>
  <c r="N357" i="6"/>
  <c r="N472" i="6"/>
  <c r="N227" i="6"/>
  <c r="N197" i="6"/>
  <c r="N217" i="5"/>
  <c r="N186" i="5"/>
  <c r="L331" i="8"/>
  <c r="L339" i="8"/>
  <c r="O211" i="3"/>
  <c r="O212" i="3"/>
  <c r="O307" i="3"/>
  <c r="O415" i="3"/>
  <c r="O213" i="3"/>
  <c r="O308" i="3"/>
  <c r="O416" i="3"/>
  <c r="N203" i="3"/>
  <c r="N234" i="10"/>
  <c r="N265" i="10"/>
  <c r="N203" i="10"/>
  <c r="N257" i="9"/>
  <c r="N264" i="9"/>
  <c r="N183" i="9"/>
  <c r="N221" i="9"/>
  <c r="N323" i="9"/>
  <c r="N438" i="9"/>
  <c r="O180" i="9"/>
  <c r="O261" i="9"/>
  <c r="O376" i="9"/>
  <c r="O192" i="9"/>
  <c r="O273" i="9"/>
  <c r="O388" i="9"/>
  <c r="O222" i="9"/>
  <c r="O324" i="9"/>
  <c r="O439" i="9"/>
  <c r="N308" i="9"/>
  <c r="N315" i="9"/>
  <c r="N213" i="9"/>
  <c r="N214" i="8"/>
  <c r="M191" i="7"/>
  <c r="J359" i="7"/>
  <c r="L633" i="7"/>
  <c r="L638" i="7"/>
  <c r="L643" i="7"/>
  <c r="O636" i="7"/>
  <c r="M634" i="7"/>
  <c r="N635" i="7"/>
  <c r="P637" i="7"/>
  <c r="N177" i="7"/>
  <c r="O155" i="7"/>
  <c r="O271" i="7"/>
  <c r="O384" i="7"/>
  <c r="O186" i="7"/>
  <c r="O303" i="7"/>
  <c r="O407" i="7"/>
  <c r="O216" i="7"/>
  <c r="O354" i="7"/>
  <c r="O449" i="7"/>
  <c r="M223" i="4"/>
  <c r="M205" i="4"/>
  <c r="J359" i="4"/>
  <c r="J361" i="4"/>
  <c r="J368" i="4"/>
  <c r="O149" i="4"/>
  <c r="O150" i="4"/>
  <c r="O152" i="4"/>
  <c r="O222" i="4"/>
  <c r="O358" i="4"/>
  <c r="O461" i="4"/>
  <c r="K460" i="4"/>
  <c r="K462" i="4"/>
  <c r="K464" i="4"/>
  <c r="K359" i="4"/>
  <c r="K361" i="4"/>
  <c r="K368" i="4"/>
  <c r="L258" i="4"/>
  <c r="L257" i="4"/>
  <c r="N150" i="4"/>
  <c r="N152" i="4"/>
  <c r="N201" i="4"/>
  <c r="N337" i="4"/>
  <c r="N440" i="4"/>
  <c r="N230" i="4"/>
  <c r="J464" i="4"/>
  <c r="J259" i="4"/>
  <c r="L380" i="4"/>
  <c r="L269" i="4"/>
  <c r="L273" i="4"/>
  <c r="L384" i="4"/>
  <c r="L385" i="4"/>
  <c r="M444" i="4"/>
  <c r="M341" i="4"/>
  <c r="N176" i="4"/>
  <c r="O184" i="4"/>
  <c r="O213" i="4"/>
  <c r="N222" i="8"/>
  <c r="N308" i="8"/>
  <c r="N423" i="8"/>
  <c r="O226" i="8"/>
  <c r="O312" i="8"/>
  <c r="O427" i="8"/>
  <c r="O258" i="8"/>
  <c r="O366" i="8"/>
  <c r="O477" i="8"/>
  <c r="O223" i="8"/>
  <c r="O309" i="8"/>
  <c r="O424" i="8"/>
  <c r="O255" i="8"/>
  <c r="O363" i="8"/>
  <c r="O474" i="8"/>
  <c r="J505" i="10"/>
  <c r="J506" i="10"/>
  <c r="J513" i="10"/>
  <c r="J520" i="10"/>
  <c r="J521" i="10"/>
  <c r="N535" i="10"/>
  <c r="L472" i="5"/>
  <c r="H468" i="5"/>
  <c r="L414" i="4"/>
  <c r="L416" i="4"/>
  <c r="L418" i="4"/>
  <c r="N148" i="7"/>
  <c r="N162" i="7"/>
  <c r="N322" i="7"/>
  <c r="N426" i="7"/>
  <c r="N330" i="8"/>
  <c r="N445" i="8"/>
  <c r="J470" i="5"/>
  <c r="K471" i="5"/>
  <c r="K456" i="5"/>
  <c r="I469" i="5"/>
  <c r="M193" i="4"/>
  <c r="M308" i="4"/>
  <c r="M415" i="4"/>
  <c r="L194" i="4"/>
  <c r="O157" i="4"/>
  <c r="N146" i="4"/>
  <c r="N192" i="4"/>
  <c r="N307" i="4"/>
  <c r="N156" i="4"/>
  <c r="N268" i="4"/>
  <c r="N379" i="4"/>
  <c r="O146" i="4"/>
  <c r="O192" i="4"/>
  <c r="O156" i="4"/>
  <c r="O268" i="4"/>
  <c r="O379" i="4"/>
  <c r="N277" i="5"/>
  <c r="L168" i="5"/>
  <c r="M166" i="5"/>
  <c r="M246" i="5"/>
  <c r="M366" i="5"/>
  <c r="J472" i="5"/>
  <c r="I471" i="5"/>
  <c r="F468" i="5"/>
  <c r="F473" i="5"/>
  <c r="F478" i="5"/>
  <c r="G469" i="5"/>
  <c r="H470" i="5"/>
  <c r="J438" i="8"/>
  <c r="M202" i="8"/>
  <c r="K323" i="8"/>
  <c r="J323" i="8"/>
  <c r="J325" i="8"/>
  <c r="M195" i="8"/>
  <c r="M262" i="8"/>
  <c r="F494" i="8"/>
  <c r="J494" i="8"/>
  <c r="J433" i="3"/>
  <c r="L445" i="3"/>
  <c r="J325" i="3"/>
  <c r="J319" i="3"/>
  <c r="G427" i="3"/>
  <c r="I433" i="3"/>
  <c r="I427" i="3"/>
  <c r="H325" i="3"/>
  <c r="H319" i="3"/>
  <c r="J427" i="3"/>
  <c r="I325" i="3"/>
  <c r="I319" i="3"/>
  <c r="G325" i="3"/>
  <c r="G319" i="3"/>
  <c r="H433" i="3"/>
  <c r="H427" i="3"/>
  <c r="F325" i="3"/>
  <c r="F319" i="3"/>
  <c r="I471" i="9"/>
  <c r="M393" i="10"/>
  <c r="M510" i="10"/>
  <c r="O176" i="9"/>
  <c r="L481" i="8"/>
  <c r="L262" i="8"/>
  <c r="L285" i="9"/>
  <c r="L287" i="9"/>
  <c r="L370" i="8"/>
  <c r="N276" i="8"/>
  <c r="N395" i="8"/>
  <c r="J467" i="7"/>
  <c r="O156" i="7"/>
  <c r="O157" i="7"/>
  <c r="O185" i="7"/>
  <c r="O190" i="7"/>
  <c r="O307" i="7"/>
  <c r="O411" i="7"/>
  <c r="I343" i="9"/>
  <c r="I344" i="9"/>
  <c r="K431" i="8"/>
  <c r="K438" i="8"/>
  <c r="F467" i="7"/>
  <c r="G474" i="9"/>
  <c r="G479" i="9"/>
  <c r="H467" i="7"/>
  <c r="H494" i="8"/>
  <c r="J421" i="7"/>
  <c r="I467" i="7"/>
  <c r="I494" i="8"/>
  <c r="G467" i="7"/>
  <c r="F421" i="7"/>
  <c r="H440" i="8"/>
  <c r="H421" i="7"/>
  <c r="G421" i="7"/>
  <c r="I421" i="7"/>
  <c r="I440" i="8"/>
  <c r="F469" i="9"/>
  <c r="F474" i="9"/>
  <c r="F479" i="9"/>
  <c r="J473" i="9"/>
  <c r="H470" i="9"/>
  <c r="H471" i="9"/>
  <c r="J472" i="9"/>
  <c r="I472" i="9"/>
  <c r="K473" i="9"/>
  <c r="F520" i="10"/>
  <c r="F521" i="10"/>
  <c r="H520" i="10"/>
  <c r="H521" i="10"/>
  <c r="L535" i="10"/>
  <c r="I520" i="10"/>
  <c r="I521" i="10"/>
  <c r="M535" i="10"/>
  <c r="L400" i="9"/>
  <c r="L402" i="9"/>
  <c r="M299" i="10"/>
  <c r="M416" i="10"/>
  <c r="O208" i="9"/>
  <c r="O310" i="9"/>
  <c r="O425" i="9"/>
  <c r="O179" i="9"/>
  <c r="O260" i="9"/>
  <c r="O375" i="9"/>
  <c r="O211" i="9"/>
  <c r="O313" i="9"/>
  <c r="O428" i="9"/>
  <c r="L334" i="6"/>
  <c r="G325" i="8"/>
  <c r="M149" i="5"/>
  <c r="M174" i="5"/>
  <c r="M155" i="5"/>
  <c r="M158" i="4"/>
  <c r="K287" i="9"/>
  <c r="O181" i="9"/>
  <c r="O262" i="9"/>
  <c r="O377" i="9"/>
  <c r="O209" i="9"/>
  <c r="O311" i="9"/>
  <c r="O426" i="9"/>
  <c r="O177" i="9"/>
  <c r="O258" i="9"/>
  <c r="O373" i="9"/>
  <c r="M307" i="4"/>
  <c r="M446" i="6"/>
  <c r="L406" i="6"/>
  <c r="L413" i="6"/>
  <c r="L506" i="6"/>
  <c r="N457" i="6"/>
  <c r="N464" i="6"/>
  <c r="L464" i="4"/>
  <c r="L279" i="10"/>
  <c r="L280" i="10"/>
  <c r="L251" i="7"/>
  <c r="O206" i="9"/>
  <c r="O178" i="9"/>
  <c r="O259" i="9"/>
  <c r="O374" i="9"/>
  <c r="L288" i="10"/>
  <c r="O210" i="9"/>
  <c r="O312" i="9"/>
  <c r="O427" i="9"/>
  <c r="O207" i="9"/>
  <c r="O309" i="9"/>
  <c r="O424" i="9"/>
  <c r="K317" i="7"/>
  <c r="M221" i="10"/>
  <c r="L260" i="7"/>
  <c r="M222" i="10"/>
  <c r="M163" i="10"/>
  <c r="M252" i="10"/>
  <c r="M487" i="6"/>
  <c r="M493" i="6"/>
  <c r="M441" i="6"/>
  <c r="K402" i="10"/>
  <c r="I348" i="5"/>
  <c r="I350" i="5"/>
  <c r="L311" i="4"/>
  <c r="M370" i="8"/>
  <c r="M473" i="8"/>
  <c r="M481" i="8"/>
  <c r="N329" i="8"/>
  <c r="N357" i="8"/>
  <c r="N251" i="8"/>
  <c r="N362" i="8"/>
  <c r="N219" i="8"/>
  <c r="N303" i="8"/>
  <c r="M359" i="8"/>
  <c r="M468" i="8"/>
  <c r="M470" i="8"/>
  <c r="M331" i="8"/>
  <c r="M339" i="8"/>
  <c r="M444" i="8"/>
  <c r="M446" i="8"/>
  <c r="M454" i="8"/>
  <c r="M418" i="8"/>
  <c r="M420" i="8"/>
  <c r="M305" i="8"/>
  <c r="O218" i="8"/>
  <c r="O304" i="8"/>
  <c r="O419" i="8"/>
  <c r="O249" i="8"/>
  <c r="O126" i="8"/>
  <c r="O130" i="8"/>
  <c r="O260" i="8"/>
  <c r="O368" i="8"/>
  <c r="O479" i="8"/>
  <c r="O217" i="8"/>
  <c r="O250" i="8"/>
  <c r="O358" i="8"/>
  <c r="O469" i="8"/>
  <c r="O299" i="8"/>
  <c r="O414" i="8"/>
  <c r="O353" i="8"/>
  <c r="O464" i="8"/>
  <c r="M211" i="6"/>
  <c r="M336" i="10"/>
  <c r="M453" i="10"/>
  <c r="N280" i="6"/>
  <c r="N279" i="6"/>
  <c r="I450" i="5"/>
  <c r="N388" i="5"/>
  <c r="M170" i="10"/>
  <c r="M289" i="10"/>
  <c r="L500" i="6"/>
  <c r="L502" i="6"/>
  <c r="M351" i="10"/>
  <c r="M468" i="10"/>
  <c r="J396" i="10"/>
  <c r="J403" i="10"/>
  <c r="J404" i="10"/>
  <c r="F552" i="10"/>
  <c r="M216" i="6"/>
  <c r="N245" i="6"/>
  <c r="N382" i="6"/>
  <c r="N497" i="6"/>
  <c r="N240" i="6"/>
  <c r="N377" i="6"/>
  <c r="N492" i="6"/>
  <c r="N185" i="6"/>
  <c r="O270" i="6"/>
  <c r="M171" i="6"/>
  <c r="N432" i="5"/>
  <c r="N434" i="5"/>
  <c r="N332" i="5"/>
  <c r="K519" i="10"/>
  <c r="N156" i="10"/>
  <c r="L223" i="10"/>
  <c r="N494" i="10"/>
  <c r="N496" i="10"/>
  <c r="N379" i="10"/>
  <c r="O156" i="10"/>
  <c r="O262" i="10"/>
  <c r="O197" i="10"/>
  <c r="O263" i="10"/>
  <c r="O228" i="10"/>
  <c r="O199" i="10"/>
  <c r="O261" i="10"/>
  <c r="O260" i="10"/>
  <c r="O227" i="10"/>
  <c r="O229" i="10"/>
  <c r="O200" i="10"/>
  <c r="O258" i="10"/>
  <c r="O232" i="10"/>
  <c r="O231" i="10"/>
  <c r="O201" i="10"/>
  <c r="O198" i="10"/>
  <c r="O196" i="10"/>
  <c r="O230" i="10"/>
  <c r="O259" i="10"/>
  <c r="N315" i="10"/>
  <c r="N322" i="10"/>
  <c r="N298" i="10"/>
  <c r="N177" i="10"/>
  <c r="N327" i="10"/>
  <c r="N442" i="10"/>
  <c r="N444" i="10"/>
  <c r="N367" i="10"/>
  <c r="N374" i="10"/>
  <c r="N447" i="10"/>
  <c r="L342" i="9"/>
  <c r="N347" i="8"/>
  <c r="O242" i="8"/>
  <c r="O350" i="8"/>
  <c r="O461" i="8"/>
  <c r="O210" i="8"/>
  <c r="O296" i="8"/>
  <c r="O411" i="8"/>
  <c r="O212" i="8"/>
  <c r="O298" i="8"/>
  <c r="O413" i="8"/>
  <c r="O208" i="8"/>
  <c r="O294" i="8"/>
  <c r="O409" i="8"/>
  <c r="O207" i="8"/>
  <c r="O241" i="8"/>
  <c r="O349" i="8"/>
  <c r="O460" i="8"/>
  <c r="O239" i="8"/>
  <c r="O240" i="8"/>
  <c r="O348" i="8"/>
  <c r="O459" i="8"/>
  <c r="O209" i="8"/>
  <c r="O295" i="8"/>
  <c r="O410" i="8"/>
  <c r="O243" i="8"/>
  <c r="O351" i="8"/>
  <c r="O462" i="8"/>
  <c r="O211" i="8"/>
  <c r="O297" i="8"/>
  <c r="O412" i="8"/>
  <c r="N293" i="8"/>
  <c r="N300" i="8"/>
  <c r="M458" i="8"/>
  <c r="M408" i="8"/>
  <c r="M415" i="8"/>
  <c r="M151" i="7"/>
  <c r="O174" i="6"/>
  <c r="O340" i="6"/>
  <c r="O455" i="6"/>
  <c r="K344" i="10"/>
  <c r="K346" i="10"/>
  <c r="O175" i="6"/>
  <c r="O341" i="6"/>
  <c r="O456" i="6"/>
  <c r="G346" i="10"/>
  <c r="G403" i="10"/>
  <c r="G404" i="10"/>
  <c r="L385" i="6"/>
  <c r="O240" i="6"/>
  <c r="O377" i="6"/>
  <c r="O492" i="6"/>
  <c r="O182" i="6"/>
  <c r="G520" i="10"/>
  <c r="G521" i="10"/>
  <c r="N162" i="5"/>
  <c r="G468" i="5"/>
  <c r="K472" i="5"/>
  <c r="J471" i="5"/>
  <c r="H469" i="5"/>
  <c r="I470" i="5"/>
  <c r="K313" i="4"/>
  <c r="M191" i="10"/>
  <c r="K290" i="10"/>
  <c r="N160" i="10"/>
  <c r="N181" i="10"/>
  <c r="N351" i="10"/>
  <c r="N468" i="10"/>
  <c r="N180" i="10"/>
  <c r="N167" i="10"/>
  <c r="N188" i="10"/>
  <c r="N187" i="10"/>
  <c r="L467" i="10"/>
  <c r="L469" i="10"/>
  <c r="L476" i="10"/>
  <c r="L352" i="10"/>
  <c r="L359" i="10"/>
  <c r="O159" i="10"/>
  <c r="O166" i="10"/>
  <c r="M184" i="10"/>
  <c r="K280" i="10"/>
  <c r="M269" i="9"/>
  <c r="M382" i="9"/>
  <c r="M384" i="9"/>
  <c r="M242" i="9"/>
  <c r="M249" i="9"/>
  <c r="M355" i="9"/>
  <c r="M357" i="9"/>
  <c r="M364" i="9"/>
  <c r="N218" i="9"/>
  <c r="N318" i="9"/>
  <c r="M396" i="9"/>
  <c r="M398" i="9"/>
  <c r="M283" i="9"/>
  <c r="N202" i="9"/>
  <c r="N281" i="9"/>
  <c r="N272" i="9"/>
  <c r="N188" i="9"/>
  <c r="N267" i="9"/>
  <c r="O169" i="9"/>
  <c r="O186" i="9"/>
  <c r="O314" i="9"/>
  <c r="O429" i="9"/>
  <c r="O123" i="9"/>
  <c r="O127" i="9"/>
  <c r="O163" i="9"/>
  <c r="O191" i="9"/>
  <c r="O162" i="9"/>
  <c r="O187" i="9"/>
  <c r="O268" i="9"/>
  <c r="O383" i="9"/>
  <c r="O263" i="9"/>
  <c r="O378" i="9"/>
  <c r="O160" i="9"/>
  <c r="O217" i="9"/>
  <c r="O319" i="9"/>
  <c r="O434" i="9"/>
  <c r="O161" i="9"/>
  <c r="O241" i="9"/>
  <c r="O356" i="9"/>
  <c r="O216" i="9"/>
  <c r="O200" i="9"/>
  <c r="O196" i="9"/>
  <c r="O277" i="9"/>
  <c r="O392" i="9"/>
  <c r="O201" i="9"/>
  <c r="O282" i="9"/>
  <c r="O397" i="9"/>
  <c r="O170" i="9"/>
  <c r="M433" i="9"/>
  <c r="M435" i="9"/>
  <c r="M320" i="9"/>
  <c r="M372" i="9"/>
  <c r="M379" i="9"/>
  <c r="M278" i="9"/>
  <c r="M387" i="9"/>
  <c r="M393" i="9"/>
  <c r="N240" i="9"/>
  <c r="N164" i="9"/>
  <c r="L319" i="8"/>
  <c r="L235" i="8"/>
  <c r="L315" i="8"/>
  <c r="L230" i="8"/>
  <c r="M320" i="8"/>
  <c r="M435" i="8"/>
  <c r="M277" i="8"/>
  <c r="M285" i="8"/>
  <c r="M394" i="8"/>
  <c r="M396" i="8"/>
  <c r="M404" i="8"/>
  <c r="N275" i="8"/>
  <c r="O204" i="7"/>
  <c r="O342" i="7"/>
  <c r="O437" i="7"/>
  <c r="O202" i="7"/>
  <c r="O340" i="7"/>
  <c r="O435" i="7"/>
  <c r="O173" i="7"/>
  <c r="O290" i="7"/>
  <c r="O394" i="7"/>
  <c r="O174" i="7"/>
  <c r="O291" i="7"/>
  <c r="O395" i="7"/>
  <c r="O232" i="7"/>
  <c r="O235" i="7"/>
  <c r="O236" i="7"/>
  <c r="O175" i="7"/>
  <c r="O292" i="7"/>
  <c r="O396" i="7"/>
  <c r="O170" i="7"/>
  <c r="O172" i="7"/>
  <c r="O289" i="7"/>
  <c r="O393" i="7"/>
  <c r="O201" i="7"/>
  <c r="O339" i="7"/>
  <c r="O434" i="7"/>
  <c r="O205" i="7"/>
  <c r="O343" i="7"/>
  <c r="O438" i="7"/>
  <c r="O171" i="7"/>
  <c r="O288" i="7"/>
  <c r="O392" i="7"/>
  <c r="O234" i="7"/>
  <c r="O230" i="7"/>
  <c r="O231" i="7"/>
  <c r="O233" i="7"/>
  <c r="O200" i="7"/>
  <c r="N338" i="7"/>
  <c r="K358" i="7"/>
  <c r="K221" i="7"/>
  <c r="L220" i="7"/>
  <c r="L224" i="7"/>
  <c r="L225" i="7"/>
  <c r="L363" i="7"/>
  <c r="L458" i="7"/>
  <c r="N161" i="7"/>
  <c r="K252" i="7"/>
  <c r="N242" i="7"/>
  <c r="N348" i="7"/>
  <c r="N212" i="7"/>
  <c r="M443" i="7"/>
  <c r="M445" i="7"/>
  <c r="M350" i="7"/>
  <c r="M401" i="7"/>
  <c r="M403" i="7"/>
  <c r="M299" i="7"/>
  <c r="L323" i="7"/>
  <c r="L330" i="7"/>
  <c r="L425" i="7"/>
  <c r="L427" i="7"/>
  <c r="L429" i="7"/>
  <c r="M308" i="7"/>
  <c r="M406" i="7"/>
  <c r="M412" i="7"/>
  <c r="M433" i="7"/>
  <c r="M391" i="7"/>
  <c r="M398" i="7"/>
  <c r="J383" i="8"/>
  <c r="N353" i="7"/>
  <c r="N297" i="7"/>
  <c r="N182" i="7"/>
  <c r="N257" i="7"/>
  <c r="K421" i="7"/>
  <c r="O147" i="7"/>
  <c r="N203" i="7"/>
  <c r="N207" i="7"/>
  <c r="K262" i="7"/>
  <c r="O241" i="7"/>
  <c r="O210" i="7"/>
  <c r="O344" i="7"/>
  <c r="O439" i="7"/>
  <c r="O293" i="7"/>
  <c r="O397" i="7"/>
  <c r="O163" i="7"/>
  <c r="O250" i="7"/>
  <c r="O211" i="7"/>
  <c r="O349" i="7"/>
  <c r="O444" i="7"/>
  <c r="O246" i="7"/>
  <c r="O255" i="7"/>
  <c r="O247" i="7"/>
  <c r="O118" i="7"/>
  <c r="O122" i="7"/>
  <c r="O195" i="7"/>
  <c r="O312" i="7"/>
  <c r="O416" i="7"/>
  <c r="O180" i="7"/>
  <c r="O194" i="7"/>
  <c r="O181" i="7"/>
  <c r="O298" i="7"/>
  <c r="O402" i="7"/>
  <c r="O240" i="7"/>
  <c r="O164" i="7"/>
  <c r="O215" i="7"/>
  <c r="O245" i="7"/>
  <c r="O256" i="7"/>
  <c r="O248" i="7"/>
  <c r="O154" i="7"/>
  <c r="M196" i="7"/>
  <c r="M311" i="7"/>
  <c r="K467" i="7"/>
  <c r="M321" i="7"/>
  <c r="M165" i="7"/>
  <c r="L415" i="7"/>
  <c r="L417" i="7"/>
  <c r="L419" i="7"/>
  <c r="L313" i="7"/>
  <c r="L315" i="7"/>
  <c r="M448" i="7"/>
  <c r="N158" i="7"/>
  <c r="N237" i="7"/>
  <c r="N287" i="7"/>
  <c r="N294" i="7"/>
  <c r="K362" i="7"/>
  <c r="K226" i="7"/>
  <c r="N196" i="7"/>
  <c r="N311" i="7"/>
  <c r="N302" i="7"/>
  <c r="K372" i="7"/>
  <c r="N272" i="7"/>
  <c r="N279" i="7"/>
  <c r="N383" i="7"/>
  <c r="N385" i="7"/>
  <c r="N387" i="7"/>
  <c r="M482" i="6"/>
  <c r="M484" i="6"/>
  <c r="M369" i="6"/>
  <c r="N178" i="6"/>
  <c r="L457" i="10"/>
  <c r="L459" i="10"/>
  <c r="L342" i="10"/>
  <c r="M330" i="10"/>
  <c r="M382" i="10"/>
  <c r="M327" i="6"/>
  <c r="M436" i="6"/>
  <c r="N342" i="6"/>
  <c r="N349" i="6"/>
  <c r="N367" i="6"/>
  <c r="N232" i="6"/>
  <c r="M318" i="6"/>
  <c r="M325" i="10"/>
  <c r="M377" i="10"/>
  <c r="M431" i="6"/>
  <c r="M433" i="6"/>
  <c r="M472" i="6"/>
  <c r="M479" i="6"/>
  <c r="M342" i="6"/>
  <c r="M349" i="6"/>
  <c r="M455" i="6"/>
  <c r="M457" i="6"/>
  <c r="M464" i="6"/>
  <c r="M298" i="10"/>
  <c r="M350" i="10"/>
  <c r="M291" i="6"/>
  <c r="M298" i="6"/>
  <c r="M404" i="6"/>
  <c r="M406" i="6"/>
  <c r="M413" i="6"/>
  <c r="M332" i="6"/>
  <c r="M392" i="10"/>
  <c r="M340" i="10"/>
  <c r="M445" i="6"/>
  <c r="L432" i="10"/>
  <c r="L439" i="10"/>
  <c r="K387" i="6"/>
  <c r="M315" i="10"/>
  <c r="M322" i="10"/>
  <c r="M421" i="6"/>
  <c r="M428" i="6"/>
  <c r="M367" i="10"/>
  <c r="M374" i="10"/>
  <c r="L415" i="10"/>
  <c r="L417" i="10"/>
  <c r="L424" i="10"/>
  <c r="L300" i="10"/>
  <c r="L307" i="10"/>
  <c r="N372" i="6"/>
  <c r="N360" i="6"/>
  <c r="N475" i="6"/>
  <c r="N202" i="6"/>
  <c r="N316" i="6"/>
  <c r="M383" i="6"/>
  <c r="M496" i="6"/>
  <c r="M498" i="6"/>
  <c r="L327" i="10"/>
  <c r="L442" i="10"/>
  <c r="L444" i="10"/>
  <c r="M281" i="6"/>
  <c r="J387" i="6"/>
  <c r="J393" i="6"/>
  <c r="N262" i="6"/>
  <c r="N216" i="6"/>
  <c r="N330" i="6"/>
  <c r="O231" i="6"/>
  <c r="O368" i="6"/>
  <c r="O483" i="6"/>
  <c r="O170" i="6"/>
  <c r="O205" i="6"/>
  <c r="O260" i="6"/>
  <c r="O275" i="6"/>
  <c r="O169" i="6"/>
  <c r="O215" i="6"/>
  <c r="O331" i="6"/>
  <c r="O261" i="6"/>
  <c r="O191" i="6"/>
  <c r="O307" i="6"/>
  <c r="O225" i="6"/>
  <c r="O362" i="6"/>
  <c r="O477" i="6"/>
  <c r="O220" i="6"/>
  <c r="O251" i="6"/>
  <c r="O250" i="6"/>
  <c r="O201" i="6"/>
  <c r="O317" i="6"/>
  <c r="O123" i="6"/>
  <c r="O127" i="6"/>
  <c r="O192" i="6"/>
  <c r="O308" i="6"/>
  <c r="O221" i="6"/>
  <c r="O358" i="6"/>
  <c r="O473" i="6"/>
  <c r="O363" i="6"/>
  <c r="O478" i="6"/>
  <c r="O222" i="6"/>
  <c r="O359" i="6"/>
  <c r="O474" i="6"/>
  <c r="O252" i="6"/>
  <c r="O312" i="6"/>
  <c r="O224" i="6"/>
  <c r="O361" i="6"/>
  <c r="O476" i="6"/>
  <c r="O195" i="6"/>
  <c r="O311" i="6"/>
  <c r="O254" i="6"/>
  <c r="O274" i="6"/>
  <c r="O200" i="6"/>
  <c r="O214" i="6"/>
  <c r="O230" i="6"/>
  <c r="O194" i="6"/>
  <c r="O310" i="6"/>
  <c r="O255" i="6"/>
  <c r="O223" i="6"/>
  <c r="O360" i="6"/>
  <c r="O475" i="6"/>
  <c r="O244" i="6"/>
  <c r="O193" i="6"/>
  <c r="O309" i="6"/>
  <c r="O190" i="6"/>
  <c r="O167" i="6"/>
  <c r="O176" i="6"/>
  <c r="O177" i="6"/>
  <c r="O235" i="6"/>
  <c r="O253" i="6"/>
  <c r="O245" i="6"/>
  <c r="O382" i="6"/>
  <c r="O497" i="6"/>
  <c r="O168" i="6"/>
  <c r="O290" i="6"/>
  <c r="O280" i="6"/>
  <c r="O183" i="6"/>
  <c r="O210" i="6"/>
  <c r="O326" i="6"/>
  <c r="O184" i="6"/>
  <c r="O265" i="6"/>
  <c r="O279" i="6"/>
  <c r="K513" i="10"/>
  <c r="K515" i="10"/>
  <c r="K461" i="10"/>
  <c r="K463" i="10"/>
  <c r="L447" i="10"/>
  <c r="L454" i="10"/>
  <c r="L337" i="10"/>
  <c r="N306" i="6"/>
  <c r="N313" i="6"/>
  <c r="N321" i="6"/>
  <c r="N289" i="6"/>
  <c r="N171" i="6"/>
  <c r="N276" i="6"/>
  <c r="N381" i="6"/>
  <c r="K396" i="10"/>
  <c r="K398" i="10"/>
  <c r="M299" i="5"/>
  <c r="K285" i="5"/>
  <c r="K201" i="5"/>
  <c r="K340" i="5"/>
  <c r="K232" i="5"/>
  <c r="N319" i="5"/>
  <c r="N326" i="5"/>
  <c r="L249" i="5"/>
  <c r="L256" i="5"/>
  <c r="L365" i="5"/>
  <c r="L369" i="5"/>
  <c r="L371" i="5"/>
  <c r="O146" i="5"/>
  <c r="K237" i="5"/>
  <c r="K344" i="5"/>
  <c r="L304" i="5"/>
  <c r="L311" i="5"/>
  <c r="L410" i="5"/>
  <c r="L415" i="5"/>
  <c r="L417" i="5"/>
  <c r="O182" i="5"/>
  <c r="O267" i="5"/>
  <c r="O378" i="5"/>
  <c r="O183" i="5"/>
  <c r="O268" i="5"/>
  <c r="O379" i="5"/>
  <c r="O215" i="5"/>
  <c r="O324" i="5"/>
  <c r="O426" i="5"/>
  <c r="O180" i="5"/>
  <c r="O265" i="5"/>
  <c r="O376" i="5"/>
  <c r="O210" i="5"/>
  <c r="O212" i="5"/>
  <c r="O321" i="5"/>
  <c r="O423" i="5"/>
  <c r="O211" i="5"/>
  <c r="O320" i="5"/>
  <c r="O422" i="5"/>
  <c r="O214" i="5"/>
  <c r="O323" i="5"/>
  <c r="O425" i="5"/>
  <c r="O179" i="5"/>
  <c r="O181" i="5"/>
  <c r="O266" i="5"/>
  <c r="O377" i="5"/>
  <c r="O213" i="5"/>
  <c r="O322" i="5"/>
  <c r="O424" i="5"/>
  <c r="O184" i="5"/>
  <c r="O269" i="5"/>
  <c r="O380" i="5"/>
  <c r="N264" i="5"/>
  <c r="N271" i="5"/>
  <c r="M421" i="5"/>
  <c r="M428" i="5"/>
  <c r="I295" i="5"/>
  <c r="J446" i="5"/>
  <c r="J448" i="5"/>
  <c r="J346" i="5"/>
  <c r="M375" i="5"/>
  <c r="M382" i="5"/>
  <c r="L231" i="5"/>
  <c r="L345" i="5"/>
  <c r="L447" i="5"/>
  <c r="L235" i="5"/>
  <c r="J400" i="5"/>
  <c r="J402" i="5"/>
  <c r="J291" i="5"/>
  <c r="K289" i="5"/>
  <c r="K206" i="5"/>
  <c r="M245" i="5"/>
  <c r="J396" i="5"/>
  <c r="J397" i="5"/>
  <c r="J286" i="5"/>
  <c r="N147" i="5"/>
  <c r="N165" i="5"/>
  <c r="J442" i="5"/>
  <c r="J443" i="5"/>
  <c r="J341" i="5"/>
  <c r="L204" i="5"/>
  <c r="L290" i="5"/>
  <c r="L401" i="5"/>
  <c r="L200" i="5"/>
  <c r="M204" i="5"/>
  <c r="N300" i="5"/>
  <c r="N411" i="5"/>
  <c r="N171" i="5"/>
  <c r="K354" i="5"/>
  <c r="M406" i="4"/>
  <c r="M411" i="4"/>
  <c r="M304" i="4"/>
  <c r="N334" i="4"/>
  <c r="N294" i="4"/>
  <c r="N181" i="4"/>
  <c r="O116" i="4"/>
  <c r="O120" i="4"/>
  <c r="O179" i="4"/>
  <c r="O245" i="4"/>
  <c r="O209" i="4"/>
  <c r="O345" i="4"/>
  <c r="O448" i="4"/>
  <c r="O340" i="4"/>
  <c r="O443" i="4"/>
  <c r="O229" i="4"/>
  <c r="O246" i="4"/>
  <c r="O208" i="4"/>
  <c r="O350" i="4"/>
  <c r="O453" i="4"/>
  <c r="O300" i="4"/>
  <c r="O407" i="4"/>
  <c r="O242" i="4"/>
  <c r="O180" i="4"/>
  <c r="O295" i="4"/>
  <c r="O402" i="4"/>
  <c r="O247" i="4"/>
  <c r="O238" i="4"/>
  <c r="O171" i="4"/>
  <c r="O286" i="4"/>
  <c r="O393" i="4"/>
  <c r="O203" i="4"/>
  <c r="O339" i="4"/>
  <c r="O442" i="4"/>
  <c r="O202" i="4"/>
  <c r="O338" i="4"/>
  <c r="O441" i="4"/>
  <c r="O173" i="4"/>
  <c r="O288" i="4"/>
  <c r="O395" i="4"/>
  <c r="O252" i="4"/>
  <c r="O237" i="4"/>
  <c r="O290" i="4"/>
  <c r="O397" i="4"/>
  <c r="O231" i="4"/>
  <c r="O169" i="4"/>
  <c r="O233" i="4"/>
  <c r="O198" i="4"/>
  <c r="O232" i="4"/>
  <c r="O170" i="4"/>
  <c r="O285" i="4"/>
  <c r="O392" i="4"/>
  <c r="O174" i="4"/>
  <c r="O289" i="4"/>
  <c r="O396" i="4"/>
  <c r="O200" i="4"/>
  <c r="O336" i="4"/>
  <c r="O439" i="4"/>
  <c r="O199" i="4"/>
  <c r="O335" i="4"/>
  <c r="O438" i="4"/>
  <c r="O155" i="4"/>
  <c r="O172" i="4"/>
  <c r="O287" i="4"/>
  <c r="O394" i="4"/>
  <c r="N349" i="4"/>
  <c r="M460" i="4"/>
  <c r="M462" i="4"/>
  <c r="M359" i="4"/>
  <c r="M354" i="4"/>
  <c r="M452" i="4"/>
  <c r="M457" i="4"/>
  <c r="N254" i="4"/>
  <c r="N249" i="4"/>
  <c r="M391" i="4"/>
  <c r="M398" i="4"/>
  <c r="N284" i="4"/>
  <c r="N291" i="4"/>
  <c r="N239" i="4"/>
  <c r="M269" i="4"/>
  <c r="M273" i="4"/>
  <c r="M384" i="4"/>
  <c r="M385" i="4"/>
  <c r="M378" i="4"/>
  <c r="M380" i="4"/>
  <c r="N267" i="4"/>
  <c r="N299" i="4"/>
  <c r="N210" i="4"/>
  <c r="N344" i="4"/>
  <c r="M447" i="4"/>
  <c r="M449" i="4"/>
  <c r="M346" i="4"/>
  <c r="L361" i="4"/>
  <c r="M296" i="4"/>
  <c r="M401" i="4"/>
  <c r="M403" i="4"/>
  <c r="M310" i="3"/>
  <c r="M414" i="3"/>
  <c r="M418" i="3"/>
  <c r="O199" i="3"/>
  <c r="O294" i="3"/>
  <c r="O402" i="3"/>
  <c r="O201" i="3"/>
  <c r="O296" i="3"/>
  <c r="O404" i="3"/>
  <c r="O200" i="3"/>
  <c r="O295" i="3"/>
  <c r="O403" i="3"/>
  <c r="O207" i="3"/>
  <c r="O302" i="3"/>
  <c r="O410" i="3"/>
  <c r="O206" i="3"/>
  <c r="O196" i="3"/>
  <c r="O112" i="3"/>
  <c r="O116" i="3"/>
  <c r="O162" i="3"/>
  <c r="O297" i="3"/>
  <c r="O405" i="3"/>
  <c r="O198" i="3"/>
  <c r="O293" i="3"/>
  <c r="O401" i="3"/>
  <c r="O156" i="3"/>
  <c r="N291" i="3"/>
  <c r="N306" i="3"/>
  <c r="M421" i="3"/>
  <c r="M423" i="3"/>
  <c r="M315" i="3"/>
  <c r="K319" i="3"/>
  <c r="N301" i="3"/>
  <c r="N208" i="3"/>
  <c r="M303" i="3"/>
  <c r="M409" i="3"/>
  <c r="M411" i="3"/>
  <c r="M298" i="3"/>
  <c r="M399" i="3"/>
  <c r="M406" i="3"/>
  <c r="G507" i="6"/>
  <c r="G508" i="6"/>
  <c r="G502" i="6"/>
  <c r="K502" i="6"/>
  <c r="F507" i="6"/>
  <c r="F508" i="6"/>
  <c r="F502" i="6"/>
  <c r="J507" i="6"/>
  <c r="J508" i="6"/>
  <c r="J502" i="6"/>
  <c r="I507" i="6"/>
  <c r="I508" i="6"/>
  <c r="I502" i="6"/>
  <c r="H507" i="6"/>
  <c r="H508" i="6"/>
  <c r="H502" i="6"/>
  <c r="M231" i="9"/>
  <c r="M333" i="9"/>
  <c r="M448" i="9"/>
  <c r="H343" i="9"/>
  <c r="H344" i="9"/>
  <c r="M230" i="9"/>
  <c r="M332" i="9"/>
  <c r="H458" i="9"/>
  <c r="H459" i="9"/>
  <c r="H469" i="9"/>
  <c r="I453" i="9"/>
  <c r="I458" i="9"/>
  <c r="I459" i="9"/>
  <c r="J336" i="9"/>
  <c r="J338" i="9"/>
  <c r="J451" i="9"/>
  <c r="J458" i="9"/>
  <c r="J459" i="9"/>
  <c r="L457" i="9"/>
  <c r="L328" i="9"/>
  <c r="L227" i="9"/>
  <c r="N291" i="9"/>
  <c r="N171" i="9"/>
  <c r="K443" i="9"/>
  <c r="K444" i="9"/>
  <c r="K329" i="9"/>
  <c r="L332" i="9"/>
  <c r="L232" i="9"/>
  <c r="M328" i="9"/>
  <c r="M227" i="9"/>
  <c r="M406" i="9"/>
  <c r="M408" i="9"/>
  <c r="M415" i="9"/>
  <c r="M293" i="9"/>
  <c r="M300" i="9"/>
  <c r="N157" i="9"/>
  <c r="K447" i="9"/>
  <c r="K449" i="9"/>
  <c r="K334" i="9"/>
  <c r="O167" i="9"/>
  <c r="O154" i="9"/>
  <c r="O168" i="9"/>
  <c r="O292" i="9"/>
  <c r="O407" i="9"/>
  <c r="K507" i="6"/>
  <c r="K508" i="6"/>
  <c r="K518" i="6"/>
  <c r="O246" i="10"/>
  <c r="O275" i="10"/>
  <c r="O276" i="10"/>
  <c r="O277" i="10"/>
  <c r="O278" i="10"/>
  <c r="N215" i="3"/>
  <c r="O245" i="10"/>
  <c r="O244" i="10"/>
  <c r="O247" i="10"/>
  <c r="O215" i="10"/>
  <c r="O216" i="10"/>
  <c r="O213" i="10"/>
  <c r="O214" i="10"/>
  <c r="O224" i="9"/>
  <c r="O326" i="9"/>
  <c r="O441" i="9"/>
  <c r="O225" i="9"/>
  <c r="O327" i="9"/>
  <c r="O442" i="9"/>
  <c r="O223" i="9"/>
  <c r="O325" i="9"/>
  <c r="O440" i="9"/>
  <c r="N271" i="6"/>
  <c r="N197" i="9"/>
  <c r="O194" i="9"/>
  <c r="O275" i="9"/>
  <c r="O390" i="9"/>
  <c r="O195" i="9"/>
  <c r="O276" i="9"/>
  <c r="O391" i="9"/>
  <c r="O193" i="9"/>
  <c r="O274" i="9"/>
  <c r="O389" i="9"/>
  <c r="N189" i="4"/>
  <c r="O237" i="6"/>
  <c r="O374" i="6"/>
  <c r="O489" i="6"/>
  <c r="O268" i="6"/>
  <c r="O269" i="6"/>
  <c r="O267" i="6"/>
  <c r="O238" i="6"/>
  <c r="O375" i="6"/>
  <c r="O490" i="6"/>
  <c r="N211" i="6"/>
  <c r="O239" i="6"/>
  <c r="O376" i="6"/>
  <c r="O491" i="6"/>
  <c r="O208" i="6"/>
  <c r="O324" i="6"/>
  <c r="O385" i="10"/>
  <c r="O502" i="10"/>
  <c r="O209" i="6"/>
  <c r="O325" i="6"/>
  <c r="O440" i="6"/>
  <c r="O207" i="6"/>
  <c r="O323" i="6"/>
  <c r="O438" i="6"/>
  <c r="N218" i="4"/>
  <c r="O228" i="5"/>
  <c r="O337" i="5"/>
  <c r="O439" i="5"/>
  <c r="O229" i="5"/>
  <c r="O338" i="5"/>
  <c r="O440" i="5"/>
  <c r="O230" i="5"/>
  <c r="O339" i="5"/>
  <c r="O441" i="5"/>
  <c r="O227" i="5"/>
  <c r="N187" i="3"/>
  <c r="O197" i="5"/>
  <c r="O282" i="5"/>
  <c r="O393" i="5"/>
  <c r="O198" i="5"/>
  <c r="O199" i="5"/>
  <c r="O284" i="5"/>
  <c r="O395" i="5"/>
  <c r="O196" i="5"/>
  <c r="O281" i="5"/>
  <c r="O392" i="5"/>
  <c r="O217" i="4"/>
  <c r="O353" i="4"/>
  <c r="O456" i="4"/>
  <c r="O215" i="4"/>
  <c r="O351" i="4"/>
  <c r="O454" i="4"/>
  <c r="O216" i="4"/>
  <c r="O352" i="4"/>
  <c r="O455" i="4"/>
  <c r="O187" i="4"/>
  <c r="O302" i="4"/>
  <c r="O409" i="4"/>
  <c r="O188" i="4"/>
  <c r="O303" i="4"/>
  <c r="O410" i="4"/>
  <c r="O186" i="4"/>
  <c r="O301" i="4"/>
  <c r="O408" i="4"/>
  <c r="O186" i="3"/>
  <c r="O261" i="3"/>
  <c r="O369" i="3"/>
  <c r="O214" i="3"/>
  <c r="O309" i="3"/>
  <c r="O417" i="3"/>
  <c r="O256" i="8"/>
  <c r="O364" i="8"/>
  <c r="O475" i="8"/>
  <c r="O257" i="8"/>
  <c r="O365" i="8"/>
  <c r="O476" i="8"/>
  <c r="O224" i="8"/>
  <c r="O310" i="8"/>
  <c r="O425" i="8"/>
  <c r="O225" i="8"/>
  <c r="O311" i="8"/>
  <c r="O426" i="8"/>
  <c r="O228" i="8"/>
  <c r="O314" i="8"/>
  <c r="O429" i="8"/>
  <c r="O189" i="7"/>
  <c r="O306" i="7"/>
  <c r="O410" i="7"/>
  <c r="O219" i="7"/>
  <c r="O357" i="7"/>
  <c r="O452" i="7"/>
  <c r="O217" i="7"/>
  <c r="O355" i="7"/>
  <c r="O450" i="7"/>
  <c r="O218" i="7"/>
  <c r="O356" i="7"/>
  <c r="O451" i="7"/>
  <c r="O187" i="7"/>
  <c r="O304" i="7"/>
  <c r="O408" i="7"/>
  <c r="O188" i="7"/>
  <c r="O305" i="7"/>
  <c r="O409" i="7"/>
  <c r="N191" i="7"/>
  <c r="M375" i="8"/>
  <c r="M267" i="8"/>
  <c r="M486" i="8"/>
  <c r="N265" i="8"/>
  <c r="N373" i="8"/>
  <c r="N484" i="8"/>
  <c r="N266" i="8"/>
  <c r="N374" i="8"/>
  <c r="N485" i="8"/>
  <c r="R664" i="8"/>
  <c r="Q663" i="8"/>
  <c r="P662" i="8"/>
  <c r="N660" i="8"/>
  <c r="N665" i="8"/>
  <c r="N670" i="8"/>
  <c r="O661" i="8"/>
  <c r="N354" i="8"/>
  <c r="N246" i="8"/>
  <c r="O169" i="8"/>
  <c r="O261" i="8"/>
  <c r="O369" i="8"/>
  <c r="O480" i="8"/>
  <c r="O199" i="8"/>
  <c r="O330" i="8"/>
  <c r="O445" i="8"/>
  <c r="L248" i="10"/>
  <c r="L249" i="10"/>
  <c r="L252" i="10"/>
  <c r="L392" i="10"/>
  <c r="L509" i="10"/>
  <c r="L511" i="10"/>
  <c r="K427" i="3"/>
  <c r="M431" i="3"/>
  <c r="M323" i="3"/>
  <c r="N220" i="3"/>
  <c r="O161" i="3"/>
  <c r="O160" i="3"/>
  <c r="N163" i="3"/>
  <c r="N157" i="3"/>
  <c r="O155" i="3"/>
  <c r="O276" i="3"/>
  <c r="O384" i="3"/>
  <c r="O154" i="3"/>
  <c r="O275" i="3"/>
  <c r="L432" i="3"/>
  <c r="L433" i="3"/>
  <c r="M377" i="3"/>
  <c r="M379" i="3"/>
  <c r="F443" i="3"/>
  <c r="F448" i="3"/>
  <c r="F453" i="3"/>
  <c r="H445" i="3"/>
  <c r="G444" i="3"/>
  <c r="I446" i="3"/>
  <c r="J447" i="3"/>
  <c r="O243" i="3"/>
  <c r="O175" i="3"/>
  <c r="N373" i="3"/>
  <c r="N375" i="3"/>
  <c r="N267" i="3"/>
  <c r="J446" i="3"/>
  <c r="H444" i="3"/>
  <c r="O258" i="3"/>
  <c r="O180" i="3"/>
  <c r="O254" i="3"/>
  <c r="O362" i="3"/>
  <c r="N366" i="3"/>
  <c r="N370" i="3"/>
  <c r="N262" i="3"/>
  <c r="N351" i="3"/>
  <c r="N358" i="3"/>
  <c r="N250" i="3"/>
  <c r="L324" i="3"/>
  <c r="L325" i="3"/>
  <c r="O219" i="3"/>
  <c r="O314" i="3"/>
  <c r="O422" i="3"/>
  <c r="K447" i="3"/>
  <c r="O336" i="3"/>
  <c r="O265" i="3"/>
  <c r="O192" i="3"/>
  <c r="N335" i="3"/>
  <c r="N337" i="3"/>
  <c r="N343" i="3"/>
  <c r="N229" i="3"/>
  <c r="N235" i="3"/>
  <c r="G443" i="3"/>
  <c r="M269" i="3"/>
  <c r="M271" i="3"/>
  <c r="O227" i="3"/>
  <c r="O335" i="3"/>
  <c r="O151" i="3"/>
  <c r="O361" i="3"/>
  <c r="N361" i="3"/>
  <c r="N363" i="3"/>
  <c r="N255" i="3"/>
  <c r="O208" i="10"/>
  <c r="O177" i="10"/>
  <c r="O239" i="10"/>
  <c r="O270" i="10"/>
  <c r="F601" i="10"/>
  <c r="K601" i="10"/>
  <c r="K590" i="10"/>
  <c r="F590" i="10"/>
  <c r="K579" i="10"/>
  <c r="F579" i="10"/>
  <c r="F570" i="10"/>
  <c r="K570" i="10"/>
  <c r="F561" i="10"/>
  <c r="K561" i="10"/>
  <c r="K611" i="10"/>
  <c r="F620" i="10"/>
  <c r="K620" i="10"/>
  <c r="F611" i="10"/>
  <c r="O285" i="10"/>
  <c r="K552" i="10"/>
  <c r="O265" i="10"/>
  <c r="N423" i="9"/>
  <c r="N430" i="9"/>
  <c r="F558" i="9"/>
  <c r="F549" i="9"/>
  <c r="F539" i="9"/>
  <c r="F528" i="9"/>
  <c r="F517" i="9"/>
  <c r="F508" i="9"/>
  <c r="F499" i="9"/>
  <c r="F490" i="9"/>
  <c r="K558" i="9"/>
  <c r="K549" i="9"/>
  <c r="K539" i="9"/>
  <c r="K528" i="9"/>
  <c r="K517" i="9"/>
  <c r="K508" i="9"/>
  <c r="K499" i="9"/>
  <c r="K490" i="9"/>
  <c r="N372" i="9"/>
  <c r="N379" i="9"/>
  <c r="N479" i="6"/>
  <c r="F551" i="3"/>
  <c r="K551" i="3"/>
  <c r="K513" i="3"/>
  <c r="K542" i="3"/>
  <c r="F542" i="3"/>
  <c r="F532" i="3"/>
  <c r="F523" i="3"/>
  <c r="F513" i="3"/>
  <c r="F502" i="3"/>
  <c r="F491" i="3"/>
  <c r="F482" i="3"/>
  <c r="F473" i="3"/>
  <c r="F464" i="3"/>
  <c r="K532" i="3"/>
  <c r="K523" i="3"/>
  <c r="K482" i="3"/>
  <c r="K473" i="3"/>
  <c r="K491" i="3"/>
  <c r="K464" i="3"/>
  <c r="O223" i="5"/>
  <c r="O330" i="5"/>
  <c r="O432" i="5"/>
  <c r="O434" i="5"/>
  <c r="O192" i="5"/>
  <c r="O388" i="5"/>
  <c r="O197" i="6"/>
  <c r="M168" i="5"/>
  <c r="O227" i="6"/>
  <c r="N364" i="6"/>
  <c r="O257" i="6"/>
  <c r="O217" i="5"/>
  <c r="O186" i="5"/>
  <c r="O203" i="3"/>
  <c r="O203" i="10"/>
  <c r="O234" i="10"/>
  <c r="O308" i="9"/>
  <c r="O213" i="9"/>
  <c r="O257" i="9"/>
  <c r="O264" i="9"/>
  <c r="O183" i="9"/>
  <c r="O221" i="9"/>
  <c r="O323" i="9"/>
  <c r="O438" i="9"/>
  <c r="O246" i="8"/>
  <c r="O214" i="8"/>
  <c r="M225" i="7"/>
  <c r="M363" i="7"/>
  <c r="M458" i="7"/>
  <c r="M633" i="7"/>
  <c r="M638" i="7"/>
  <c r="M643" i="7"/>
  <c r="P636" i="7"/>
  <c r="N634" i="7"/>
  <c r="O635" i="7"/>
  <c r="Q637" i="7"/>
  <c r="O177" i="7"/>
  <c r="K471" i="4"/>
  <c r="N205" i="4"/>
  <c r="O221" i="4"/>
  <c r="O223" i="4"/>
  <c r="N341" i="4"/>
  <c r="O201" i="4"/>
  <c r="O337" i="4"/>
  <c r="O440" i="4"/>
  <c r="J471" i="4"/>
  <c r="L259" i="4"/>
  <c r="O230" i="4"/>
  <c r="M258" i="4"/>
  <c r="M257" i="4"/>
  <c r="N222" i="4"/>
  <c r="N358" i="4"/>
  <c r="N461" i="4"/>
  <c r="N221" i="4"/>
  <c r="L274" i="4"/>
  <c r="L276" i="4"/>
  <c r="N158" i="4"/>
  <c r="L368" i="4"/>
  <c r="O193" i="4"/>
  <c r="O308" i="4"/>
  <c r="O415" i="4"/>
  <c r="L387" i="4"/>
  <c r="L420" i="4"/>
  <c r="O176" i="4"/>
  <c r="M387" i="4"/>
  <c r="O222" i="8"/>
  <c r="O308" i="8"/>
  <c r="O423" i="8"/>
  <c r="M391" i="6"/>
  <c r="L387" i="6"/>
  <c r="L392" i="6"/>
  <c r="L393" i="6"/>
  <c r="N202" i="8"/>
  <c r="N341" i="7"/>
  <c r="N436" i="7"/>
  <c r="O203" i="7"/>
  <c r="O341" i="7"/>
  <c r="O436" i="7"/>
  <c r="O148" i="7"/>
  <c r="O162" i="7"/>
  <c r="O322" i="7"/>
  <c r="O426" i="7"/>
  <c r="G203" i="7"/>
  <c r="G207" i="7"/>
  <c r="F203" i="7"/>
  <c r="F207" i="7"/>
  <c r="H203" i="7"/>
  <c r="H207" i="7"/>
  <c r="I203" i="7"/>
  <c r="I207" i="7"/>
  <c r="J203" i="7"/>
  <c r="J207" i="7"/>
  <c r="K203" i="7"/>
  <c r="K207" i="7"/>
  <c r="L203" i="7"/>
  <c r="L207" i="7"/>
  <c r="M203" i="7"/>
  <c r="M207" i="7"/>
  <c r="K352" i="8"/>
  <c r="K354" i="8"/>
  <c r="G352" i="8"/>
  <c r="G354" i="8"/>
  <c r="J352" i="8"/>
  <c r="J354" i="8"/>
  <c r="F352" i="8"/>
  <c r="F354" i="8"/>
  <c r="M352" i="8"/>
  <c r="M354" i="8"/>
  <c r="H352" i="8"/>
  <c r="H354" i="8"/>
  <c r="L352" i="8"/>
  <c r="L354" i="8"/>
  <c r="I352" i="8"/>
  <c r="I354" i="8"/>
  <c r="I457" i="5"/>
  <c r="I458" i="5"/>
  <c r="L456" i="5"/>
  <c r="N193" i="4"/>
  <c r="N308" i="4"/>
  <c r="N415" i="4"/>
  <c r="M309" i="4"/>
  <c r="M311" i="4"/>
  <c r="M194" i="4"/>
  <c r="N166" i="5"/>
  <c r="N246" i="5"/>
  <c r="N366" i="5"/>
  <c r="H473" i="5"/>
  <c r="H478" i="5"/>
  <c r="G473" i="5"/>
  <c r="G478" i="5"/>
  <c r="O275" i="8"/>
  <c r="O394" i="8"/>
  <c r="O396" i="8"/>
  <c r="O195" i="8"/>
  <c r="N195" i="8"/>
  <c r="N262" i="8"/>
  <c r="G440" i="8"/>
  <c r="G494" i="8"/>
  <c r="K440" i="8"/>
  <c r="K444" i="3"/>
  <c r="N447" i="3"/>
  <c r="J443" i="3"/>
  <c r="M446" i="3"/>
  <c r="J445" i="3"/>
  <c r="H443" i="3"/>
  <c r="I444" i="3"/>
  <c r="L447" i="3"/>
  <c r="K446" i="3"/>
  <c r="J444" i="3"/>
  <c r="K445" i="3"/>
  <c r="I443" i="3"/>
  <c r="M447" i="3"/>
  <c r="L446" i="3"/>
  <c r="J440" i="8"/>
  <c r="H531" i="10"/>
  <c r="F440" i="8"/>
  <c r="H474" i="9"/>
  <c r="H479" i="9"/>
  <c r="I531" i="10"/>
  <c r="J532" i="10"/>
  <c r="K533" i="10"/>
  <c r="F531" i="10"/>
  <c r="F536" i="10"/>
  <c r="F541" i="10"/>
  <c r="J535" i="10"/>
  <c r="H533" i="10"/>
  <c r="I534" i="10"/>
  <c r="G532" i="10"/>
  <c r="I532" i="10"/>
  <c r="K534" i="10"/>
  <c r="J533" i="10"/>
  <c r="L534" i="10"/>
  <c r="M334" i="6"/>
  <c r="M336" i="6"/>
  <c r="M400" i="9"/>
  <c r="M402" i="9"/>
  <c r="M248" i="10"/>
  <c r="M249" i="10"/>
  <c r="M285" i="9"/>
  <c r="M287" i="9"/>
  <c r="K325" i="8"/>
  <c r="N149" i="5"/>
  <c r="N205" i="5"/>
  <c r="M205" i="5"/>
  <c r="M290" i="5"/>
  <c r="M401" i="5"/>
  <c r="N155" i="5"/>
  <c r="N236" i="5"/>
  <c r="M235" i="5"/>
  <c r="M344" i="5"/>
  <c r="M236" i="5"/>
  <c r="M345" i="5"/>
  <c r="M447" i="5"/>
  <c r="N174" i="5"/>
  <c r="M200" i="5"/>
  <c r="M285" i="5"/>
  <c r="M231" i="5"/>
  <c r="M232" i="5"/>
  <c r="I452" i="5"/>
  <c r="M414" i="4"/>
  <c r="M416" i="4"/>
  <c r="M418" i="4"/>
  <c r="L290" i="10"/>
  <c r="M220" i="7"/>
  <c r="M221" i="7"/>
  <c r="I355" i="5"/>
  <c r="I356" i="5"/>
  <c r="L252" i="7"/>
  <c r="M224" i="7"/>
  <c r="L451" i="6"/>
  <c r="M447" i="6"/>
  <c r="N246" i="6"/>
  <c r="L507" i="6"/>
  <c r="L508" i="6"/>
  <c r="P522" i="6"/>
  <c r="L471" i="4"/>
  <c r="M288" i="10"/>
  <c r="M290" i="10"/>
  <c r="M223" i="10"/>
  <c r="M442" i="6"/>
  <c r="J348" i="5"/>
  <c r="J350" i="5"/>
  <c r="M253" i="10"/>
  <c r="M254" i="10"/>
  <c r="N281" i="6"/>
  <c r="J398" i="10"/>
  <c r="M457" i="9"/>
  <c r="N163" i="10"/>
  <c r="N252" i="10"/>
  <c r="L262" i="7"/>
  <c r="O320" i="8"/>
  <c r="O435" i="8"/>
  <c r="O319" i="8"/>
  <c r="J515" i="10"/>
  <c r="M279" i="10"/>
  <c r="M280" i="10"/>
  <c r="M361" i="4"/>
  <c r="L344" i="10"/>
  <c r="L346" i="10"/>
  <c r="N418" i="8"/>
  <c r="N420" i="8"/>
  <c r="N305" i="8"/>
  <c r="O362" i="8"/>
  <c r="O251" i="8"/>
  <c r="O357" i="8"/>
  <c r="N468" i="8"/>
  <c r="N470" i="8"/>
  <c r="N359" i="8"/>
  <c r="O219" i="8"/>
  <c r="O303" i="8"/>
  <c r="O329" i="8"/>
  <c r="N370" i="8"/>
  <c r="N473" i="8"/>
  <c r="N481" i="8"/>
  <c r="N444" i="8"/>
  <c r="N446" i="8"/>
  <c r="N454" i="8"/>
  <c r="N331" i="8"/>
  <c r="N339" i="8"/>
  <c r="N241" i="6"/>
  <c r="J404" i="5"/>
  <c r="J406" i="5"/>
  <c r="L533" i="10"/>
  <c r="L461" i="10"/>
  <c r="L463" i="10"/>
  <c r="K532" i="10"/>
  <c r="M534" i="10"/>
  <c r="L519" i="10"/>
  <c r="M500" i="6"/>
  <c r="M502" i="6"/>
  <c r="J531" i="10"/>
  <c r="J450" i="5"/>
  <c r="O277" i="5"/>
  <c r="N300" i="10"/>
  <c r="N307" i="10"/>
  <c r="N415" i="10"/>
  <c r="N417" i="10"/>
  <c r="N424" i="10"/>
  <c r="N484" i="10"/>
  <c r="N491" i="10"/>
  <c r="N432" i="10"/>
  <c r="N439" i="10"/>
  <c r="O217" i="10"/>
  <c r="O222" i="10"/>
  <c r="O221" i="10"/>
  <c r="N217" i="10"/>
  <c r="N222" i="10"/>
  <c r="N341" i="10"/>
  <c r="N458" i="10"/>
  <c r="N221" i="10"/>
  <c r="M342" i="9"/>
  <c r="O347" i="8"/>
  <c r="O354" i="8"/>
  <c r="N408" i="8"/>
  <c r="N415" i="8"/>
  <c r="N458" i="8"/>
  <c r="N465" i="8"/>
  <c r="O293" i="8"/>
  <c r="O300" i="8"/>
  <c r="O178" i="6"/>
  <c r="I533" i="10"/>
  <c r="K535" i="10"/>
  <c r="G531" i="10"/>
  <c r="J534" i="10"/>
  <c r="H532" i="10"/>
  <c r="O185" i="6"/>
  <c r="M425" i="3"/>
  <c r="O167" i="10"/>
  <c r="O188" i="10"/>
  <c r="O187" i="10"/>
  <c r="N191" i="10"/>
  <c r="N350" i="10"/>
  <c r="N184" i="10"/>
  <c r="O160" i="10"/>
  <c r="O181" i="10"/>
  <c r="O180" i="10"/>
  <c r="N170" i="10"/>
  <c r="N278" i="9"/>
  <c r="N387" i="9"/>
  <c r="N393" i="9"/>
  <c r="O272" i="9"/>
  <c r="O267" i="9"/>
  <c r="O188" i="9"/>
  <c r="N382" i="9"/>
  <c r="N384" i="9"/>
  <c r="N269" i="9"/>
  <c r="O240" i="9"/>
  <c r="O164" i="9"/>
  <c r="N320" i="9"/>
  <c r="N433" i="9"/>
  <c r="N435" i="9"/>
  <c r="O202" i="9"/>
  <c r="O281" i="9"/>
  <c r="N283" i="9"/>
  <c r="N396" i="9"/>
  <c r="N398" i="9"/>
  <c r="N242" i="9"/>
  <c r="N249" i="9"/>
  <c r="N355" i="9"/>
  <c r="N357" i="9"/>
  <c r="N364" i="9"/>
  <c r="O318" i="9"/>
  <c r="O218" i="9"/>
  <c r="N277" i="8"/>
  <c r="N285" i="8"/>
  <c r="N394" i="8"/>
  <c r="N396" i="8"/>
  <c r="N404" i="8"/>
  <c r="L430" i="8"/>
  <c r="L431" i="8"/>
  <c r="L316" i="8"/>
  <c r="O315" i="8"/>
  <c r="M235" i="8"/>
  <c r="M319" i="8"/>
  <c r="M315" i="8"/>
  <c r="M230" i="8"/>
  <c r="L434" i="8"/>
  <c r="L436" i="8"/>
  <c r="L321" i="8"/>
  <c r="N320" i="8"/>
  <c r="N435" i="8"/>
  <c r="N251" i="7"/>
  <c r="L421" i="7"/>
  <c r="L317" i="7"/>
  <c r="K383" i="8"/>
  <c r="N308" i="7"/>
  <c r="N406" i="7"/>
  <c r="N412" i="7"/>
  <c r="K494" i="8"/>
  <c r="O242" i="7"/>
  <c r="O257" i="7"/>
  <c r="O348" i="7"/>
  <c r="O212" i="7"/>
  <c r="N448" i="7"/>
  <c r="N321" i="7"/>
  <c r="N165" i="7"/>
  <c r="L358" i="7"/>
  <c r="L221" i="7"/>
  <c r="N433" i="7"/>
  <c r="O237" i="7"/>
  <c r="M251" i="7"/>
  <c r="M260" i="7"/>
  <c r="M261" i="7"/>
  <c r="N415" i="7"/>
  <c r="N417" i="7"/>
  <c r="N313" i="7"/>
  <c r="N391" i="7"/>
  <c r="N398" i="7"/>
  <c r="M323" i="7"/>
  <c r="M330" i="7"/>
  <c r="M425" i="7"/>
  <c r="M427" i="7"/>
  <c r="M429" i="7"/>
  <c r="M313" i="7"/>
  <c r="M315" i="7"/>
  <c r="M415" i="7"/>
  <c r="M417" i="7"/>
  <c r="M419" i="7"/>
  <c r="O302" i="7"/>
  <c r="O338" i="7"/>
  <c r="O196" i="7"/>
  <c r="O311" i="7"/>
  <c r="O182" i="7"/>
  <c r="O297" i="7"/>
  <c r="N401" i="7"/>
  <c r="N403" i="7"/>
  <c r="N299" i="7"/>
  <c r="L467" i="7"/>
  <c r="N443" i="7"/>
  <c r="N445" i="7"/>
  <c r="N350" i="7"/>
  <c r="K453" i="7"/>
  <c r="K454" i="7"/>
  <c r="K359" i="7"/>
  <c r="O287" i="7"/>
  <c r="O294" i="7"/>
  <c r="K364" i="7"/>
  <c r="K457" i="7"/>
  <c r="K459" i="7"/>
  <c r="O270" i="7"/>
  <c r="O158" i="7"/>
  <c r="O353" i="7"/>
  <c r="O161" i="7"/>
  <c r="L372" i="7"/>
  <c r="N151" i="7"/>
  <c r="L226" i="7"/>
  <c r="L362" i="7"/>
  <c r="N496" i="6"/>
  <c r="N498" i="6"/>
  <c r="N383" i="6"/>
  <c r="K520" i="10"/>
  <c r="K521" i="10"/>
  <c r="O246" i="6"/>
  <c r="O381" i="6"/>
  <c r="O367" i="6"/>
  <c r="O232" i="6"/>
  <c r="O316" i="10"/>
  <c r="O433" i="10"/>
  <c r="O368" i="10"/>
  <c r="O485" i="10"/>
  <c r="O422" i="6"/>
  <c r="M300" i="10"/>
  <c r="M307" i="10"/>
  <c r="M415" i="10"/>
  <c r="M417" i="10"/>
  <c r="M424" i="10"/>
  <c r="N291" i="6"/>
  <c r="N298" i="6"/>
  <c r="N404" i="6"/>
  <c r="N406" i="6"/>
  <c r="N413" i="6"/>
  <c r="N506" i="6"/>
  <c r="N421" i="6"/>
  <c r="N428" i="6"/>
  <c r="O281" i="6"/>
  <c r="O372" i="6"/>
  <c r="O216" i="6"/>
  <c r="O330" i="6"/>
  <c r="O320" i="10"/>
  <c r="O437" i="10"/>
  <c r="O426" i="6"/>
  <c r="O372" i="10"/>
  <c r="O489" i="10"/>
  <c r="O383" i="10"/>
  <c r="O500" i="10"/>
  <c r="O331" i="10"/>
  <c r="O448" i="10"/>
  <c r="O437" i="6"/>
  <c r="K403" i="10"/>
  <c r="K404" i="10"/>
  <c r="N431" i="6"/>
  <c r="N433" i="6"/>
  <c r="N318" i="6"/>
  <c r="L402" i="10"/>
  <c r="M432" i="10"/>
  <c r="M439" i="10"/>
  <c r="M506" i="6"/>
  <c r="O299" i="10"/>
  <c r="O416" i="10"/>
  <c r="O351" i="10"/>
  <c r="O468" i="10"/>
  <c r="O405" i="6"/>
  <c r="O306" i="6"/>
  <c r="O313" i="6"/>
  <c r="O316" i="6"/>
  <c r="O202" i="6"/>
  <c r="O369" i="10"/>
  <c r="O486" i="10"/>
  <c r="O423" i="6"/>
  <c r="O317" i="10"/>
  <c r="O434" i="10"/>
  <c r="O432" i="6"/>
  <c r="O378" i="10"/>
  <c r="O495" i="10"/>
  <c r="O326" i="10"/>
  <c r="O443" i="10"/>
  <c r="O357" i="6"/>
  <c r="O364" i="6"/>
  <c r="O341" i="10"/>
  <c r="O458" i="10"/>
  <c r="O393" i="10"/>
  <c r="O510" i="10"/>
  <c r="O446" i="6"/>
  <c r="O262" i="6"/>
  <c r="N445" i="6"/>
  <c r="N447" i="6"/>
  <c r="N332" i="6"/>
  <c r="L336" i="6"/>
  <c r="N378" i="6"/>
  <c r="N487" i="6"/>
  <c r="N493" i="6"/>
  <c r="M457" i="10"/>
  <c r="M459" i="10"/>
  <c r="M342" i="10"/>
  <c r="M494" i="10"/>
  <c r="M496" i="10"/>
  <c r="M379" i="10"/>
  <c r="N369" i="6"/>
  <c r="N482" i="6"/>
  <c r="N484" i="6"/>
  <c r="M499" i="10"/>
  <c r="M506" i="10"/>
  <c r="M389" i="10"/>
  <c r="O457" i="6"/>
  <c r="O464" i="6"/>
  <c r="N327" i="6"/>
  <c r="N436" i="6"/>
  <c r="N442" i="6"/>
  <c r="O441" i="6"/>
  <c r="O388" i="10"/>
  <c r="O505" i="10"/>
  <c r="O336" i="10"/>
  <c r="O453" i="10"/>
  <c r="O289" i="6"/>
  <c r="O171" i="6"/>
  <c r="O370" i="10"/>
  <c r="O487" i="10"/>
  <c r="O424" i="6"/>
  <c r="O318" i="10"/>
  <c r="O435" i="10"/>
  <c r="O425" i="6"/>
  <c r="O371" i="10"/>
  <c r="O488" i="10"/>
  <c r="O319" i="10"/>
  <c r="O436" i="10"/>
  <c r="O276" i="6"/>
  <c r="O427" i="6"/>
  <c r="O373" i="10"/>
  <c r="O490" i="10"/>
  <c r="O321" i="10"/>
  <c r="O438" i="10"/>
  <c r="O321" i="6"/>
  <c r="M484" i="10"/>
  <c r="M491" i="10"/>
  <c r="M509" i="10"/>
  <c r="M511" i="10"/>
  <c r="M394" i="10"/>
  <c r="M352" i="10"/>
  <c r="M359" i="10"/>
  <c r="M467" i="10"/>
  <c r="M469" i="10"/>
  <c r="M476" i="10"/>
  <c r="M385" i="6"/>
  <c r="M442" i="10"/>
  <c r="M444" i="10"/>
  <c r="M327" i="10"/>
  <c r="M447" i="10"/>
  <c r="M454" i="10"/>
  <c r="M337" i="10"/>
  <c r="O342" i="6"/>
  <c r="O349" i="6"/>
  <c r="L289" i="5"/>
  <c r="L206" i="5"/>
  <c r="L354" i="5"/>
  <c r="O300" i="5"/>
  <c r="O411" i="5"/>
  <c r="O171" i="5"/>
  <c r="K400" i="5"/>
  <c r="K402" i="5"/>
  <c r="K291" i="5"/>
  <c r="L340" i="5"/>
  <c r="L232" i="5"/>
  <c r="K346" i="5"/>
  <c r="K446" i="5"/>
  <c r="K448" i="5"/>
  <c r="O147" i="5"/>
  <c r="O165" i="5"/>
  <c r="N421" i="5"/>
  <c r="N428" i="5"/>
  <c r="K442" i="5"/>
  <c r="K443" i="5"/>
  <c r="K341" i="5"/>
  <c r="N299" i="5"/>
  <c r="L285" i="5"/>
  <c r="L201" i="5"/>
  <c r="N245" i="5"/>
  <c r="M249" i="5"/>
  <c r="M256" i="5"/>
  <c r="M365" i="5"/>
  <c r="M369" i="5"/>
  <c r="M371" i="5"/>
  <c r="O264" i="5"/>
  <c r="O271" i="5"/>
  <c r="M289" i="5"/>
  <c r="J293" i="5"/>
  <c r="L237" i="5"/>
  <c r="L344" i="5"/>
  <c r="N375" i="5"/>
  <c r="N382" i="5"/>
  <c r="O319" i="5"/>
  <c r="O326" i="5"/>
  <c r="K396" i="5"/>
  <c r="K397" i="5"/>
  <c r="K286" i="5"/>
  <c r="M304" i="5"/>
  <c r="M311" i="5"/>
  <c r="M410" i="5"/>
  <c r="M415" i="5"/>
  <c r="M417" i="5"/>
  <c r="M464" i="4"/>
  <c r="N354" i="4"/>
  <c r="N452" i="4"/>
  <c r="N457" i="4"/>
  <c r="O158" i="4"/>
  <c r="O267" i="4"/>
  <c r="O254" i="4"/>
  <c r="N296" i="4"/>
  <c r="N401" i="4"/>
  <c r="N403" i="4"/>
  <c r="N406" i="4"/>
  <c r="N411" i="4"/>
  <c r="N304" i="4"/>
  <c r="N391" i="4"/>
  <c r="N398" i="4"/>
  <c r="N414" i="4"/>
  <c r="O294" i="4"/>
  <c r="O181" i="4"/>
  <c r="N437" i="4"/>
  <c r="N444" i="4"/>
  <c r="O334" i="4"/>
  <c r="O284" i="4"/>
  <c r="O291" i="4"/>
  <c r="O239" i="4"/>
  <c r="O249" i="4"/>
  <c r="O344" i="4"/>
  <c r="O210" i="4"/>
  <c r="O349" i="4"/>
  <c r="N447" i="4"/>
  <c r="N449" i="4"/>
  <c r="N346" i="4"/>
  <c r="N269" i="4"/>
  <c r="N273" i="4"/>
  <c r="N384" i="4"/>
  <c r="N385" i="4"/>
  <c r="N378" i="4"/>
  <c r="N380" i="4"/>
  <c r="M274" i="4"/>
  <c r="M276" i="4"/>
  <c r="O307" i="4"/>
  <c r="O299" i="4"/>
  <c r="N277" i="3"/>
  <c r="N283" i="3"/>
  <c r="N383" i="3"/>
  <c r="N385" i="3"/>
  <c r="N391" i="3"/>
  <c r="O447" i="3"/>
  <c r="L444" i="3"/>
  <c r="N446" i="3"/>
  <c r="K443" i="3"/>
  <c r="M445" i="3"/>
  <c r="M317" i="3"/>
  <c r="N414" i="3"/>
  <c r="N418" i="3"/>
  <c r="N310" i="3"/>
  <c r="O208" i="3"/>
  <c r="O301" i="3"/>
  <c r="O306" i="3"/>
  <c r="N399" i="3"/>
  <c r="N406" i="3"/>
  <c r="N298" i="3"/>
  <c r="N303" i="3"/>
  <c r="N409" i="3"/>
  <c r="N411" i="3"/>
  <c r="O313" i="3"/>
  <c r="N421" i="3"/>
  <c r="N423" i="3"/>
  <c r="N315" i="3"/>
  <c r="L427" i="3"/>
  <c r="L319" i="3"/>
  <c r="O291" i="3"/>
  <c r="L520" i="6"/>
  <c r="J518" i="6"/>
  <c r="N522" i="6"/>
  <c r="M521" i="6"/>
  <c r="K519" i="6"/>
  <c r="K521" i="6"/>
  <c r="L522" i="6"/>
  <c r="H518" i="6"/>
  <c r="I519" i="6"/>
  <c r="J520" i="6"/>
  <c r="H519" i="6"/>
  <c r="I520" i="6"/>
  <c r="G518" i="6"/>
  <c r="K522" i="6"/>
  <c r="J521" i="6"/>
  <c r="J522" i="6"/>
  <c r="H520" i="6"/>
  <c r="I521" i="6"/>
  <c r="F518" i="6"/>
  <c r="F523" i="6"/>
  <c r="F528" i="6"/>
  <c r="G519" i="6"/>
  <c r="I518" i="6"/>
  <c r="M522" i="6"/>
  <c r="J519" i="6"/>
  <c r="K520" i="6"/>
  <c r="L521" i="6"/>
  <c r="M232" i="9"/>
  <c r="J453" i="9"/>
  <c r="J343" i="9"/>
  <c r="J344" i="9"/>
  <c r="K472" i="9"/>
  <c r="L473" i="9"/>
  <c r="J471" i="9"/>
  <c r="I470" i="9"/>
  <c r="O157" i="9"/>
  <c r="K336" i="9"/>
  <c r="K343" i="9"/>
  <c r="K344" i="9"/>
  <c r="L472" i="9"/>
  <c r="I469" i="9"/>
  <c r="K471" i="9"/>
  <c r="J470" i="9"/>
  <c r="M473" i="9"/>
  <c r="K451" i="9"/>
  <c r="K458" i="9"/>
  <c r="K459" i="9"/>
  <c r="N226" i="9"/>
  <c r="N231" i="9"/>
  <c r="N333" i="9"/>
  <c r="N448" i="9"/>
  <c r="N230" i="9"/>
  <c r="L447" i="9"/>
  <c r="L449" i="9"/>
  <c r="L334" i="9"/>
  <c r="L471" i="9"/>
  <c r="N473" i="9"/>
  <c r="K470" i="9"/>
  <c r="M472" i="9"/>
  <c r="J469" i="9"/>
  <c r="M329" i="9"/>
  <c r="M443" i="9"/>
  <c r="M444" i="9"/>
  <c r="O291" i="9"/>
  <c r="O171" i="9"/>
  <c r="L443" i="9"/>
  <c r="L444" i="9"/>
  <c r="L329" i="9"/>
  <c r="M447" i="9"/>
  <c r="M449" i="9"/>
  <c r="M334" i="9"/>
  <c r="N406" i="9"/>
  <c r="N408" i="9"/>
  <c r="N415" i="9"/>
  <c r="N293" i="9"/>
  <c r="N300" i="9"/>
  <c r="L519" i="6"/>
  <c r="N521" i="6"/>
  <c r="O522" i="6"/>
  <c r="M520" i="6"/>
  <c r="O241" i="6"/>
  <c r="O439" i="6"/>
  <c r="O218" i="10"/>
  <c r="O332" i="10"/>
  <c r="O449" i="10"/>
  <c r="O271" i="6"/>
  <c r="O384" i="10"/>
  <c r="O501" i="10"/>
  <c r="O387" i="10"/>
  <c r="O504" i="10"/>
  <c r="O197" i="9"/>
  <c r="O335" i="10"/>
  <c r="O452" i="10"/>
  <c r="O211" i="6"/>
  <c r="O333" i="10"/>
  <c r="O450" i="10"/>
  <c r="O189" i="4"/>
  <c r="N253" i="10"/>
  <c r="N393" i="10"/>
  <c r="N510" i="10"/>
  <c r="O336" i="5"/>
  <c r="O438" i="5"/>
  <c r="O283" i="5"/>
  <c r="O394" i="5"/>
  <c r="O218" i="4"/>
  <c r="O187" i="3"/>
  <c r="O215" i="3"/>
  <c r="O191" i="7"/>
  <c r="N486" i="8"/>
  <c r="N488" i="8"/>
  <c r="N267" i="8"/>
  <c r="N375" i="8"/>
  <c r="N377" i="8"/>
  <c r="O265" i="8"/>
  <c r="O373" i="8"/>
  <c r="O484" i="8"/>
  <c r="O266" i="8"/>
  <c r="O374" i="8"/>
  <c r="O485" i="8"/>
  <c r="R663" i="8"/>
  <c r="R665" i="8"/>
  <c r="R670" i="8"/>
  <c r="Q662" i="8"/>
  <c r="Q665" i="8"/>
  <c r="Q670" i="8"/>
  <c r="S664" i="8"/>
  <c r="S665" i="8"/>
  <c r="S670" i="8"/>
  <c r="P661" i="8"/>
  <c r="P665" i="8"/>
  <c r="P670" i="8"/>
  <c r="O660" i="8"/>
  <c r="O665" i="8"/>
  <c r="O670" i="8"/>
  <c r="L388" i="10"/>
  <c r="L389" i="10"/>
  <c r="L394" i="10"/>
  <c r="L254" i="10"/>
  <c r="M324" i="3"/>
  <c r="M325" i="3"/>
  <c r="O363" i="3"/>
  <c r="O255" i="3"/>
  <c r="O163" i="3"/>
  <c r="O157" i="3"/>
  <c r="O220" i="3"/>
  <c r="H448" i="3"/>
  <c r="H453" i="3"/>
  <c r="G448" i="3"/>
  <c r="G453" i="3"/>
  <c r="O229" i="3"/>
  <c r="O235" i="3"/>
  <c r="N269" i="3"/>
  <c r="N271" i="3"/>
  <c r="O337" i="3"/>
  <c r="O343" i="3"/>
  <c r="O366" i="3"/>
  <c r="O370" i="3"/>
  <c r="O262" i="3"/>
  <c r="N377" i="3"/>
  <c r="N379" i="3"/>
  <c r="O351" i="3"/>
  <c r="O358" i="3"/>
  <c r="O250" i="3"/>
  <c r="N431" i="3"/>
  <c r="N323" i="3"/>
  <c r="O373" i="3"/>
  <c r="O375" i="3"/>
  <c r="O267" i="3"/>
  <c r="M432" i="3"/>
  <c r="M433" i="3"/>
  <c r="M392" i="6"/>
  <c r="M393" i="6"/>
  <c r="O332" i="5"/>
  <c r="N391" i="6"/>
  <c r="N194" i="4"/>
  <c r="O372" i="9"/>
  <c r="O379" i="9"/>
  <c r="O423" i="9"/>
  <c r="O430" i="9"/>
  <c r="O315" i="9"/>
  <c r="O230" i="8"/>
  <c r="M226" i="7"/>
  <c r="O345" i="7"/>
  <c r="R637" i="7"/>
  <c r="N633" i="7"/>
  <c r="N638" i="7"/>
  <c r="N643" i="7"/>
  <c r="Q636" i="7"/>
  <c r="O634" i="7"/>
  <c r="P635" i="7"/>
  <c r="N345" i="7"/>
  <c r="O207" i="7"/>
  <c r="N440" i="7"/>
  <c r="O357" i="4"/>
  <c r="O460" i="4"/>
  <c r="O462" i="4"/>
  <c r="O205" i="4"/>
  <c r="O341" i="4"/>
  <c r="N223" i="4"/>
  <c r="N357" i="4"/>
  <c r="M259" i="4"/>
  <c r="N257" i="4"/>
  <c r="N258" i="4"/>
  <c r="O194" i="4"/>
  <c r="L313" i="4"/>
  <c r="M420" i="4"/>
  <c r="N387" i="4"/>
  <c r="M456" i="5"/>
  <c r="M341" i="7"/>
  <c r="M345" i="7"/>
  <c r="L341" i="7"/>
  <c r="L345" i="7"/>
  <c r="H341" i="7"/>
  <c r="H345" i="7"/>
  <c r="I341" i="7"/>
  <c r="I345" i="7"/>
  <c r="K341" i="7"/>
  <c r="K345" i="7"/>
  <c r="F341" i="7"/>
  <c r="F345" i="7"/>
  <c r="J341" i="7"/>
  <c r="J345" i="7"/>
  <c r="G341" i="7"/>
  <c r="G345" i="7"/>
  <c r="L463" i="8"/>
  <c r="L377" i="8"/>
  <c r="M463" i="8"/>
  <c r="M377" i="8"/>
  <c r="G463" i="8"/>
  <c r="G377" i="8"/>
  <c r="J463" i="8"/>
  <c r="J377" i="8"/>
  <c r="J384" i="8"/>
  <c r="J385" i="8"/>
  <c r="I463" i="8"/>
  <c r="I377" i="8"/>
  <c r="H463" i="8"/>
  <c r="H377" i="8"/>
  <c r="K463" i="8"/>
  <c r="K377" i="8"/>
  <c r="F463" i="8"/>
  <c r="F377" i="8"/>
  <c r="J469" i="5"/>
  <c r="M472" i="5"/>
  <c r="L471" i="5"/>
  <c r="I468" i="5"/>
  <c r="I473" i="5"/>
  <c r="I478" i="5"/>
  <c r="K470" i="5"/>
  <c r="J452" i="5"/>
  <c r="J457" i="5"/>
  <c r="J458" i="5"/>
  <c r="K469" i="5"/>
  <c r="N416" i="4"/>
  <c r="N418" i="4"/>
  <c r="N309" i="4"/>
  <c r="N311" i="4"/>
  <c r="N168" i="5"/>
  <c r="O166" i="5"/>
  <c r="O246" i="5"/>
  <c r="O366" i="5"/>
  <c r="L438" i="8"/>
  <c r="L440" i="8"/>
  <c r="L323" i="8"/>
  <c r="L325" i="8"/>
  <c r="O277" i="8"/>
  <c r="O285" i="8"/>
  <c r="O202" i="8"/>
  <c r="O262" i="8"/>
  <c r="J448" i="3"/>
  <c r="J453" i="3"/>
  <c r="K448" i="3"/>
  <c r="K453" i="3"/>
  <c r="I448" i="3"/>
  <c r="I453" i="3"/>
  <c r="H536" i="10"/>
  <c r="H541" i="10"/>
  <c r="I536" i="10"/>
  <c r="I541" i="10"/>
  <c r="G536" i="10"/>
  <c r="G541" i="10"/>
  <c r="O521" i="6"/>
  <c r="M519" i="6"/>
  <c r="L518" i="6"/>
  <c r="N520" i="6"/>
  <c r="N400" i="9"/>
  <c r="N402" i="9"/>
  <c r="M362" i="7"/>
  <c r="M457" i="7"/>
  <c r="M459" i="7"/>
  <c r="N285" i="9"/>
  <c r="N287" i="9"/>
  <c r="N334" i="6"/>
  <c r="N336" i="6"/>
  <c r="M449" i="6"/>
  <c r="M507" i="6"/>
  <c r="M508" i="6"/>
  <c r="M358" i="7"/>
  <c r="M359" i="7"/>
  <c r="O149" i="5"/>
  <c r="O205" i="5"/>
  <c r="M206" i="5"/>
  <c r="M201" i="5"/>
  <c r="M237" i="5"/>
  <c r="O155" i="5"/>
  <c r="O236" i="5"/>
  <c r="K293" i="5"/>
  <c r="K404" i="5"/>
  <c r="K406" i="5"/>
  <c r="O174" i="5"/>
  <c r="M340" i="5"/>
  <c r="M341" i="5"/>
  <c r="O226" i="9"/>
  <c r="O328" i="9"/>
  <c r="O231" i="9"/>
  <c r="O333" i="9"/>
  <c r="O448" i="9"/>
  <c r="N261" i="7"/>
  <c r="M427" i="3"/>
  <c r="N260" i="7"/>
  <c r="N248" i="10"/>
  <c r="N388" i="10"/>
  <c r="O235" i="8"/>
  <c r="M402" i="10"/>
  <c r="O468" i="8"/>
  <c r="O470" i="8"/>
  <c r="O359" i="8"/>
  <c r="O444" i="8"/>
  <c r="O446" i="8"/>
  <c r="O454" i="8"/>
  <c r="O331" i="8"/>
  <c r="O339" i="8"/>
  <c r="O370" i="8"/>
  <c r="O473" i="8"/>
  <c r="O481" i="8"/>
  <c r="O418" i="8"/>
  <c r="O420" i="8"/>
  <c r="O305" i="8"/>
  <c r="J536" i="10"/>
  <c r="J541" i="10"/>
  <c r="O170" i="10"/>
  <c r="O279" i="10"/>
  <c r="O223" i="10"/>
  <c r="O260" i="7"/>
  <c r="O151" i="7"/>
  <c r="K450" i="5"/>
  <c r="N340" i="10"/>
  <c r="N223" i="10"/>
  <c r="N336" i="10"/>
  <c r="N218" i="10"/>
  <c r="O458" i="8"/>
  <c r="O465" i="8"/>
  <c r="O408" i="8"/>
  <c r="O415" i="8"/>
  <c r="M344" i="10"/>
  <c r="M346" i="10"/>
  <c r="K348" i="5"/>
  <c r="M461" i="10"/>
  <c r="M463" i="10"/>
  <c r="N352" i="10"/>
  <c r="N359" i="10"/>
  <c r="N467" i="10"/>
  <c r="N469" i="10"/>
  <c r="N476" i="10"/>
  <c r="O184" i="10"/>
  <c r="N392" i="10"/>
  <c r="N279" i="10"/>
  <c r="N288" i="10"/>
  <c r="N289" i="10"/>
  <c r="O163" i="10"/>
  <c r="O191" i="10"/>
  <c r="O283" i="9"/>
  <c r="O396" i="9"/>
  <c r="O398" i="9"/>
  <c r="O242" i="9"/>
  <c r="O249" i="9"/>
  <c r="O355" i="9"/>
  <c r="O357" i="9"/>
  <c r="O364" i="9"/>
  <c r="O382" i="9"/>
  <c r="O384" i="9"/>
  <c r="O269" i="9"/>
  <c r="O278" i="9"/>
  <c r="O387" i="9"/>
  <c r="O393" i="9"/>
  <c r="O433" i="9"/>
  <c r="O435" i="9"/>
  <c r="O320" i="9"/>
  <c r="O434" i="8"/>
  <c r="O436" i="8"/>
  <c r="O321" i="8"/>
  <c r="N315" i="8"/>
  <c r="N230" i="8"/>
  <c r="M316" i="8"/>
  <c r="M430" i="8"/>
  <c r="M431" i="8"/>
  <c r="O430" i="8"/>
  <c r="O431" i="8"/>
  <c r="O316" i="8"/>
  <c r="O402" i="8"/>
  <c r="O404" i="8"/>
  <c r="M321" i="8"/>
  <c r="M434" i="8"/>
  <c r="M436" i="8"/>
  <c r="N235" i="8"/>
  <c r="N319" i="8"/>
  <c r="O401" i="7"/>
  <c r="O403" i="7"/>
  <c r="O299" i="7"/>
  <c r="M372" i="7"/>
  <c r="M317" i="7"/>
  <c r="O308" i="7"/>
  <c r="O406" i="7"/>
  <c r="O412" i="7"/>
  <c r="M467" i="7"/>
  <c r="N323" i="7"/>
  <c r="N330" i="7"/>
  <c r="N425" i="7"/>
  <c r="N427" i="7"/>
  <c r="N429" i="7"/>
  <c r="L457" i="7"/>
  <c r="L459" i="7"/>
  <c r="L364" i="7"/>
  <c r="M421" i="7"/>
  <c r="O443" i="7"/>
  <c r="O445" i="7"/>
  <c r="O350" i="7"/>
  <c r="N252" i="7"/>
  <c r="O321" i="7"/>
  <c r="O165" i="7"/>
  <c r="M262" i="7"/>
  <c r="L453" i="7"/>
  <c r="L454" i="7"/>
  <c r="L359" i="7"/>
  <c r="N419" i="7"/>
  <c r="O448" i="7"/>
  <c r="N220" i="7"/>
  <c r="N225" i="7"/>
  <c r="N363" i="7"/>
  <c r="N458" i="7"/>
  <c r="N224" i="7"/>
  <c r="L383" i="8"/>
  <c r="O272" i="7"/>
  <c r="O279" i="7"/>
  <c r="O383" i="7"/>
  <c r="O385" i="7"/>
  <c r="O387" i="7"/>
  <c r="O391" i="7"/>
  <c r="O398" i="7"/>
  <c r="L494" i="8"/>
  <c r="O415" i="7"/>
  <c r="O417" i="7"/>
  <c r="O313" i="7"/>
  <c r="O433" i="7"/>
  <c r="O440" i="7"/>
  <c r="N315" i="7"/>
  <c r="M252" i="7"/>
  <c r="M519" i="10"/>
  <c r="O367" i="10"/>
  <c r="O374" i="10"/>
  <c r="O315" i="10"/>
  <c r="O322" i="10"/>
  <c r="O421" i="6"/>
  <c r="O428" i="6"/>
  <c r="O332" i="6"/>
  <c r="O392" i="10"/>
  <c r="O340" i="10"/>
  <c r="O445" i="6"/>
  <c r="O447" i="6"/>
  <c r="O378" i="6"/>
  <c r="O487" i="6"/>
  <c r="O493" i="6"/>
  <c r="N385" i="6"/>
  <c r="O382" i="10"/>
  <c r="O330" i="10"/>
  <c r="O327" i="6"/>
  <c r="O436" i="6"/>
  <c r="O369" i="6"/>
  <c r="O482" i="6"/>
  <c r="O484" i="6"/>
  <c r="L532" i="10"/>
  <c r="K531" i="10"/>
  <c r="K536" i="10"/>
  <c r="K541" i="10"/>
  <c r="N534" i="10"/>
  <c r="M533" i="10"/>
  <c r="O535" i="10"/>
  <c r="O298" i="10"/>
  <c r="O350" i="10"/>
  <c r="O291" i="6"/>
  <c r="O298" i="6"/>
  <c r="O404" i="6"/>
  <c r="O406" i="6"/>
  <c r="O413" i="6"/>
  <c r="O506" i="6"/>
  <c r="M396" i="10"/>
  <c r="O383" i="6"/>
  <c r="O496" i="6"/>
  <c r="O498" i="6"/>
  <c r="M387" i="6"/>
  <c r="N449" i="6"/>
  <c r="N451" i="6"/>
  <c r="M513" i="10"/>
  <c r="N500" i="6"/>
  <c r="O472" i="6"/>
  <c r="O479" i="6"/>
  <c r="O318" i="6"/>
  <c r="O325" i="10"/>
  <c r="O377" i="10"/>
  <c r="O431" i="6"/>
  <c r="O433" i="6"/>
  <c r="M354" i="5"/>
  <c r="O421" i="5"/>
  <c r="O428" i="5"/>
  <c r="O375" i="5"/>
  <c r="O382" i="5"/>
  <c r="N249" i="5"/>
  <c r="N256" i="5"/>
  <c r="N365" i="5"/>
  <c r="N369" i="5"/>
  <c r="N371" i="5"/>
  <c r="O245" i="5"/>
  <c r="J295" i="5"/>
  <c r="M291" i="5"/>
  <c r="M400" i="5"/>
  <c r="M402" i="5"/>
  <c r="N304" i="5"/>
  <c r="N311" i="5"/>
  <c r="N410" i="5"/>
  <c r="N415" i="5"/>
  <c r="N417" i="5"/>
  <c r="L291" i="5"/>
  <c r="L400" i="5"/>
  <c r="L402" i="5"/>
  <c r="N204" i="5"/>
  <c r="N200" i="5"/>
  <c r="N290" i="5"/>
  <c r="N401" i="5"/>
  <c r="N231" i="5"/>
  <c r="N345" i="5"/>
  <c r="N447" i="5"/>
  <c r="N235" i="5"/>
  <c r="L442" i="5"/>
  <c r="L443" i="5"/>
  <c r="L341" i="5"/>
  <c r="M396" i="5"/>
  <c r="M397" i="5"/>
  <c r="M286" i="5"/>
  <c r="L346" i="5"/>
  <c r="L446" i="5"/>
  <c r="L448" i="5"/>
  <c r="L396" i="5"/>
  <c r="L397" i="5"/>
  <c r="L286" i="5"/>
  <c r="M346" i="5"/>
  <c r="M446" i="5"/>
  <c r="M448" i="5"/>
  <c r="O299" i="5"/>
  <c r="J355" i="5"/>
  <c r="J356" i="5"/>
  <c r="O414" i="4"/>
  <c r="O416" i="4"/>
  <c r="O309" i="4"/>
  <c r="N274" i="4"/>
  <c r="N276" i="4"/>
  <c r="O401" i="4"/>
  <c r="O403" i="4"/>
  <c r="O296" i="4"/>
  <c r="M313" i="4"/>
  <c r="O391" i="4"/>
  <c r="O398" i="4"/>
  <c r="M471" i="4"/>
  <c r="O406" i="4"/>
  <c r="O411" i="4"/>
  <c r="O304" i="4"/>
  <c r="O447" i="4"/>
  <c r="O449" i="4"/>
  <c r="O346" i="4"/>
  <c r="O437" i="4"/>
  <c r="O444" i="4"/>
  <c r="O354" i="4"/>
  <c r="O452" i="4"/>
  <c r="O457" i="4"/>
  <c r="O269" i="4"/>
  <c r="O273" i="4"/>
  <c r="O384" i="4"/>
  <c r="O385" i="4"/>
  <c r="O378" i="4"/>
  <c r="O380" i="4"/>
  <c r="M368" i="4"/>
  <c r="O421" i="3"/>
  <c r="O423" i="3"/>
  <c r="O315" i="3"/>
  <c r="O303" i="3"/>
  <c r="O409" i="3"/>
  <c r="O411" i="3"/>
  <c r="O277" i="3"/>
  <c r="O283" i="3"/>
  <c r="O383" i="3"/>
  <c r="O385" i="3"/>
  <c r="O391" i="3"/>
  <c r="N425" i="3"/>
  <c r="O298" i="3"/>
  <c r="O399" i="3"/>
  <c r="O406" i="3"/>
  <c r="N445" i="3"/>
  <c r="P447" i="3"/>
  <c r="M444" i="3"/>
  <c r="L443" i="3"/>
  <c r="L448" i="3"/>
  <c r="L453" i="3"/>
  <c r="O446" i="3"/>
  <c r="N317" i="3"/>
  <c r="O414" i="3"/>
  <c r="O418" i="3"/>
  <c r="O310" i="3"/>
  <c r="M319" i="3"/>
  <c r="I474" i="9"/>
  <c r="I479" i="9"/>
  <c r="K523" i="6"/>
  <c r="K528" i="6"/>
  <c r="G523" i="6"/>
  <c r="G528" i="6"/>
  <c r="H523" i="6"/>
  <c r="H528" i="6"/>
  <c r="I523" i="6"/>
  <c r="I528" i="6"/>
  <c r="J523" i="6"/>
  <c r="J528" i="6"/>
  <c r="O230" i="9"/>
  <c r="O332" i="9"/>
  <c r="K338" i="9"/>
  <c r="K453" i="9"/>
  <c r="L451" i="9"/>
  <c r="L453" i="9"/>
  <c r="J474" i="9"/>
  <c r="J479" i="9"/>
  <c r="N342" i="9"/>
  <c r="L470" i="9"/>
  <c r="O473" i="9"/>
  <c r="N472" i="9"/>
  <c r="K469" i="9"/>
  <c r="K474" i="9"/>
  <c r="K479" i="9"/>
  <c r="M471" i="9"/>
  <c r="N457" i="9"/>
  <c r="M451" i="9"/>
  <c r="N232" i="9"/>
  <c r="N332" i="9"/>
  <c r="L336" i="9"/>
  <c r="O406" i="9"/>
  <c r="O408" i="9"/>
  <c r="O415" i="9"/>
  <c r="O293" i="9"/>
  <c r="O300" i="9"/>
  <c r="M336" i="9"/>
  <c r="N328" i="9"/>
  <c r="N227" i="9"/>
  <c r="L523" i="6"/>
  <c r="L528" i="6"/>
  <c r="O442" i="6"/>
  <c r="O449" i="6"/>
  <c r="O451" i="6"/>
  <c r="N254" i="10"/>
  <c r="O486" i="8"/>
  <c r="O488" i="8"/>
  <c r="O267" i="8"/>
  <c r="O375" i="8"/>
  <c r="O377" i="8"/>
  <c r="L396" i="10"/>
  <c r="L403" i="10"/>
  <c r="L404" i="10"/>
  <c r="L505" i="10"/>
  <c r="L506" i="10"/>
  <c r="L513" i="10"/>
  <c r="L515" i="10"/>
  <c r="N432" i="3"/>
  <c r="N433" i="3"/>
  <c r="N443" i="3"/>
  <c r="N324" i="3"/>
  <c r="N325" i="3"/>
  <c r="O431" i="3"/>
  <c r="O269" i="3"/>
  <c r="O271" i="3"/>
  <c r="O377" i="3"/>
  <c r="O379" i="3"/>
  <c r="O323" i="3"/>
  <c r="Q447" i="3"/>
  <c r="P446" i="3"/>
  <c r="O445" i="3"/>
  <c r="M443" i="3"/>
  <c r="M448" i="3"/>
  <c r="M453" i="3"/>
  <c r="N444" i="3"/>
  <c r="N392" i="6"/>
  <c r="N393" i="6"/>
  <c r="O168" i="5"/>
  <c r="M442" i="5"/>
  <c r="M443" i="5"/>
  <c r="M450" i="5"/>
  <c r="F465" i="8"/>
  <c r="F488" i="8"/>
  <c r="K465" i="8"/>
  <c r="K488" i="8"/>
  <c r="I465" i="8"/>
  <c r="I488" i="8"/>
  <c r="G465" i="8"/>
  <c r="G488" i="8"/>
  <c r="L465" i="8"/>
  <c r="L488" i="8"/>
  <c r="H465" i="8"/>
  <c r="H488" i="8"/>
  <c r="J465" i="8"/>
  <c r="J488" i="8"/>
  <c r="M465" i="8"/>
  <c r="M488" i="8"/>
  <c r="O220" i="7"/>
  <c r="O221" i="7"/>
  <c r="P634" i="7"/>
  <c r="P638" i="7"/>
  <c r="P643" i="7"/>
  <c r="Q635" i="7"/>
  <c r="Q638" i="7"/>
  <c r="Q643" i="7"/>
  <c r="S637" i="7"/>
  <c r="S638" i="7"/>
  <c r="S643" i="7"/>
  <c r="O633" i="7"/>
  <c r="O638" i="7"/>
  <c r="O643" i="7"/>
  <c r="R636" i="7"/>
  <c r="R638" i="7"/>
  <c r="R643" i="7"/>
  <c r="O359" i="4"/>
  <c r="O361" i="4"/>
  <c r="O258" i="4"/>
  <c r="O257" i="4"/>
  <c r="N259" i="4"/>
  <c r="N359" i="4"/>
  <c r="N361" i="4"/>
  <c r="N368" i="4"/>
  <c r="N460" i="4"/>
  <c r="N462" i="4"/>
  <c r="N464" i="4"/>
  <c r="N420" i="4"/>
  <c r="O387" i="4"/>
  <c r="J379" i="8"/>
  <c r="O391" i="6"/>
  <c r="N456" i="5"/>
  <c r="G436" i="7"/>
  <c r="G440" i="7"/>
  <c r="G461" i="7"/>
  <c r="G366" i="7"/>
  <c r="F436" i="7"/>
  <c r="F440" i="7"/>
  <c r="F461" i="7"/>
  <c r="F366" i="7"/>
  <c r="I436" i="7"/>
  <c r="I440" i="7"/>
  <c r="I461" i="7"/>
  <c r="I366" i="7"/>
  <c r="L436" i="7"/>
  <c r="L440" i="7"/>
  <c r="L461" i="7"/>
  <c r="L366" i="7"/>
  <c r="L368" i="7"/>
  <c r="J436" i="7"/>
  <c r="J440" i="7"/>
  <c r="J461" i="7"/>
  <c r="J366" i="7"/>
  <c r="K436" i="7"/>
  <c r="K440" i="7"/>
  <c r="K461" i="7"/>
  <c r="K468" i="7"/>
  <c r="K469" i="7"/>
  <c r="K366" i="7"/>
  <c r="K373" i="7"/>
  <c r="K374" i="7"/>
  <c r="H436" i="7"/>
  <c r="H440" i="7"/>
  <c r="H461" i="7"/>
  <c r="H366" i="7"/>
  <c r="M436" i="7"/>
  <c r="M440" i="7"/>
  <c r="F379" i="8"/>
  <c r="F384" i="8"/>
  <c r="F385" i="8"/>
  <c r="H379" i="8"/>
  <c r="H384" i="8"/>
  <c r="H385" i="8"/>
  <c r="I384" i="8"/>
  <c r="I385" i="8"/>
  <c r="I379" i="8"/>
  <c r="G379" i="8"/>
  <c r="G384" i="8"/>
  <c r="G385" i="8"/>
  <c r="K452" i="5"/>
  <c r="K457" i="5"/>
  <c r="K458" i="5"/>
  <c r="O472" i="5"/>
  <c r="M438" i="8"/>
  <c r="M440" i="8"/>
  <c r="O438" i="8"/>
  <c r="M323" i="8"/>
  <c r="O323" i="8"/>
  <c r="M494" i="8"/>
  <c r="O227" i="9"/>
  <c r="M453" i="7"/>
  <c r="M454" i="7"/>
  <c r="O224" i="7"/>
  <c r="O362" i="7"/>
  <c r="O285" i="9"/>
  <c r="O287" i="9"/>
  <c r="M451" i="6"/>
  <c r="O400" i="9"/>
  <c r="O402" i="9"/>
  <c r="M364" i="7"/>
  <c r="O334" i="6"/>
  <c r="O336" i="6"/>
  <c r="N249" i="10"/>
  <c r="O225" i="7"/>
  <c r="O363" i="7"/>
  <c r="O458" i="7"/>
  <c r="K295" i="5"/>
  <c r="K355" i="5"/>
  <c r="K356" i="5"/>
  <c r="M471" i="5"/>
  <c r="N262" i="7"/>
  <c r="Q522" i="6"/>
  <c r="N519" i="6"/>
  <c r="K350" i="5"/>
  <c r="M404" i="5"/>
  <c r="M406" i="5"/>
  <c r="M293" i="5"/>
  <c r="N427" i="3"/>
  <c r="J468" i="5"/>
  <c r="J473" i="5"/>
  <c r="J478" i="5"/>
  <c r="N472" i="5"/>
  <c r="L470" i="5"/>
  <c r="O288" i="10"/>
  <c r="O289" i="10"/>
  <c r="M520" i="10"/>
  <c r="M521" i="10"/>
  <c r="O261" i="7"/>
  <c r="O251" i="7"/>
  <c r="O315" i="7"/>
  <c r="L293" i="5"/>
  <c r="L295" i="5"/>
  <c r="O464" i="4"/>
  <c r="O457" i="9"/>
  <c r="L404" i="5"/>
  <c r="L406" i="5"/>
  <c r="N453" i="10"/>
  <c r="N454" i="10"/>
  <c r="N461" i="10"/>
  <c r="N463" i="10"/>
  <c r="N337" i="10"/>
  <c r="N344" i="10"/>
  <c r="N346" i="10"/>
  <c r="N342" i="10"/>
  <c r="N457" i="10"/>
  <c r="N459" i="10"/>
  <c r="P521" i="6"/>
  <c r="M518" i="6"/>
  <c r="M523" i="6"/>
  <c r="M528" i="6"/>
  <c r="O520" i="6"/>
  <c r="L348" i="5"/>
  <c r="O418" i="4"/>
  <c r="O311" i="4"/>
  <c r="N519" i="10"/>
  <c r="O253" i="10"/>
  <c r="O252" i="10"/>
  <c r="O248" i="10"/>
  <c r="O249" i="10"/>
  <c r="N290" i="10"/>
  <c r="N509" i="10"/>
  <c r="N511" i="10"/>
  <c r="N394" i="10"/>
  <c r="N402" i="10"/>
  <c r="N280" i="10"/>
  <c r="N505" i="10"/>
  <c r="N506" i="10"/>
  <c r="N389" i="10"/>
  <c r="O280" i="10"/>
  <c r="O342" i="9"/>
  <c r="N430" i="8"/>
  <c r="N431" i="8"/>
  <c r="N316" i="8"/>
  <c r="N434" i="8"/>
  <c r="N436" i="8"/>
  <c r="N321" i="8"/>
  <c r="N317" i="7"/>
  <c r="N362" i="7"/>
  <c r="N226" i="7"/>
  <c r="N358" i="7"/>
  <c r="N221" i="7"/>
  <c r="N421" i="7"/>
  <c r="N467" i="7"/>
  <c r="M383" i="8"/>
  <c r="K384" i="8"/>
  <c r="K385" i="8"/>
  <c r="K379" i="8"/>
  <c r="O323" i="7"/>
  <c r="O330" i="7"/>
  <c r="O425" i="7"/>
  <c r="O427" i="7"/>
  <c r="O429" i="7"/>
  <c r="O467" i="7"/>
  <c r="N372" i="7"/>
  <c r="O419" i="7"/>
  <c r="O421" i="7"/>
  <c r="M398" i="10"/>
  <c r="M403" i="10"/>
  <c r="M404" i="10"/>
  <c r="O300" i="10"/>
  <c r="O307" i="10"/>
  <c r="O415" i="10"/>
  <c r="O417" i="10"/>
  <c r="O424" i="10"/>
  <c r="O499" i="10"/>
  <c r="O506" i="10"/>
  <c r="O389" i="10"/>
  <c r="O500" i="6"/>
  <c r="O394" i="10"/>
  <c r="O509" i="10"/>
  <c r="O511" i="10"/>
  <c r="O432" i="10"/>
  <c r="O439" i="10"/>
  <c r="O484" i="10"/>
  <c r="O491" i="10"/>
  <c r="O379" i="10"/>
  <c r="O494" i="10"/>
  <c r="O496" i="10"/>
  <c r="N387" i="6"/>
  <c r="O442" i="10"/>
  <c r="O444" i="10"/>
  <c r="O327" i="10"/>
  <c r="N502" i="6"/>
  <c r="N507" i="6"/>
  <c r="N508" i="6"/>
  <c r="O385" i="6"/>
  <c r="O467" i="10"/>
  <c r="O469" i="10"/>
  <c r="O476" i="10"/>
  <c r="O352" i="10"/>
  <c r="O359" i="10"/>
  <c r="O447" i="10"/>
  <c r="O454" i="10"/>
  <c r="O337" i="10"/>
  <c r="O457" i="10"/>
  <c r="O459" i="10"/>
  <c r="O342" i="10"/>
  <c r="M515" i="10"/>
  <c r="O249" i="5"/>
  <c r="O256" i="5"/>
  <c r="O365" i="5"/>
  <c r="O369" i="5"/>
  <c r="O371" i="5"/>
  <c r="O200" i="5"/>
  <c r="O201" i="5"/>
  <c r="O290" i="5"/>
  <c r="O401" i="5"/>
  <c r="O204" i="5"/>
  <c r="N237" i="5"/>
  <c r="N344" i="5"/>
  <c r="N285" i="5"/>
  <c r="N201" i="5"/>
  <c r="O304" i="5"/>
  <c r="O311" i="5"/>
  <c r="O410" i="5"/>
  <c r="O415" i="5"/>
  <c r="O417" i="5"/>
  <c r="L450" i="5"/>
  <c r="N289" i="5"/>
  <c r="N206" i="5"/>
  <c r="M348" i="5"/>
  <c r="N354" i="5"/>
  <c r="O231" i="5"/>
  <c r="O232" i="5"/>
  <c r="O235" i="5"/>
  <c r="O345" i="5"/>
  <c r="O447" i="5"/>
  <c r="N340" i="5"/>
  <c r="N232" i="5"/>
  <c r="N313" i="4"/>
  <c r="O274" i="4"/>
  <c r="O276" i="4"/>
  <c r="N319" i="3"/>
  <c r="O317" i="3"/>
  <c r="O425" i="3"/>
  <c r="O232" i="9"/>
  <c r="L458" i="9"/>
  <c r="L459" i="9"/>
  <c r="N471" i="9"/>
  <c r="N329" i="9"/>
  <c r="N443" i="9"/>
  <c r="N444" i="9"/>
  <c r="M338" i="9"/>
  <c r="M343" i="9"/>
  <c r="M344" i="9"/>
  <c r="N447" i="9"/>
  <c r="N449" i="9"/>
  <c r="N334" i="9"/>
  <c r="O443" i="9"/>
  <c r="O444" i="9"/>
  <c r="O329" i="9"/>
  <c r="O447" i="9"/>
  <c r="O449" i="9"/>
  <c r="O334" i="9"/>
  <c r="L338" i="9"/>
  <c r="L343" i="9"/>
  <c r="L344" i="9"/>
  <c r="M453" i="9"/>
  <c r="M458" i="9"/>
  <c r="M459" i="9"/>
  <c r="L398" i="10"/>
  <c r="L520" i="10"/>
  <c r="L521" i="10"/>
  <c r="N533" i="10"/>
  <c r="O324" i="3"/>
  <c r="O325" i="3"/>
  <c r="N448" i="3"/>
  <c r="N453" i="3"/>
  <c r="O432" i="3"/>
  <c r="O433" i="3"/>
  <c r="F490" i="8"/>
  <c r="F495" i="8"/>
  <c r="F496" i="8"/>
  <c r="O358" i="7"/>
  <c r="O359" i="7"/>
  <c r="G490" i="8"/>
  <c r="G495" i="8"/>
  <c r="G496" i="8"/>
  <c r="H507" i="8"/>
  <c r="J490" i="8"/>
  <c r="J495" i="8"/>
  <c r="J496" i="8"/>
  <c r="J506" i="8"/>
  <c r="I495" i="8"/>
  <c r="I496" i="8"/>
  <c r="K508" i="8"/>
  <c r="I490" i="8"/>
  <c r="H490" i="8"/>
  <c r="H495" i="8"/>
  <c r="H496" i="8"/>
  <c r="L510" i="8"/>
  <c r="F604" i="8"/>
  <c r="F595" i="8"/>
  <c r="K576" i="8"/>
  <c r="K565" i="8"/>
  <c r="K554" i="8"/>
  <c r="K545" i="8"/>
  <c r="K536" i="8"/>
  <c r="K527" i="8"/>
  <c r="K595" i="8"/>
  <c r="N188" i="11"/>
  <c r="F586" i="8"/>
  <c r="F576" i="8"/>
  <c r="F565" i="8"/>
  <c r="F554" i="8"/>
  <c r="F545" i="8"/>
  <c r="F536" i="8"/>
  <c r="F527" i="8"/>
  <c r="N438" i="8"/>
  <c r="N440" i="8"/>
  <c r="O456" i="5"/>
  <c r="K463" i="7"/>
  <c r="K368" i="7"/>
  <c r="N471" i="4"/>
  <c r="O259" i="4"/>
  <c r="O420" i="4"/>
  <c r="M461" i="7"/>
  <c r="M468" i="7"/>
  <c r="M469" i="7"/>
  <c r="O392" i="6"/>
  <c r="O393" i="6"/>
  <c r="F395" i="6"/>
  <c r="M457" i="5"/>
  <c r="M458" i="5"/>
  <c r="M366" i="7"/>
  <c r="M368" i="7"/>
  <c r="F463" i="7"/>
  <c r="F468" i="7"/>
  <c r="F469" i="7"/>
  <c r="F479" i="7"/>
  <c r="F368" i="7"/>
  <c r="F373" i="7"/>
  <c r="F374" i="7"/>
  <c r="H373" i="7"/>
  <c r="H374" i="7"/>
  <c r="H368" i="7"/>
  <c r="J368" i="7"/>
  <c r="J373" i="7"/>
  <c r="J374" i="7"/>
  <c r="I373" i="7"/>
  <c r="I374" i="7"/>
  <c r="I368" i="7"/>
  <c r="G368" i="7"/>
  <c r="G373" i="7"/>
  <c r="G374" i="7"/>
  <c r="H468" i="7"/>
  <c r="H469" i="7"/>
  <c r="H463" i="7"/>
  <c r="J468" i="7"/>
  <c r="J469" i="7"/>
  <c r="J463" i="7"/>
  <c r="I463" i="7"/>
  <c r="I468" i="7"/>
  <c r="I469" i="7"/>
  <c r="G463" i="7"/>
  <c r="G468" i="7"/>
  <c r="G469" i="7"/>
  <c r="L457" i="5"/>
  <c r="L458" i="5"/>
  <c r="N323" i="8"/>
  <c r="N325" i="8"/>
  <c r="N494" i="8"/>
  <c r="O471" i="4"/>
  <c r="L373" i="7"/>
  <c r="L374" i="7"/>
  <c r="O402" i="10"/>
  <c r="O226" i="7"/>
  <c r="K468" i="5"/>
  <c r="K473" i="5"/>
  <c r="K478" i="5"/>
  <c r="M295" i="5"/>
  <c r="O262" i="7"/>
  <c r="L468" i="7"/>
  <c r="L469" i="7"/>
  <c r="M480" i="7"/>
  <c r="L463" i="7"/>
  <c r="O317" i="7"/>
  <c r="O368" i="4"/>
  <c r="O290" i="10"/>
  <c r="L469" i="5"/>
  <c r="N471" i="5"/>
  <c r="O252" i="7"/>
  <c r="M470" i="5"/>
  <c r="L355" i="5"/>
  <c r="L356" i="5"/>
  <c r="R447" i="3"/>
  <c r="Q535" i="10"/>
  <c r="O533" i="10"/>
  <c r="O444" i="3"/>
  <c r="M384" i="8"/>
  <c r="M385" i="8"/>
  <c r="L350" i="5"/>
  <c r="P445" i="3"/>
  <c r="Q446" i="3"/>
  <c r="N532" i="10"/>
  <c r="P534" i="10"/>
  <c r="M531" i="10"/>
  <c r="O254" i="10"/>
  <c r="N396" i="10"/>
  <c r="N403" i="10"/>
  <c r="N404" i="10"/>
  <c r="N513" i="10"/>
  <c r="N520" i="10"/>
  <c r="N521" i="10"/>
  <c r="R535" i="10"/>
  <c r="M325" i="8"/>
  <c r="L379" i="8"/>
  <c r="N383" i="8"/>
  <c r="O372" i="7"/>
  <c r="O383" i="8"/>
  <c r="M379" i="8"/>
  <c r="N364" i="7"/>
  <c r="N457" i="7"/>
  <c r="N459" i="7"/>
  <c r="K495" i="8"/>
  <c r="K496" i="8"/>
  <c r="K490" i="8"/>
  <c r="N453" i="7"/>
  <c r="N454" i="7"/>
  <c r="N359" i="7"/>
  <c r="L495" i="8"/>
  <c r="L496" i="8"/>
  <c r="L490" i="8"/>
  <c r="L480" i="7"/>
  <c r="K479" i="7"/>
  <c r="N482" i="7"/>
  <c r="O483" i="7"/>
  <c r="M481" i="7"/>
  <c r="O440" i="8"/>
  <c r="O457" i="7"/>
  <c r="O459" i="7"/>
  <c r="O364" i="7"/>
  <c r="O325" i="8"/>
  <c r="O519" i="10"/>
  <c r="O396" i="10"/>
  <c r="O344" i="10"/>
  <c r="O387" i="6"/>
  <c r="O513" i="10"/>
  <c r="O515" i="10"/>
  <c r="O461" i="10"/>
  <c r="O463" i="10"/>
  <c r="O519" i="6"/>
  <c r="Q521" i="6"/>
  <c r="P520" i="6"/>
  <c r="R522" i="6"/>
  <c r="N518" i="6"/>
  <c r="N523" i="6"/>
  <c r="N528" i="6"/>
  <c r="O507" i="6"/>
  <c r="O508" i="6"/>
  <c r="O502" i="6"/>
  <c r="N442" i="5"/>
  <c r="N443" i="5"/>
  <c r="N341" i="5"/>
  <c r="N291" i="5"/>
  <c r="N400" i="5"/>
  <c r="N402" i="5"/>
  <c r="N396" i="5"/>
  <c r="N397" i="5"/>
  <c r="N286" i="5"/>
  <c r="L452" i="5"/>
  <c r="N346" i="5"/>
  <c r="N446" i="5"/>
  <c r="N448" i="5"/>
  <c r="O289" i="5"/>
  <c r="O206" i="5"/>
  <c r="M452" i="5"/>
  <c r="O344" i="5"/>
  <c r="O237" i="5"/>
  <c r="M355" i="5"/>
  <c r="M356" i="5"/>
  <c r="M350" i="5"/>
  <c r="O340" i="5"/>
  <c r="O354" i="5"/>
  <c r="O285" i="5"/>
  <c r="O313" i="4"/>
  <c r="O427" i="3"/>
  <c r="O319" i="3"/>
  <c r="L469" i="9"/>
  <c r="L474" i="9"/>
  <c r="L479" i="9"/>
  <c r="M470" i="9"/>
  <c r="O472" i="9"/>
  <c r="P473" i="9"/>
  <c r="O451" i="9"/>
  <c r="O453" i="9"/>
  <c r="N451" i="9"/>
  <c r="N458" i="9"/>
  <c r="N459" i="9"/>
  <c r="O471" i="9"/>
  <c r="P472" i="9"/>
  <c r="M469" i="9"/>
  <c r="Q473" i="9"/>
  <c r="N470" i="9"/>
  <c r="N336" i="9"/>
  <c r="O336" i="9"/>
  <c r="I509" i="8"/>
  <c r="M532" i="10"/>
  <c r="M536" i="10"/>
  <c r="M541" i="10"/>
  <c r="O534" i="10"/>
  <c r="P535" i="10"/>
  <c r="L531" i="10"/>
  <c r="L536" i="10"/>
  <c r="L541" i="10"/>
  <c r="J510" i="8"/>
  <c r="F506" i="8"/>
  <c r="F511" i="8"/>
  <c r="F516" i="8"/>
  <c r="H508" i="8"/>
  <c r="G507" i="8"/>
  <c r="O453" i="7"/>
  <c r="O454" i="7"/>
  <c r="O461" i="7"/>
  <c r="M509" i="8"/>
  <c r="N510" i="8"/>
  <c r="J508" i="8"/>
  <c r="K507" i="8"/>
  <c r="L508" i="8"/>
  <c r="K509" i="8"/>
  <c r="J507" i="8"/>
  <c r="M510" i="8"/>
  <c r="I506" i="8"/>
  <c r="L509" i="8"/>
  <c r="I507" i="8"/>
  <c r="H506" i="8"/>
  <c r="M373" i="7"/>
  <c r="M374" i="7"/>
  <c r="G506" i="8"/>
  <c r="K510" i="8"/>
  <c r="I508" i="8"/>
  <c r="J509" i="8"/>
  <c r="F577" i="7"/>
  <c r="F559" i="7"/>
  <c r="F538" i="7"/>
  <c r="F518" i="7"/>
  <c r="F500" i="7"/>
  <c r="K538" i="7"/>
  <c r="K518" i="7"/>
  <c r="K500" i="7"/>
  <c r="F568" i="7"/>
  <c r="N177" i="11"/>
  <c r="F549" i="7"/>
  <c r="F527" i="7"/>
  <c r="F509" i="7"/>
  <c r="K568" i="7"/>
  <c r="K549" i="7"/>
  <c r="K527" i="7"/>
  <c r="K509" i="7"/>
  <c r="M463" i="7"/>
  <c r="I479" i="7"/>
  <c r="K481" i="7"/>
  <c r="L482" i="7"/>
  <c r="M483" i="7"/>
  <c r="J480" i="7"/>
  <c r="J483" i="7"/>
  <c r="F484" i="7"/>
  <c r="F489" i="7"/>
  <c r="I482" i="7"/>
  <c r="G480" i="7"/>
  <c r="H481" i="7"/>
  <c r="J479" i="7"/>
  <c r="M482" i="7"/>
  <c r="N483" i="7"/>
  <c r="K480" i="7"/>
  <c r="L481" i="7"/>
  <c r="L483" i="7"/>
  <c r="I480" i="7"/>
  <c r="H479" i="7"/>
  <c r="J481" i="7"/>
  <c r="K482" i="7"/>
  <c r="K483" i="7"/>
  <c r="I481" i="7"/>
  <c r="H480" i="7"/>
  <c r="J482" i="7"/>
  <c r="G479" i="7"/>
  <c r="S445" i="3"/>
  <c r="R444" i="3"/>
  <c r="Q443" i="3"/>
  <c r="F327" i="3"/>
  <c r="C12" i="1"/>
  <c r="L479" i="7"/>
  <c r="P483" i="7"/>
  <c r="O482" i="7"/>
  <c r="N481" i="7"/>
  <c r="O366" i="7"/>
  <c r="L384" i="8"/>
  <c r="L385" i="8"/>
  <c r="N461" i="7"/>
  <c r="N463" i="7"/>
  <c r="N515" i="10"/>
  <c r="N531" i="10"/>
  <c r="N536" i="10"/>
  <c r="N541" i="10"/>
  <c r="O532" i="10"/>
  <c r="Q534" i="10"/>
  <c r="N398" i="10"/>
  <c r="P533" i="10"/>
  <c r="O346" i="10"/>
  <c r="P482" i="7"/>
  <c r="Q483" i="7"/>
  <c r="O481" i="7"/>
  <c r="N480" i="7"/>
  <c r="M479" i="7"/>
  <c r="O510" i="8"/>
  <c r="L507" i="8"/>
  <c r="K506" i="8"/>
  <c r="M508" i="8"/>
  <c r="N509" i="8"/>
  <c r="O494" i="8"/>
  <c r="M490" i="8"/>
  <c r="M495" i="8"/>
  <c r="M496" i="8"/>
  <c r="O509" i="8"/>
  <c r="N508" i="8"/>
  <c r="L506" i="8"/>
  <c r="P510" i="8"/>
  <c r="M507" i="8"/>
  <c r="N366" i="7"/>
  <c r="O518" i="6"/>
  <c r="O523" i="6"/>
  <c r="O528" i="6"/>
  <c r="S522" i="6"/>
  <c r="S523" i="6"/>
  <c r="S528" i="6"/>
  <c r="P519" i="6"/>
  <c r="P523" i="6"/>
  <c r="P528" i="6"/>
  <c r="R521" i="6"/>
  <c r="R523" i="6"/>
  <c r="R528" i="6"/>
  <c r="Q520" i="6"/>
  <c r="Q523" i="6"/>
  <c r="Q528" i="6"/>
  <c r="F396" i="6"/>
  <c r="D619" i="6"/>
  <c r="F12" i="1"/>
  <c r="O520" i="10"/>
  <c r="O521" i="10"/>
  <c r="O398" i="10"/>
  <c r="O403" i="10"/>
  <c r="O404" i="10"/>
  <c r="F406" i="10"/>
  <c r="M468" i="5"/>
  <c r="O470" i="5"/>
  <c r="N469" i="5"/>
  <c r="P471" i="5"/>
  <c r="Q472" i="5"/>
  <c r="O346" i="5"/>
  <c r="O446" i="5"/>
  <c r="O448" i="5"/>
  <c r="N293" i="5"/>
  <c r="N348" i="5"/>
  <c r="O396" i="5"/>
  <c r="O397" i="5"/>
  <c r="O286" i="5"/>
  <c r="O442" i="5"/>
  <c r="O443" i="5"/>
  <c r="O341" i="5"/>
  <c r="O291" i="5"/>
  <c r="O400" i="5"/>
  <c r="O402" i="5"/>
  <c r="L468" i="5"/>
  <c r="L473" i="5"/>
  <c r="L478" i="5"/>
  <c r="N470" i="5"/>
  <c r="O471" i="5"/>
  <c r="P472" i="5"/>
  <c r="M469" i="5"/>
  <c r="N404" i="5"/>
  <c r="N406" i="5"/>
  <c r="N450" i="5"/>
  <c r="P444" i="3"/>
  <c r="P448" i="3"/>
  <c r="P453" i="3"/>
  <c r="Q445" i="3"/>
  <c r="S447" i="3"/>
  <c r="O443" i="3"/>
  <c r="O448" i="3"/>
  <c r="O453" i="3"/>
  <c r="R446" i="3"/>
  <c r="M474" i="9"/>
  <c r="M479" i="9"/>
  <c r="O458" i="9"/>
  <c r="O459" i="9"/>
  <c r="P470" i="9"/>
  <c r="N453" i="9"/>
  <c r="O470" i="9"/>
  <c r="Q472" i="9"/>
  <c r="P471" i="9"/>
  <c r="R473" i="9"/>
  <c r="N469" i="9"/>
  <c r="N474" i="9"/>
  <c r="N479" i="9"/>
  <c r="N343" i="9"/>
  <c r="N344" i="9"/>
  <c r="N338" i="9"/>
  <c r="O338" i="9"/>
  <c r="O343" i="9"/>
  <c r="O344" i="9"/>
  <c r="D643" i="6"/>
  <c r="D631" i="6"/>
  <c r="D539" i="6"/>
  <c r="I598" i="6"/>
  <c r="I566" i="6"/>
  <c r="D607" i="6"/>
  <c r="D598" i="6"/>
  <c r="D588" i="6"/>
  <c r="D577" i="6"/>
  <c r="D566" i="6"/>
  <c r="I607" i="6"/>
  <c r="I588" i="6"/>
  <c r="I577" i="6"/>
  <c r="G484" i="7"/>
  <c r="G489" i="7"/>
  <c r="G511" i="8"/>
  <c r="G516" i="8"/>
  <c r="H511" i="8"/>
  <c r="H516" i="8"/>
  <c r="J511" i="8"/>
  <c r="J516" i="8"/>
  <c r="I511" i="8"/>
  <c r="I516" i="8"/>
  <c r="K511" i="8"/>
  <c r="K516" i="8"/>
  <c r="H484" i="7"/>
  <c r="H489" i="7"/>
  <c r="K484" i="7"/>
  <c r="K489" i="7"/>
  <c r="N457" i="5"/>
  <c r="N458" i="5"/>
  <c r="M484" i="7"/>
  <c r="M489" i="7"/>
  <c r="I484" i="7"/>
  <c r="I489" i="7"/>
  <c r="J484" i="7"/>
  <c r="J489" i="7"/>
  <c r="L484" i="7"/>
  <c r="L489" i="7"/>
  <c r="Q448" i="3"/>
  <c r="Q453" i="3"/>
  <c r="R448" i="3"/>
  <c r="R453" i="3"/>
  <c r="S448" i="3"/>
  <c r="S453" i="3"/>
  <c r="F328" i="3"/>
  <c r="F13" i="1"/>
  <c r="I548" i="6"/>
  <c r="D557" i="6"/>
  <c r="I557" i="6"/>
  <c r="I539" i="6"/>
  <c r="D548" i="6"/>
  <c r="O368" i="7"/>
  <c r="O373" i="7"/>
  <c r="O374" i="7"/>
  <c r="N468" i="7"/>
  <c r="N469" i="7"/>
  <c r="Q482" i="7"/>
  <c r="N490" i="8"/>
  <c r="F533" i="6"/>
  <c r="O348" i="5"/>
  <c r="O350" i="5"/>
  <c r="F532" i="6"/>
  <c r="F530" i="6"/>
  <c r="O450" i="5"/>
  <c r="L511" i="8"/>
  <c r="L516" i="8"/>
  <c r="N373" i="7"/>
  <c r="N374" i="7"/>
  <c r="N368" i="7"/>
  <c r="O468" i="7"/>
  <c r="O469" i="7"/>
  <c r="O463" i="7"/>
  <c r="P509" i="8"/>
  <c r="Q510" i="8"/>
  <c r="N507" i="8"/>
  <c r="O508" i="8"/>
  <c r="M506" i="8"/>
  <c r="M511" i="8"/>
  <c r="M516" i="8"/>
  <c r="O379" i="8"/>
  <c r="O384" i="8"/>
  <c r="O385" i="8"/>
  <c r="J12" i="1"/>
  <c r="F407" i="10"/>
  <c r="P532" i="10"/>
  <c r="P536" i="10"/>
  <c r="P541" i="10"/>
  <c r="O531" i="10"/>
  <c r="O536" i="10"/>
  <c r="O541" i="10"/>
  <c r="R534" i="10"/>
  <c r="R536" i="10"/>
  <c r="R541" i="10"/>
  <c r="S535" i="10"/>
  <c r="S536" i="10"/>
  <c r="S541" i="10"/>
  <c r="Q533" i="10"/>
  <c r="Q536" i="10"/>
  <c r="Q541" i="10"/>
  <c r="N355" i="5"/>
  <c r="N356" i="5"/>
  <c r="N350" i="5"/>
  <c r="O293" i="5"/>
  <c r="N295" i="5"/>
  <c r="N452" i="5"/>
  <c r="O404" i="5"/>
  <c r="O406" i="5"/>
  <c r="M473" i="5"/>
  <c r="M478" i="5"/>
  <c r="S473" i="9"/>
  <c r="S474" i="9"/>
  <c r="S479" i="9"/>
  <c r="O469" i="9"/>
  <c r="O474" i="9"/>
  <c r="O479" i="9"/>
  <c r="R472" i="9"/>
  <c r="R474" i="9"/>
  <c r="R479" i="9"/>
  <c r="Q471" i="9"/>
  <c r="Q474" i="9"/>
  <c r="Q479" i="9"/>
  <c r="F346" i="9"/>
  <c r="P474" i="9"/>
  <c r="P479" i="9"/>
  <c r="I601" i="10"/>
  <c r="D601" i="10"/>
  <c r="D590" i="10"/>
  <c r="I590" i="10"/>
  <c r="D579" i="10"/>
  <c r="I579" i="10"/>
  <c r="D570" i="10"/>
  <c r="I570" i="10"/>
  <c r="I561" i="10"/>
  <c r="I620" i="10"/>
  <c r="D561" i="10"/>
  <c r="D620" i="10"/>
  <c r="I611" i="10"/>
  <c r="D611" i="10"/>
  <c r="I552" i="10"/>
  <c r="J13" i="1"/>
  <c r="D552" i="10"/>
  <c r="I542" i="3"/>
  <c r="I551" i="3"/>
  <c r="D551" i="3"/>
  <c r="D542" i="3"/>
  <c r="I513" i="3"/>
  <c r="D532" i="3"/>
  <c r="I532" i="3"/>
  <c r="D523" i="3"/>
  <c r="I523" i="3"/>
  <c r="D513" i="3"/>
  <c r="D502" i="3"/>
  <c r="I482" i="3"/>
  <c r="I491" i="3"/>
  <c r="D473" i="3"/>
  <c r="I473" i="3"/>
  <c r="D464" i="3"/>
  <c r="I464" i="3"/>
  <c r="C13" i="1"/>
  <c r="D491" i="3"/>
  <c r="D482" i="3"/>
  <c r="F22" i="1"/>
  <c r="F531" i="6"/>
  <c r="F23" i="1"/>
  <c r="F455" i="3"/>
  <c r="F457" i="3"/>
  <c r="O452" i="5"/>
  <c r="O457" i="5"/>
  <c r="O458" i="5"/>
  <c r="S472" i="5"/>
  <c r="S473" i="5"/>
  <c r="S478" i="5"/>
  <c r="F458" i="3"/>
  <c r="C23" i="1"/>
  <c r="F483" i="9"/>
  <c r="O480" i="7"/>
  <c r="R483" i="7"/>
  <c r="P481" i="7"/>
  <c r="N479" i="7"/>
  <c r="N484" i="7"/>
  <c r="N489" i="7"/>
  <c r="F376" i="7"/>
  <c r="F377" i="7"/>
  <c r="N495" i="8"/>
  <c r="N496" i="8"/>
  <c r="F20" i="1"/>
  <c r="F481" i="9"/>
  <c r="O495" i="8"/>
  <c r="O496" i="8"/>
  <c r="O490" i="8"/>
  <c r="P480" i="7"/>
  <c r="Q481" i="7"/>
  <c r="Q484" i="7"/>
  <c r="Q489" i="7"/>
  <c r="O479" i="7"/>
  <c r="S483" i="7"/>
  <c r="S484" i="7"/>
  <c r="S489" i="7"/>
  <c r="R482" i="7"/>
  <c r="N384" i="8"/>
  <c r="N385" i="8"/>
  <c r="F387" i="8"/>
  <c r="N379" i="8"/>
  <c r="F543" i="10"/>
  <c r="F545" i="10"/>
  <c r="F546" i="10"/>
  <c r="J23" i="1"/>
  <c r="O295" i="5"/>
  <c r="Q471" i="5"/>
  <c r="R472" i="5"/>
  <c r="N468" i="5"/>
  <c r="N473" i="5"/>
  <c r="N478" i="5"/>
  <c r="O469" i="5"/>
  <c r="P470" i="5"/>
  <c r="O355" i="5"/>
  <c r="O356" i="5"/>
  <c r="F484" i="9"/>
  <c r="I12" i="1"/>
  <c r="F347" i="9"/>
  <c r="D570" i="9"/>
  <c r="F358" i="5"/>
  <c r="F359" i="5"/>
  <c r="F357" i="5"/>
  <c r="O507" i="8"/>
  <c r="D594" i="9"/>
  <c r="D582" i="9"/>
  <c r="D558" i="9"/>
  <c r="I558" i="9"/>
  <c r="D549" i="9"/>
  <c r="I549" i="9"/>
  <c r="D539" i="9"/>
  <c r="I539" i="9"/>
  <c r="D528" i="9"/>
  <c r="I528" i="9"/>
  <c r="D517" i="9"/>
  <c r="I517" i="9"/>
  <c r="D508" i="9"/>
  <c r="I508" i="9"/>
  <c r="D499" i="9"/>
  <c r="I499" i="9"/>
  <c r="D490" i="9"/>
  <c r="I490" i="9"/>
  <c r="I13" i="1"/>
  <c r="E539" i="6"/>
  <c r="J607" i="6"/>
  <c r="J598" i="6"/>
  <c r="E607" i="6"/>
  <c r="J588" i="6"/>
  <c r="E598" i="6"/>
  <c r="J577" i="6"/>
  <c r="E588" i="6"/>
  <c r="J566" i="6"/>
  <c r="E577" i="6"/>
  <c r="F21" i="1"/>
  <c r="E566" i="6"/>
  <c r="E548" i="6"/>
  <c r="J539" i="6"/>
  <c r="J557" i="6"/>
  <c r="G24" i="12"/>
  <c r="G30" i="12"/>
  <c r="J548" i="6"/>
  <c r="C22" i="1"/>
  <c r="I23" i="1"/>
  <c r="F482" i="9"/>
  <c r="F456" i="3"/>
  <c r="J22" i="1"/>
  <c r="I22" i="1"/>
  <c r="E557" i="6"/>
  <c r="G13" i="1"/>
  <c r="D568" i="7"/>
  <c r="L177" i="11"/>
  <c r="D549" i="7"/>
  <c r="D527" i="7"/>
  <c r="D509" i="7"/>
  <c r="D613" i="7"/>
  <c r="I568" i="7"/>
  <c r="I549" i="7"/>
  <c r="I527" i="7"/>
  <c r="I509" i="7"/>
  <c r="D601" i="7"/>
  <c r="D577" i="7"/>
  <c r="D559" i="7"/>
  <c r="D538" i="7"/>
  <c r="D518" i="7"/>
  <c r="D500" i="7"/>
  <c r="D589" i="7"/>
  <c r="I538" i="7"/>
  <c r="I518" i="7"/>
  <c r="I500" i="7"/>
  <c r="C20" i="1"/>
  <c r="O484" i="7"/>
  <c r="O489" i="7"/>
  <c r="P484" i="7"/>
  <c r="P489" i="7"/>
  <c r="G12" i="1"/>
  <c r="R484" i="7"/>
  <c r="R489" i="7"/>
  <c r="N506" i="8"/>
  <c r="N511" i="8"/>
  <c r="N516" i="8"/>
  <c r="P508" i="8"/>
  <c r="P469" i="5"/>
  <c r="P473" i="5"/>
  <c r="P478" i="5"/>
  <c r="O468" i="5"/>
  <c r="O473" i="5"/>
  <c r="O478" i="5"/>
  <c r="R471" i="5"/>
  <c r="R473" i="5"/>
  <c r="R478" i="5"/>
  <c r="Q470" i="5"/>
  <c r="Q473" i="5"/>
  <c r="Q478" i="5"/>
  <c r="R510" i="8"/>
  <c r="Q509" i="8"/>
  <c r="H12" i="1"/>
  <c r="F388" i="8"/>
  <c r="S510" i="8"/>
  <c r="S511" i="8"/>
  <c r="S516" i="8"/>
  <c r="Q508" i="8"/>
  <c r="R509" i="8"/>
  <c r="O506" i="8"/>
  <c r="O511" i="8"/>
  <c r="O516" i="8"/>
  <c r="P507" i="8"/>
  <c r="F544" i="10"/>
  <c r="J20" i="1"/>
  <c r="I20" i="1"/>
  <c r="E12" i="1"/>
  <c r="D632" i="10"/>
  <c r="D656" i="10"/>
  <c r="D644" i="10"/>
  <c r="E601" i="10"/>
  <c r="J601" i="10"/>
  <c r="E590" i="10"/>
  <c r="J590" i="10"/>
  <c r="E579" i="10"/>
  <c r="J579" i="10"/>
  <c r="E570" i="10"/>
  <c r="J570" i="10"/>
  <c r="E611" i="10"/>
  <c r="J561" i="10"/>
  <c r="J620" i="10"/>
  <c r="E561" i="10"/>
  <c r="E620" i="10"/>
  <c r="J611" i="10"/>
  <c r="E552" i="10"/>
  <c r="J552" i="10"/>
  <c r="J558" i="9"/>
  <c r="E549" i="9"/>
  <c r="J549" i="9"/>
  <c r="E558" i="9"/>
  <c r="J539" i="9"/>
  <c r="J528" i="9"/>
  <c r="E539" i="9"/>
  <c r="J517" i="9"/>
  <c r="E528" i="9"/>
  <c r="J508" i="9"/>
  <c r="E517" i="9"/>
  <c r="J499" i="9"/>
  <c r="E508" i="9"/>
  <c r="J490" i="9"/>
  <c r="E499" i="9"/>
  <c r="J24" i="12"/>
  <c r="J30" i="12"/>
  <c r="E490" i="9"/>
  <c r="I21" i="1"/>
  <c r="D599" i="3"/>
  <c r="D608" i="3"/>
  <c r="D575" i="3"/>
  <c r="D587" i="3"/>
  <c r="D563" i="3"/>
  <c r="J542" i="3"/>
  <c r="J551" i="3"/>
  <c r="E551" i="3"/>
  <c r="E542" i="3"/>
  <c r="J513" i="3"/>
  <c r="E532" i="3"/>
  <c r="J532" i="3"/>
  <c r="E523" i="3"/>
  <c r="J523" i="3"/>
  <c r="E513" i="3"/>
  <c r="E502" i="3"/>
  <c r="E491" i="3"/>
  <c r="J491" i="3"/>
  <c r="E482" i="3"/>
  <c r="J482" i="3"/>
  <c r="E473" i="3"/>
  <c r="J473" i="3"/>
  <c r="E464" i="3"/>
  <c r="J464" i="3"/>
  <c r="D24" i="12"/>
  <c r="D30" i="12"/>
  <c r="C21" i="1"/>
  <c r="K24" i="12"/>
  <c r="K30" i="12"/>
  <c r="J21" i="1"/>
  <c r="D527" i="5"/>
  <c r="D614" i="5"/>
  <c r="E13" i="1"/>
  <c r="D602" i="5"/>
  <c r="D566" i="5"/>
  <c r="D557" i="5"/>
  <c r="I538" i="5"/>
  <c r="I516" i="5"/>
  <c r="I507" i="5"/>
  <c r="I498" i="5"/>
  <c r="I489" i="5"/>
  <c r="D590" i="5"/>
  <c r="D578" i="5"/>
  <c r="I557" i="5"/>
  <c r="D548" i="5"/>
  <c r="D538" i="5"/>
  <c r="D516" i="5"/>
  <c r="D507" i="5"/>
  <c r="D498" i="5"/>
  <c r="D489" i="5"/>
  <c r="H13" i="1"/>
  <c r="D640" i="8"/>
  <c r="D604" i="8"/>
  <c r="D595" i="8"/>
  <c r="I576" i="8"/>
  <c r="I565" i="8"/>
  <c r="I554" i="8"/>
  <c r="I545" i="8"/>
  <c r="I536" i="8"/>
  <c r="I527" i="8"/>
  <c r="D628" i="8"/>
  <c r="D616" i="8"/>
  <c r="I595" i="8"/>
  <c r="L188" i="11"/>
  <c r="D586" i="8"/>
  <c r="D576" i="8"/>
  <c r="D565" i="8"/>
  <c r="D554" i="8"/>
  <c r="D545" i="8"/>
  <c r="D536" i="8"/>
  <c r="D527" i="8"/>
  <c r="F493" i="7"/>
  <c r="G22" i="1"/>
  <c r="Q511" i="8"/>
  <c r="Q516" i="8"/>
  <c r="P511" i="8"/>
  <c r="P516" i="8"/>
  <c r="F491" i="7"/>
  <c r="F494" i="7"/>
  <c r="R511" i="8"/>
  <c r="R516" i="8"/>
  <c r="F483" i="5"/>
  <c r="F480" i="5"/>
  <c r="F482" i="5"/>
  <c r="E20" i="1"/>
  <c r="E23" i="1"/>
  <c r="E22" i="1"/>
  <c r="F492" i="7"/>
  <c r="H24" i="12"/>
  <c r="H30" i="12"/>
  <c r="G23" i="1"/>
  <c r="G20" i="1"/>
  <c r="F521" i="8"/>
  <c r="F518" i="8"/>
  <c r="F520" i="8"/>
  <c r="F481" i="5"/>
  <c r="F24" i="12"/>
  <c r="F30" i="12"/>
  <c r="E527" i="7"/>
  <c r="E549" i="7"/>
  <c r="G21" i="1"/>
  <c r="E518" i="7"/>
  <c r="E538" i="7"/>
  <c r="J500" i="7"/>
  <c r="J509" i="7"/>
  <c r="E509" i="7"/>
  <c r="J518" i="7"/>
  <c r="J527" i="7"/>
  <c r="J538" i="7"/>
  <c r="E559" i="7"/>
  <c r="J549" i="7"/>
  <c r="E568" i="7"/>
  <c r="E500" i="7"/>
  <c r="E577" i="7"/>
  <c r="J568" i="7"/>
  <c r="H22" i="1"/>
  <c r="H20" i="1"/>
  <c r="H23" i="1"/>
  <c r="E566" i="5"/>
  <c r="E527" i="5"/>
  <c r="E557" i="5"/>
  <c r="J557" i="5"/>
  <c r="J538" i="5"/>
  <c r="E548" i="5"/>
  <c r="E538" i="5"/>
  <c r="J516" i="5"/>
  <c r="J507" i="5"/>
  <c r="E516" i="5"/>
  <c r="J498" i="5"/>
  <c r="E507" i="5"/>
  <c r="J489" i="5"/>
  <c r="E498" i="5"/>
  <c r="E21" i="1"/>
  <c r="E489" i="5"/>
  <c r="F519" i="8"/>
  <c r="L198" i="11"/>
  <c r="M177" i="11"/>
  <c r="I24" i="12"/>
  <c r="I30" i="12"/>
  <c r="E604" i="8"/>
  <c r="E595" i="8"/>
  <c r="J595" i="8"/>
  <c r="J576" i="8"/>
  <c r="E586" i="8"/>
  <c r="J565" i="8"/>
  <c r="E576" i="8"/>
  <c r="J554" i="8"/>
  <c r="E565" i="8"/>
  <c r="J545" i="8"/>
  <c r="E554" i="8"/>
  <c r="J536" i="8"/>
  <c r="E545" i="8"/>
  <c r="J527" i="8"/>
  <c r="E536" i="8"/>
  <c r="H21" i="1"/>
  <c r="E527" i="8"/>
  <c r="J161" i="4"/>
  <c r="J317" i="4"/>
  <c r="H161" i="4"/>
  <c r="H317" i="4"/>
  <c r="H424" i="4"/>
  <c r="K161" i="4"/>
  <c r="K317" i="4"/>
  <c r="I161" i="4"/>
  <c r="I317" i="4"/>
  <c r="L161" i="4"/>
  <c r="L317" i="4"/>
  <c r="M161" i="4"/>
  <c r="N161" i="4"/>
  <c r="N317" i="4"/>
  <c r="G161" i="4"/>
  <c r="G317" i="4"/>
  <c r="G424" i="4"/>
  <c r="O161" i="4"/>
  <c r="G163" i="4"/>
  <c r="F161" i="4"/>
  <c r="M198" i="11"/>
  <c r="M188" i="11"/>
  <c r="N424" i="4"/>
  <c r="I424" i="4"/>
  <c r="J424" i="4"/>
  <c r="K424" i="4"/>
  <c r="H162" i="4"/>
  <c r="H318" i="4"/>
  <c r="H425" i="4"/>
  <c r="H426" i="4"/>
  <c r="G162" i="4"/>
  <c r="G318" i="4"/>
  <c r="G425" i="4"/>
  <c r="G426" i="4"/>
  <c r="M163" i="4"/>
  <c r="L163" i="4"/>
  <c r="K163" i="4"/>
  <c r="F317" i="4"/>
  <c r="M317" i="4"/>
  <c r="L424" i="4"/>
  <c r="I162" i="4"/>
  <c r="I318" i="4"/>
  <c r="I425" i="4"/>
  <c r="O162" i="4"/>
  <c r="O318" i="4"/>
  <c r="O425" i="4"/>
  <c r="K162" i="4"/>
  <c r="K318" i="4"/>
  <c r="K425" i="4"/>
  <c r="F163" i="4"/>
  <c r="J163" i="4"/>
  <c r="N163" i="4"/>
  <c r="L162" i="4"/>
  <c r="L318" i="4"/>
  <c r="L425" i="4"/>
  <c r="F162" i="4"/>
  <c r="F318" i="4"/>
  <c r="F425" i="4"/>
  <c r="I163" i="4"/>
  <c r="H163" i="4"/>
  <c r="O317" i="4"/>
  <c r="J162" i="4"/>
  <c r="J318" i="4"/>
  <c r="J425" i="4"/>
  <c r="N162" i="4"/>
  <c r="N318" i="4"/>
  <c r="N425" i="4"/>
  <c r="M162" i="4"/>
  <c r="M318" i="4"/>
  <c r="M425" i="4"/>
  <c r="O163" i="4"/>
  <c r="I164" i="4"/>
  <c r="G319" i="4"/>
  <c r="G323" i="4"/>
  <c r="L426" i="4"/>
  <c r="N164" i="4"/>
  <c r="L319" i="4"/>
  <c r="M164" i="4"/>
  <c r="J426" i="4"/>
  <c r="N426" i="4"/>
  <c r="J164" i="4"/>
  <c r="M424" i="4"/>
  <c r="M426" i="4"/>
  <c r="M319" i="4"/>
  <c r="H319" i="4"/>
  <c r="O164" i="4"/>
  <c r="J319" i="4"/>
  <c r="N319" i="4"/>
  <c r="O424" i="4"/>
  <c r="O426" i="4"/>
  <c r="O319" i="4"/>
  <c r="F319" i="4"/>
  <c r="F323" i="4"/>
  <c r="F430" i="4"/>
  <c r="F431" i="4"/>
  <c r="F424" i="4"/>
  <c r="F426" i="4"/>
  <c r="K426" i="4"/>
  <c r="F164" i="4"/>
  <c r="I426" i="4"/>
  <c r="G164" i="4"/>
  <c r="K164" i="4"/>
  <c r="K319" i="4"/>
  <c r="L164" i="4"/>
  <c r="I319" i="4"/>
  <c r="H164" i="4"/>
  <c r="F433" i="4"/>
  <c r="F466" i="4"/>
  <c r="G324" i="4"/>
  <c r="G326" i="4"/>
  <c r="G367" i="4"/>
  <c r="G369" i="4"/>
  <c r="G430" i="4"/>
  <c r="G431" i="4"/>
  <c r="G433" i="4"/>
  <c r="I323" i="4"/>
  <c r="N323" i="4"/>
  <c r="M323" i="4"/>
  <c r="F324" i="4"/>
  <c r="F326" i="4"/>
  <c r="F363" i="4"/>
  <c r="J323" i="4"/>
  <c r="K323" i="4"/>
  <c r="O323" i="4"/>
  <c r="L323" i="4"/>
  <c r="H323" i="4"/>
  <c r="F470" i="4"/>
  <c r="F472" i="4"/>
  <c r="J486" i="4"/>
  <c r="L324" i="4"/>
  <c r="L326" i="4"/>
  <c r="L363" i="4"/>
  <c r="L430" i="4"/>
  <c r="L431" i="4"/>
  <c r="L433" i="4"/>
  <c r="I324" i="4"/>
  <c r="I326" i="4"/>
  <c r="I367" i="4"/>
  <c r="I369" i="4"/>
  <c r="I430" i="4"/>
  <c r="I431" i="4"/>
  <c r="I433" i="4"/>
  <c r="H324" i="4"/>
  <c r="H326" i="4"/>
  <c r="H363" i="4"/>
  <c r="H430" i="4"/>
  <c r="H431" i="4"/>
  <c r="H433" i="4"/>
  <c r="K324" i="4"/>
  <c r="K326" i="4"/>
  <c r="K367" i="4"/>
  <c r="K369" i="4"/>
  <c r="K430" i="4"/>
  <c r="K431" i="4"/>
  <c r="K433" i="4"/>
  <c r="M324" i="4"/>
  <c r="M326" i="4"/>
  <c r="M367" i="4"/>
  <c r="M369" i="4"/>
  <c r="M430" i="4"/>
  <c r="M431" i="4"/>
  <c r="M433" i="4"/>
  <c r="G363" i="4"/>
  <c r="J324" i="4"/>
  <c r="J326" i="4"/>
  <c r="J363" i="4"/>
  <c r="J430" i="4"/>
  <c r="J431" i="4"/>
  <c r="J433" i="4"/>
  <c r="N324" i="4"/>
  <c r="N326" i="4"/>
  <c r="N363" i="4"/>
  <c r="N430" i="4"/>
  <c r="N431" i="4"/>
  <c r="N433" i="4"/>
  <c r="G466" i="4"/>
  <c r="G470" i="4"/>
  <c r="G472" i="4"/>
  <c r="O324" i="4"/>
  <c r="O326" i="4"/>
  <c r="O363" i="4"/>
  <c r="O430" i="4"/>
  <c r="O431" i="4"/>
  <c r="O433" i="4"/>
  <c r="F367" i="4"/>
  <c r="F369" i="4"/>
  <c r="H484" i="4"/>
  <c r="F482" i="4"/>
  <c r="F487" i="4"/>
  <c r="F492" i="4"/>
  <c r="G483" i="4"/>
  <c r="I485" i="4"/>
  <c r="H367" i="4"/>
  <c r="H369" i="4"/>
  <c r="L367" i="4"/>
  <c r="L369" i="4"/>
  <c r="M363" i="4"/>
  <c r="N367" i="4"/>
  <c r="N369" i="4"/>
  <c r="I363" i="4"/>
  <c r="K363" i="4"/>
  <c r="J367" i="4"/>
  <c r="J369" i="4"/>
  <c r="O367" i="4"/>
  <c r="O369" i="4"/>
  <c r="K470" i="4"/>
  <c r="K472" i="4"/>
  <c r="K466" i="4"/>
  <c r="I470" i="4"/>
  <c r="I472" i="4"/>
  <c r="I466" i="4"/>
  <c r="O466" i="4"/>
  <c r="O470" i="4"/>
  <c r="O472" i="4"/>
  <c r="N466" i="4"/>
  <c r="N470" i="4"/>
  <c r="N472" i="4"/>
  <c r="M470" i="4"/>
  <c r="M472" i="4"/>
  <c r="M466" i="4"/>
  <c r="H466" i="4"/>
  <c r="H470" i="4"/>
  <c r="H472" i="4"/>
  <c r="L466" i="4"/>
  <c r="L470" i="4"/>
  <c r="L472" i="4"/>
  <c r="K486" i="4"/>
  <c r="H483" i="4"/>
  <c r="J485" i="4"/>
  <c r="I484" i="4"/>
  <c r="G482" i="4"/>
  <c r="J470" i="4"/>
  <c r="J472" i="4"/>
  <c r="J466" i="4"/>
  <c r="G487" i="4"/>
  <c r="G492" i="4"/>
  <c r="K503" i="4"/>
  <c r="K562" i="4"/>
  <c r="K552" i="4"/>
  <c r="F521" i="4"/>
  <c r="F530" i="4"/>
  <c r="F552" i="4"/>
  <c r="F571" i="4"/>
  <c r="K530" i="4"/>
  <c r="F562" i="4"/>
  <c r="K512" i="4"/>
  <c r="K541" i="4"/>
  <c r="K521" i="4"/>
  <c r="F512" i="4"/>
  <c r="F503" i="4"/>
  <c r="F541" i="4"/>
  <c r="K571" i="4"/>
  <c r="F580" i="4"/>
  <c r="F371" i="4"/>
  <c r="D12" i="1"/>
  <c r="O483" i="4"/>
  <c r="N482" i="4"/>
  <c r="R486" i="4"/>
  <c r="P484" i="4"/>
  <c r="Q485" i="4"/>
  <c r="L482" i="4"/>
  <c r="P486" i="4"/>
  <c r="O485" i="4"/>
  <c r="M483" i="4"/>
  <c r="N484" i="4"/>
  <c r="S486" i="4"/>
  <c r="S487" i="4"/>
  <c r="S492" i="4"/>
  <c r="R485" i="4"/>
  <c r="Q484" i="4"/>
  <c r="O482" i="4"/>
  <c r="P483" i="4"/>
  <c r="L485" i="4"/>
  <c r="K484" i="4"/>
  <c r="M486" i="4"/>
  <c r="J483" i="4"/>
  <c r="I482" i="4"/>
  <c r="L486" i="4"/>
  <c r="I483" i="4"/>
  <c r="K485" i="4"/>
  <c r="H482" i="4"/>
  <c r="H487" i="4"/>
  <c r="H492" i="4"/>
  <c r="J484" i="4"/>
  <c r="K483" i="4"/>
  <c r="L484" i="4"/>
  <c r="J482" i="4"/>
  <c r="N486" i="4"/>
  <c r="M485" i="4"/>
  <c r="Q486" i="4"/>
  <c r="P485" i="4"/>
  <c r="N483" i="4"/>
  <c r="M482" i="4"/>
  <c r="O484" i="4"/>
  <c r="K482" i="4"/>
  <c r="O486" i="4"/>
  <c r="M484" i="4"/>
  <c r="L483" i="4"/>
  <c r="N485" i="4"/>
  <c r="F372" i="4"/>
  <c r="D616" i="4"/>
  <c r="J487" i="4"/>
  <c r="J492" i="4"/>
  <c r="R487" i="4"/>
  <c r="R492" i="4"/>
  <c r="O487" i="4"/>
  <c r="O492" i="4"/>
  <c r="L487" i="4"/>
  <c r="L492" i="4"/>
  <c r="M487" i="4"/>
  <c r="M492" i="4"/>
  <c r="K487" i="4"/>
  <c r="K492" i="4"/>
  <c r="I487" i="4"/>
  <c r="I492" i="4"/>
  <c r="P487" i="4"/>
  <c r="P492" i="4"/>
  <c r="N487" i="4"/>
  <c r="N492" i="4"/>
  <c r="Q487" i="4"/>
  <c r="Q492" i="4"/>
  <c r="F494" i="4"/>
  <c r="D604" i="4"/>
  <c r="D592" i="4"/>
  <c r="I512" i="4"/>
  <c r="D512" i="4"/>
  <c r="D530" i="4"/>
  <c r="I503" i="4"/>
  <c r="D13" i="1"/>
  <c r="D503" i="4"/>
  <c r="D552" i="4"/>
  <c r="D521" i="4"/>
  <c r="I521" i="4"/>
  <c r="I530" i="4"/>
  <c r="D541" i="4"/>
  <c r="I571" i="4"/>
  <c r="D580" i="4"/>
  <c r="I562" i="4"/>
  <c r="D571" i="4"/>
  <c r="I541" i="4"/>
  <c r="I552" i="4"/>
  <c r="D562" i="4"/>
  <c r="F497" i="4"/>
  <c r="F496" i="4"/>
  <c r="D22" i="1"/>
  <c r="D23" i="1"/>
  <c r="F495" i="4"/>
  <c r="E24" i="12"/>
  <c r="E30" i="12"/>
  <c r="D20" i="1"/>
  <c r="D26" i="1"/>
  <c r="E580" i="4"/>
  <c r="E571" i="4"/>
  <c r="J571" i="4"/>
  <c r="J562" i="4"/>
  <c r="E562" i="4"/>
  <c r="J541" i="4"/>
  <c r="E552" i="4"/>
  <c r="J552" i="4"/>
  <c r="J530" i="4"/>
  <c r="E541" i="4"/>
  <c r="E530" i="4"/>
  <c r="E503" i="4"/>
  <c r="E521" i="4"/>
  <c r="J503" i="4"/>
  <c r="D21" i="1"/>
  <c r="D27" i="1"/>
  <c r="E512" i="4"/>
  <c r="J521" i="4"/>
  <c r="J512" i="4"/>
</calcChain>
</file>

<file path=xl/sharedStrings.xml><?xml version="1.0" encoding="utf-8"?>
<sst xmlns="http://schemas.openxmlformats.org/spreadsheetml/2006/main" count="6259" uniqueCount="1076">
  <si>
    <t>Value</t>
  </si>
  <si>
    <t>Units</t>
  </si>
  <si>
    <t>Source / Notes</t>
  </si>
  <si>
    <t>Macroeconomic Variables</t>
  </si>
  <si>
    <t>Nigerian Inflation Rate</t>
  </si>
  <si>
    <t>%</t>
  </si>
  <si>
    <t>Average Inflation Rate Projection 2012-2019, Source: IMF World Economic Outlook Database (5/17/2015)</t>
  </si>
  <si>
    <t>US Inflation Rate</t>
  </si>
  <si>
    <t>Real Exchange Rate (NGN/USD)</t>
  </si>
  <si>
    <t>NGN/USD</t>
  </si>
  <si>
    <t>Period Average 2012, Source: OANDA.com</t>
  </si>
  <si>
    <t>Real Appr./Dep. (NGN/USD)</t>
  </si>
  <si>
    <t>Assumption</t>
  </si>
  <si>
    <t>Trade Weighted Average Tariffs and Imports</t>
  </si>
  <si>
    <t>2011 (Latest available). Source: http://stat.wto.org/TariffProfile/WSDBTariffPFView.aspx?Language=E&amp;Country=NG</t>
  </si>
  <si>
    <t>Shadow Exchange Rate</t>
  </si>
  <si>
    <t>Foreign Exchange Premium (NGN)</t>
  </si>
  <si>
    <t>Annual Interest Rate, Nominal</t>
  </si>
  <si>
    <t>Annual Interest Rate, Real</t>
  </si>
  <si>
    <t>World Bank Development Indicators, 2009-2013 average</t>
  </si>
  <si>
    <t>Discount Rate</t>
  </si>
  <si>
    <t>Financial Discount Rate</t>
  </si>
  <si>
    <t>Average bank lending rate for short and medium term financing needs. Source: World Bank Development Indicators, 2009-2013 average</t>
  </si>
  <si>
    <t>Economic Discount Rate</t>
  </si>
  <si>
    <t>Abuja, Anambra, Kwara, Ebonyi, Enugu, Benue, Kano, Jigawa, Sokoto, Kebbi</t>
  </si>
  <si>
    <t>1. Table of Parameters</t>
  </si>
  <si>
    <t>Value</t>
  </si>
  <si>
    <t>Units</t>
  </si>
  <si>
    <t>Source / Notes</t>
  </si>
  <si>
    <t>Macroeconomic Variables</t>
  </si>
  <si>
    <t>Nigerian Inflation Rate</t>
  </si>
  <si>
    <t>US Inflation Rate</t>
  </si>
  <si>
    <t>Real Exchange Rate (NGN/USD)</t>
  </si>
  <si>
    <t>Real Appr./Dep. (NGN/USD)</t>
  </si>
  <si>
    <t>Trade Weighted Average Tariffs and Imports</t>
  </si>
  <si>
    <t>Shadow Exchange Rate</t>
  </si>
  <si>
    <t>Foreign Exchange Premium (NGN)</t>
  </si>
  <si>
    <t>Annual Interest Rate, Nominal</t>
  </si>
  <si>
    <t>Annual Interest Rate, Real</t>
  </si>
  <si>
    <t>Discount Rate</t>
  </si>
  <si>
    <t>Financial Discount Rate</t>
  </si>
  <si>
    <t>%</t>
  </si>
  <si>
    <t>Economic Discount Rate</t>
  </si>
  <si>
    <t>%</t>
  </si>
  <si>
    <t>Without Project</t>
  </si>
  <si>
    <t>With Improved Seed &amp; Mechanization</t>
  </si>
  <si>
    <t>Farm Profile</t>
  </si>
  <si>
    <t>Area under Cultivation</t>
  </si>
  <si>
    <t>Hectares (ha)</t>
  </si>
  <si>
    <t>Hectares (ha)</t>
  </si>
  <si>
    <t>.</t>
  </si>
  <si>
    <t>When do farmers increase areas under cultivation?</t>
  </si>
  <si>
    <t>Year after Project Start</t>
  </si>
  <si>
    <t>Household Size</t>
  </si>
  <si>
    <t>People</t>
  </si>
  <si>
    <t>People</t>
  </si>
  <si>
    <t>Household Consumption of Rice</t>
  </si>
  <si>
    <t>kg per year</t>
  </si>
  <si>
    <t>kg per year</t>
  </si>
  <si>
    <t>Rice Production</t>
  </si>
  <si>
    <t>Average Yield per Hectare, year 1</t>
  </si>
  <si>
    <t>MT/HA</t>
  </si>
  <si>
    <t>MT/HA</t>
  </si>
  <si>
    <t>Maximum average yield per hectare over time</t>
  </si>
  <si>
    <t>MT/HA</t>
  </si>
  <si>
    <t>Interval of Seed Replacement</t>
  </si>
  <si>
    <t>Years</t>
  </si>
  <si>
    <t>Years required to grow seedlings</t>
  </si>
  <si>
    <t>Annual Increase in Rice Yield - With traditional seed</t>
  </si>
  <si>
    <t>%, annual</t>
  </si>
  <si>
    <t>Assumption that slowly average rice yields will go up with traditional seeds as farmers gain more access to vouchers, information over time. Conservative Assumption</t>
  </si>
  <si>
    <t>Annual Increase in Rice Yield - With improved seed</t>
  </si>
  <si>
    <t>%, annual</t>
  </si>
  <si>
    <t>Post-Harvest Loss</t>
  </si>
  <si>
    <t>%, annual</t>
  </si>
  <si>
    <t>%, annual</t>
  </si>
  <si>
    <t>Farm Labor Input</t>
  </si>
  <si>
    <t>Person-days per hectare</t>
  </si>
  <si>
    <t>Person-days per hectare</t>
  </si>
  <si>
    <t>Person-days per hectare</t>
  </si>
  <si>
    <t>Person-days per hectare</t>
  </si>
  <si>
    <t>Person-days per hectare</t>
  </si>
  <si>
    <t>Person-days per hectare</t>
  </si>
  <si>
    <t>Person-days per hectare</t>
  </si>
  <si>
    <t>Person-days per hectare</t>
  </si>
  <si>
    <t>Training for MARKETS II</t>
  </si>
  <si>
    <t>Person-days</t>
  </si>
  <si>
    <t>NGN per day</t>
  </si>
  <si>
    <t>NGN per day</t>
  </si>
  <si>
    <t>Change in Labor Wages, real</t>
  </si>
  <si>
    <t>%, annual</t>
  </si>
  <si>
    <t>Physical Inputs</t>
  </si>
  <si>
    <t>Recycled Seed</t>
  </si>
  <si>
    <t>kg/ha per planting cycle</t>
  </si>
  <si>
    <t>kg/ha per planting cycle</t>
  </si>
  <si>
    <t>Source: Improved Practices for Rice Production, MARKETS Material</t>
  </si>
  <si>
    <t>Improved Seed</t>
  </si>
  <si>
    <t>kg/ha per planting cycle</t>
  </si>
  <si>
    <t>kg/ha per planting cycle</t>
  </si>
  <si>
    <t>Urea</t>
  </si>
  <si>
    <t>kg/ha per planting cycle</t>
  </si>
  <si>
    <t>kg/ha per planting cycle</t>
  </si>
  <si>
    <t>NPK</t>
  </si>
  <si>
    <t>kg/ha per planting cycle</t>
  </si>
  <si>
    <t>kg/ha per planting cycle</t>
  </si>
  <si>
    <t>Herbicide</t>
  </si>
  <si>
    <t>liter/ha per planting cycle</t>
  </si>
  <si>
    <t>liter/ha per planting cycle</t>
  </si>
  <si>
    <t>Bags</t>
  </si>
  <si>
    <t>Unit Input Prices</t>
  </si>
  <si>
    <t>Rental Rate of Land</t>
  </si>
  <si>
    <t>NGN per ha</t>
  </si>
  <si>
    <t>Recycled Seed</t>
  </si>
  <si>
    <t>NGN per kg</t>
  </si>
  <si>
    <t>NGN per kg</t>
  </si>
  <si>
    <t>Improved Seed</t>
  </si>
  <si>
    <t>NGN per kg</t>
  </si>
  <si>
    <t>NGN per kg</t>
  </si>
  <si>
    <t>Urea</t>
  </si>
  <si>
    <t>NPK</t>
  </si>
  <si>
    <t>Herbicide</t>
  </si>
  <si>
    <t>NGN per liter</t>
  </si>
  <si>
    <t>Round-up price. Source: Farmer interviews.</t>
  </si>
  <si>
    <t>Bags</t>
  </si>
  <si>
    <t>NGN per bag</t>
  </si>
  <si>
    <t>NGN per bag</t>
  </si>
  <si>
    <t>Source: MARKETS Field Survey, Aggregation Center Final Report</t>
  </si>
  <si>
    <t>%, annual</t>
  </si>
  <si>
    <t>Direct Paddy Seeders</t>
  </si>
  <si>
    <t>UDP Applicator</t>
  </si>
  <si>
    <t>Mechanization Costs</t>
  </si>
  <si>
    <t>Unit Output Prices</t>
  </si>
  <si>
    <t>Rice Paddy - at market/processor</t>
  </si>
  <si>
    <t>Transport cost</t>
  </si>
  <si>
    <t>Farmer interviews.  This also assumes higher transport costs for the "with project farmers" who tend to travel further to bring their produce to the processors</t>
  </si>
  <si>
    <t>Rice Paddy - at farm gate</t>
  </si>
  <si>
    <t>NGN per kg</t>
  </si>
  <si>
    <t>NGN per kg</t>
  </si>
  <si>
    <t>Intercropping Income</t>
  </si>
  <si>
    <t>NGN per ha per year</t>
  </si>
  <si>
    <t>NGN per ha per year</t>
  </si>
  <si>
    <t>Rice farmers do intercrop but we are making the assumption that the MARKETS II intervention does not have an impact on yields and incomes associated with the other crops</t>
  </si>
  <si>
    <t>Farm Price of Rice Paddy Sensitivity Factor</t>
  </si>
  <si>
    <t>%</t>
  </si>
  <si>
    <t>Financing</t>
  </si>
  <si>
    <t>Average Loan Amount</t>
  </si>
  <si>
    <t>NGN</t>
  </si>
  <si>
    <t>NGN</t>
  </si>
  <si>
    <t>Periodic Interest Rate, nominal</t>
  </si>
  <si>
    <t>%</t>
  </si>
  <si>
    <t>%</t>
  </si>
  <si>
    <t>Grace Period</t>
  </si>
  <si>
    <t>Months</t>
  </si>
  <si>
    <t>Months</t>
  </si>
  <si>
    <t>Repayment Period</t>
  </si>
  <si>
    <t>Months</t>
  </si>
  <si>
    <t>Months</t>
  </si>
  <si>
    <t>Total Payback Period</t>
  </si>
  <si>
    <t>Months</t>
  </si>
  <si>
    <t>Months</t>
  </si>
  <si>
    <t>Compounding Period</t>
  </si>
  <si>
    <t>Project Variables</t>
  </si>
  <si>
    <t>Entering Farms, Y1</t>
  </si>
  <si>
    <t>#</t>
  </si>
  <si>
    <t>Entering Farms, Y2</t>
  </si>
  <si>
    <t>#</t>
  </si>
  <si>
    <t>Entering Farms, Y3</t>
  </si>
  <si>
    <t>#</t>
  </si>
  <si>
    <t>Entering Farms, Y4</t>
  </si>
  <si>
    <t>#</t>
  </si>
  <si>
    <t>#</t>
  </si>
  <si>
    <t>Adoption Rate</t>
  </si>
  <si>
    <t>USD</t>
  </si>
  <si>
    <t>2. Preparatory Tables</t>
  </si>
  <si>
    <t>&lt;&lt;&lt;&lt; Year</t>
  </si>
  <si>
    <t>Inflation Table</t>
  </si>
  <si>
    <t>Domestic Inflation Rate</t>
  </si>
  <si>
    <t>Domestic Inflation Index</t>
  </si>
  <si>
    <t>US Inflation Rate</t>
  </si>
  <si>
    <t>US Inflation Index</t>
  </si>
  <si>
    <t>Relative Inflation Rate</t>
  </si>
  <si>
    <t>Real Exchange Rate</t>
  </si>
  <si>
    <t>Movement in Real Exchange Rate</t>
  </si>
  <si>
    <t>Adjusted Real Exchange Rate</t>
  </si>
  <si>
    <t>Nominal Exchange Rate</t>
  </si>
  <si>
    <t>Growth Rates and Growth Indices</t>
  </si>
  <si>
    <t>Annual increase in rice yield with traditional seed (%)</t>
  </si>
  <si>
    <t>Traditional Seed Yield Growth Index</t>
  </si>
  <si>
    <t>Annual increase in rice yield with improved seed (%)</t>
  </si>
  <si>
    <t>Improved Seed Yield Growth Index</t>
  </si>
  <si>
    <t>Change in Labor Wages, real (%)</t>
  </si>
  <si>
    <t>Real Labor Wage Growth Index</t>
  </si>
  <si>
    <t>3. Production and Sales</t>
  </si>
  <si>
    <t>&lt;&lt;&lt;&lt; Year</t>
  </si>
  <si>
    <t>Production Schedule - Without Project, MT</t>
  </si>
  <si>
    <t>Annual rice production</t>
  </si>
  <si>
    <t>Rice Available for Sale</t>
  </si>
  <si>
    <t>Production Schedule - With Improved Seed, MT</t>
  </si>
  <si>
    <t>Production Schedule - With Improved Seed &amp; Mechanization, MT</t>
  </si>
  <si>
    <t>Annual rice production</t>
  </si>
  <si>
    <t>Rice Available for Sale</t>
  </si>
  <si>
    <t>Rice Available for Sale</t>
  </si>
  <si>
    <t>4. Input Requirements</t>
  </si>
  <si>
    <t>Hired Wage Rate - Weeding / Bird Scaring</t>
  </si>
  <si>
    <t>Hired Wage Rate - Harvest/Threshing/Bagging</t>
  </si>
  <si>
    <t>Hired Wage Rate - Planting/Fertilizing</t>
  </si>
  <si>
    <t>Hired Wage Rate - Land Clearing &amp; Prep</t>
  </si>
  <si>
    <t>TOTAL Labor Costs</t>
  </si>
  <si>
    <t>Source: Interview IFDC and MARKETS II. Price is 5,500 NGN per 50 kg bag</t>
  </si>
  <si>
    <t>Financing &amp; Vouchers</t>
  </si>
  <si>
    <t>Kgs paddy per bag</t>
  </si>
  <si>
    <t>Area Under Cultivation (hectares)</t>
  </si>
  <si>
    <t>With Improved Seed</t>
  </si>
  <si>
    <t>Opportunity cost of using the recycled seed instead of selling it</t>
  </si>
  <si>
    <t>Mechanization Service Costs</t>
  </si>
  <si>
    <t>Fixed Costs</t>
  </si>
  <si>
    <t>TOTAL Fixed Costs</t>
  </si>
  <si>
    <t>TOTAL Physical Input Costs</t>
  </si>
  <si>
    <t>Labor Input Costs</t>
  </si>
  <si>
    <t>Physical Input Costs</t>
  </si>
  <si>
    <t>TOTAL Mechanization Service Costs</t>
  </si>
  <si>
    <t>5. Financial Analysis</t>
  </si>
  <si>
    <t>Receipts</t>
  </si>
  <si>
    <t xml:space="preserve">Value Production - With Improved Seed &amp; Mechanization, Nominal 1000 NGN </t>
  </si>
  <si>
    <t xml:space="preserve">Value Production - With Improved Seed, Nominal 1000 NGN </t>
  </si>
  <si>
    <t xml:space="preserve">Value Production - Without Project, Nominal 1000 NGN </t>
  </si>
  <si>
    <t xml:space="preserve">Operating Costs - Without Project, Nominal 1000 NGN </t>
  </si>
  <si>
    <t xml:space="preserve">Operating Costs - With Improved Seed, Nominal 1000 NGN </t>
  </si>
  <si>
    <t xml:space="preserve">Operating Costs - With Improved Seed &amp; Mechanization, Nominal 1000 NGN </t>
  </si>
  <si>
    <t>Without Project Cash Flow Statement, Real 1000 NGN</t>
  </si>
  <si>
    <t>TOTAL Inflows</t>
  </si>
  <si>
    <t xml:space="preserve"> - Value of farm production loss</t>
  </si>
  <si>
    <t xml:space="preserve"> - Farm production loss</t>
  </si>
  <si>
    <t xml:space="preserve"> - Family consumption of rice</t>
  </si>
  <si>
    <t xml:space="preserve"> - Rice seed kept for seedlings</t>
  </si>
  <si>
    <t>Expenditures</t>
  </si>
  <si>
    <t>TOTAL Outflows</t>
  </si>
  <si>
    <t>With Improved Seed Cash Flow Statement, Real 1000 NGN</t>
  </si>
  <si>
    <t>NET CASH FLOW - Without Project</t>
  </si>
  <si>
    <t>NET CASH FLOW - Improved Seed</t>
  </si>
  <si>
    <t>6. Incremental Cash Flow</t>
  </si>
  <si>
    <t>Incremental Inflows</t>
  </si>
  <si>
    <t>Incremental Outflows</t>
  </si>
  <si>
    <t>Incremental Net Cash Flow</t>
  </si>
  <si>
    <t>FARMER'S POINT OF VIEW</t>
  </si>
  <si>
    <t>Loan Repayment</t>
  </si>
  <si>
    <t>Rice Income</t>
  </si>
  <si>
    <t>TOTAL Financing and Vouchers</t>
  </si>
  <si>
    <t>TOTAL Value of Rice Income</t>
  </si>
  <si>
    <t>Incremental NPV - 1000 NGN</t>
  </si>
  <si>
    <t>Entering Farms, Y0</t>
  </si>
  <si>
    <t>Attrition Rate at end of MARKETS II</t>
  </si>
  <si>
    <t>Farmers Year 0</t>
  </si>
  <si>
    <t>Farmers Year 1</t>
  </si>
  <si>
    <t>Farmers Year 2</t>
  </si>
  <si>
    <t>Farmers Year 3</t>
  </si>
  <si>
    <t>For all targeted beneficiaries</t>
  </si>
  <si>
    <t>Year of Attrition</t>
  </si>
  <si>
    <t>Adoption Rate (%)</t>
  </si>
  <si>
    <t>Attrition Rate (%)</t>
  </si>
  <si>
    <t>Target Beneficiaries (#)</t>
  </si>
  <si>
    <t>Farmers Year 4</t>
  </si>
  <si>
    <t>Total USAID Cash Outflow</t>
  </si>
  <si>
    <t>Real price change - improved seed</t>
  </si>
  <si>
    <t>Real price change - improved seed (%)</t>
  </si>
  <si>
    <t>Real Improved Seed Prices Growth Index</t>
  </si>
  <si>
    <t>Financing and Other Inflows</t>
  </si>
  <si>
    <t>Loan</t>
  </si>
  <si>
    <t>Year Funding Begins for this Value Chain</t>
  </si>
  <si>
    <t>Year 0 = Year 2012</t>
  </si>
  <si>
    <t>Number of Years of Implementation of this Value Chain</t>
  </si>
  <si>
    <t>Family Wage Rate - weighted average of activities</t>
  </si>
  <si>
    <t>Land Clearing and Preparation - hired labor</t>
  </si>
  <si>
    <t>Planting / Fertilizing - hired labor</t>
  </si>
  <si>
    <t>Weeding / Bird Scaring - hired labor</t>
  </si>
  <si>
    <t>Harvest/Threshing/Bagging - hired labor</t>
  </si>
  <si>
    <t>Training for MARKETS II - family labor</t>
  </si>
  <si>
    <t>Family Labor on farm (total, all activities)</t>
  </si>
  <si>
    <t>Family Labor, all activities</t>
  </si>
  <si>
    <t>Improved Seed (compared to "without project: farm), Real 1000 NGN</t>
  </si>
  <si>
    <t xml:space="preserve">NGN per hectare. </t>
  </si>
  <si>
    <t>Source: MARKETS II Field Survey</t>
  </si>
  <si>
    <t>Transportation - Farm to Market</t>
  </si>
  <si>
    <t>Equipment</t>
  </si>
  <si>
    <t>Storage</t>
  </si>
  <si>
    <t>Total</t>
  </si>
  <si>
    <t>Equipment Scaling Factor</t>
  </si>
  <si>
    <t>Other Costs</t>
  </si>
  <si>
    <t>NGN per MT</t>
  </si>
  <si>
    <t>TOTAL Other Costs</t>
  </si>
  <si>
    <t>Miscellaneous</t>
  </si>
  <si>
    <t>Hired Wage Rate - Miscellaneous</t>
  </si>
  <si>
    <t>CAN</t>
  </si>
  <si>
    <t>Miscellaneous - hired labor</t>
  </si>
  <si>
    <t>Source: MARKETS II Farm Survey</t>
  </si>
  <si>
    <t>production cycles per year</t>
  </si>
  <si>
    <t>With Project Data from Consolidated Data from MARKETS II Surveys. Estimate that only 80% yield increase is achieved in year 1. Estimate that without project yields are about 0.9 MT greater than rainfed rice, consistent with literature, e.g.: http://pdf.usaid.gov/pdf_docs/Pnadb849.pdf or http://www.ifpri.org/sites/default/files/publications/nsspbp11.pdf</t>
  </si>
  <si>
    <t>Source: http://www.aphlis.net/index.php?form=losses_estimates&amp;co_id=37&amp;c_id=327</t>
  </si>
  <si>
    <t>Location of MARKETS II Cassava Intervention:</t>
  </si>
  <si>
    <t>Cassava - at market/processor</t>
  </si>
  <si>
    <t>Cassava - at farm gate</t>
  </si>
  <si>
    <t>Farm Price of Cassava Sensitivity Factor</t>
  </si>
  <si>
    <t>Annual Cassava production</t>
  </si>
  <si>
    <t xml:space="preserve"> - Family consumption of Cassava</t>
  </si>
  <si>
    <t>Cassava Available for Sale</t>
  </si>
  <si>
    <t>Cassava Income</t>
  </si>
  <si>
    <t>TOTAL Value of Cassava Income</t>
  </si>
  <si>
    <t>Household Consumption of Cassava</t>
  </si>
  <si>
    <t>Cassava Production</t>
  </si>
  <si>
    <t>MARKETS II Field Survey</t>
  </si>
  <si>
    <t>Source: http://www.partnership-africa.org/sites/default/files/Tarawali%20&amp;Asiedu-Processing%20and%20Market%20Development%20in%20Nigeria.pdf</t>
  </si>
  <si>
    <t>Kgs per bag</t>
  </si>
  <si>
    <t>Recycled Stems</t>
  </si>
  <si>
    <t>Improved Stems</t>
  </si>
  <si>
    <t>bundles/ha per planting cycle</t>
  </si>
  <si>
    <t>NGN per bundle</t>
  </si>
  <si>
    <t>Source: 2012 Master Survey Data, MARKETS</t>
  </si>
  <si>
    <t>With Improved Stem</t>
  </si>
  <si>
    <t>With Improved Stem &amp; Mechanization</t>
  </si>
  <si>
    <t>Years of Cassava Harvest (Dummy Variable: 1=Cassava Harvest, 0= Peanut Harvest)</t>
  </si>
  <si>
    <t>TOTAL Financing and Other Inflows</t>
  </si>
  <si>
    <t>Meaning each stem is harvested 3 times, replaced on the forth year. MARKETS teaches them to replace every 3-4 years</t>
  </si>
  <si>
    <t>Minimum average yield per hectare over time</t>
  </si>
  <si>
    <t>Weeding - hired labor</t>
  </si>
  <si>
    <t>Hired Wage Rate - Weeding</t>
  </si>
  <si>
    <t>Source: PIND – A report on cassava value chain analysis in the Niger Delta, page 27. Same cost as MARKETS II Field Survey</t>
  </si>
  <si>
    <t>Source: MARKETS II Field Survey. Same as PIND study.</t>
  </si>
  <si>
    <t xml:space="preserve">Increase until it yields max at as defined in cell I32.  Assume that farmers achieve maximum rice yield after the MARKETS II Program intervention.  </t>
  </si>
  <si>
    <t>Counterfactual is MARKETS II Baseline and With Project Data from Consolidated Data from MARKETS II Surveys. Estimate that only 80% yield increase is achieved in year 1.</t>
  </si>
  <si>
    <t>Person-days per hectare per production cycle</t>
  </si>
  <si>
    <t>Did not use MARKETS II Field Survey</t>
  </si>
  <si>
    <t>Harvest - hired labor</t>
  </si>
  <si>
    <t>Hired Wage Rate - Harvest</t>
  </si>
  <si>
    <t>Insecticides</t>
  </si>
  <si>
    <t>Insecticide</t>
  </si>
  <si>
    <t>Source: http://www.cassavabiz.org/agroenterprise/farming.htm</t>
  </si>
  <si>
    <t>MARKETS II Surveys. Increase market wage due to reports that labor is highly scarce during harvest time</t>
  </si>
  <si>
    <t>Years required to grow new stems</t>
  </si>
  <si>
    <t>Real price change - improved stem</t>
  </si>
  <si>
    <t>Annual increase in Cassava yield with traditional stem (%)</t>
  </si>
  <si>
    <t>Traditional Stem Yield Growth Index</t>
  </si>
  <si>
    <t>Real price change - improved stem (%)</t>
  </si>
  <si>
    <t>Real Improved Stem Prices Growth Index</t>
  </si>
  <si>
    <t>Production Schedule - With Improved Stem, MT</t>
  </si>
  <si>
    <t xml:space="preserve">Value Production - With Improved Stem, Nominal 1000 NGN </t>
  </si>
  <si>
    <t xml:space="preserve">Operating Costs - With Improved Stem, Nominal 1000 NGN </t>
  </si>
  <si>
    <t xml:space="preserve">Operating Costs - With Improved Stem &amp; Mechanization, Nominal 1000 NGN </t>
  </si>
  <si>
    <t>With Improved Stem Cash Flow Statement, Real 1000 NGN</t>
  </si>
  <si>
    <t>NET CASH FLOW - Improved Stem</t>
  </si>
  <si>
    <t>Improved Stem (compared to "without project: farm), Real 1000 NGN</t>
  </si>
  <si>
    <t>Number of Beneficiaries - Improved Stem</t>
  </si>
  <si>
    <t>With Improved Stem and Best Practices</t>
  </si>
  <si>
    <t>Interval of Stem Replacement</t>
  </si>
  <si>
    <t>Fungicide</t>
  </si>
  <si>
    <t>Household Consumption</t>
  </si>
  <si>
    <t>Location of MARKETS II Cocoa Intervention:</t>
  </si>
  <si>
    <t>Location of MARKETS II Maize Intervention:</t>
  </si>
  <si>
    <t>MARKETS II Baseline Survey data</t>
  </si>
  <si>
    <t>Consolidated Data sourced from MARKETS II Surveys</t>
  </si>
  <si>
    <t>Household Consumption of Maize</t>
  </si>
  <si>
    <t>Assumption that HHs increase their consumption by 20% as productivity and income increase.  Would be better to know the income elasticity of consumption here.</t>
  </si>
  <si>
    <t>Maize Production</t>
  </si>
  <si>
    <t xml:space="preserve">Yield increase based on input from MARKETS II. </t>
  </si>
  <si>
    <t>Annual Increase in Maize Yield - With traditional seed</t>
  </si>
  <si>
    <t>Average yield growth, 1990-2012.  FAOSTAT database</t>
  </si>
  <si>
    <t>Annual Increase in Maize Yield - With improved seed</t>
  </si>
  <si>
    <t>Assume that farmers achieve productivity increases in line with national trend after switching to improved methods</t>
  </si>
  <si>
    <t>"Losses in cassava and maize value chains in Nigeria and their ecological footprint," Osterman, GIZ (2013).</t>
  </si>
  <si>
    <t>Assumption that land prep, planting and other labor all increase between 50-100% due to improved practices.  Assumption that harvesting/threshing/bagging increase proportionately with yield increases.</t>
  </si>
  <si>
    <t>Assumption that weeding labor does not increase, due to increased use of herbicide.  This may be too conservative.</t>
  </si>
  <si>
    <t>Assumption - can we confirm this?</t>
  </si>
  <si>
    <t>Assumption that farmers will purchase new seed in most, but not all years--the ratio here reflects purchase of improved seed in five of six years.</t>
  </si>
  <si>
    <t>From MARKETS II package of practices</t>
  </si>
  <si>
    <t>Multi-crop thresher</t>
  </si>
  <si>
    <t>Jab or row planter</t>
  </si>
  <si>
    <t>Transport</t>
  </si>
  <si>
    <t>Maize - at market/processor</t>
  </si>
  <si>
    <t>Farm Gate Prices of Agricultural Prices, 2009-2010, NBS.  Inflation-adjusted</t>
  </si>
  <si>
    <t>Maize - at farm gate</t>
  </si>
  <si>
    <t>Farm Price of Maize Sensitivity Factor</t>
  </si>
  <si>
    <t>Dummy variable</t>
  </si>
  <si>
    <t>MARKETS II assumes a 100% adoption rate among project farmers, which seems high.  I think 80-90% might be more reasonable?</t>
  </si>
  <si>
    <t>Annual increase in maize yield with traditional seed (%)</t>
  </si>
  <si>
    <t>Annual increase in maize yield with improved seed (%)</t>
  </si>
  <si>
    <t>Annual maize production</t>
  </si>
  <si>
    <t xml:space="preserve"> - Family consumption of maize</t>
  </si>
  <si>
    <t xml:space="preserve"> - Maize seed kept for seedlings</t>
  </si>
  <si>
    <t>Maize Available for Sale</t>
  </si>
  <si>
    <t>Maize Income</t>
  </si>
  <si>
    <t>TOTAL Value of Maize Income</t>
  </si>
  <si>
    <t>Incremental NPV - USD</t>
  </si>
  <si>
    <t>Location of MARKETS II Sorghum Intervention:</t>
  </si>
  <si>
    <t>Household Consumption of Sorghum</t>
  </si>
  <si>
    <t>Sorghum Production</t>
  </si>
  <si>
    <t>Note:  I used the average yield of the last 10 yrs.' data for Nigeria from FAOSTAT.  This is significantly higher than the estimate from the MARKETS II Baseline survey, which estimated initial yields at about .75MT/ha.  Using a lower initial yield increases the incremental benefits of the project, but causes the non-project farmers' net cash flows to be strongly negative, which is unlikely.</t>
  </si>
  <si>
    <t>Annual Increase in Sorghum Yield - With traditional seed</t>
  </si>
  <si>
    <t>Annual Increase in Sorghum Yield - With improved seed</t>
  </si>
  <si>
    <t>Loss estimates vary widely, from very low to 30%.  See for example "Survey and Analysis of Post-Harvest Losses", FAO.  &lt;http://www.fao.org/docrep/004/ac301e/AC301e04.htm&gt;</t>
  </si>
  <si>
    <t>Assumption that land prep, planting, weeding and other labor all increase between 50-100% due to improved practices.  Assumption that harvesting/threshing/bagging increase proportionately with yield increases.</t>
  </si>
  <si>
    <t>Pelletized fertilizer applicator</t>
  </si>
  <si>
    <t>Sorghum - at market/processor</t>
  </si>
  <si>
    <t>Sorghum - at farm gate</t>
  </si>
  <si>
    <t>Farm Price of Sorghum  Sensitivity Factor</t>
  </si>
  <si>
    <t>Annual increase in Sorghum yield with traditional seed (%)</t>
  </si>
  <si>
    <t>Annual increase in Sorghum yield with improved seed (%)</t>
  </si>
  <si>
    <t>Annual Sorghum production</t>
  </si>
  <si>
    <t xml:space="preserve"> - Family consumption of Sorghum</t>
  </si>
  <si>
    <t xml:space="preserve"> - Sorghum seed kept for seedlings</t>
  </si>
  <si>
    <t>Sorghum Available for Sale</t>
  </si>
  <si>
    <t>Sorghum Income</t>
  </si>
  <si>
    <t>TOTAL Value of Sorghum Income</t>
  </si>
  <si>
    <t>Annual Increase in soybean Yield - With traditional seed</t>
  </si>
  <si>
    <t>Annual Increase in soybean Yield - With improved seed</t>
  </si>
  <si>
    <t>Increased maize yield due to soybean rotation</t>
  </si>
  <si>
    <t>Yield increase assumed to be lower with inferior farming techniques</t>
  </si>
  <si>
    <t>Effect of soybean on subsequent maize grain yield in the guinea savanna zone of West Africa, Carsky et al., African Crop Science Journal</t>
  </si>
  <si>
    <t>Survey and Analysis of Post-Harvest Losses, FAO.  &lt;http://www.fao.org/docrep/004/ac301e/AC301e04.htm&gt;</t>
  </si>
  <si>
    <t>MARKETS II Baseline Survey data - this is MUCH lower than for other VCs…data problem?</t>
  </si>
  <si>
    <t>SSP</t>
  </si>
  <si>
    <t>soybean - at market/processor</t>
  </si>
  <si>
    <t>Soy processor field interview</t>
  </si>
  <si>
    <t>soybean - at farm gate</t>
  </si>
  <si>
    <t>Farm Price of soybean Sensitivity Factor</t>
  </si>
  <si>
    <t>Every _ years</t>
  </si>
  <si>
    <t>Annual increase in soybean yield with traditional seed (%)</t>
  </si>
  <si>
    <t>Annual increase in soybean yield with improved seed (%)</t>
  </si>
  <si>
    <t>Crop Under Cultivation (1 if soybean, 0 if maize)</t>
  </si>
  <si>
    <t>With Project</t>
  </si>
  <si>
    <t>Annual soybean production</t>
  </si>
  <si>
    <t xml:space="preserve"> - Family consumption of soybean</t>
  </si>
  <si>
    <t xml:space="preserve"> - soybean seed kept for seedlings</t>
  </si>
  <si>
    <t>soybean Income</t>
  </si>
  <si>
    <t>TOTAL Value of soybean Income</t>
  </si>
  <si>
    <t>Location of MARKETS II Aquaculture Intervention:</t>
  </si>
  <si>
    <t>Base Case</t>
  </si>
  <si>
    <t>Number of ponds</t>
  </si>
  <si>
    <t>All budget numbers are the average of Aquaculture farms in the MARKETS II baseline survey data.  However it is not clear whether the farm size reported by aquaculture farmers indicates the number of ponds, surface area of the ponds, or something else.  Therefore, all of these data are scaled to an "average farm", with one pond of indeterminate size.</t>
  </si>
  <si>
    <t>Production cycles after project start</t>
  </si>
  <si>
    <t>Household Consumption of Fish</t>
  </si>
  <si>
    <t>Fish Production</t>
  </si>
  <si>
    <t>Yield, 1st production cycle</t>
  </si>
  <si>
    <t>Maximum average yield per pond over time</t>
  </si>
  <si>
    <t>Annual Increase in yield</t>
  </si>
  <si>
    <t>"Fish Supply and Food Security for Africa," World Fish Center</t>
  </si>
  <si>
    <t>Net Feed Conversion Ratio (FCR)</t>
  </si>
  <si>
    <t>Assumption - estimates of FCR range from .9 to 1.4 or above for different pond types and management systems.  See for example, "Aquaculture Value Chain Analysis in the Niger Delta,", PIND, 2011.</t>
  </si>
  <si>
    <t>Production cycles per year</t>
  </si>
  <si>
    <t>Land Prep</t>
  </si>
  <si>
    <t>Fish Feeding</t>
  </si>
  <si>
    <t>Harvest</t>
  </si>
  <si>
    <t>Fish Processing/Packaging</t>
  </si>
  <si>
    <t>Fingerling Production</t>
  </si>
  <si>
    <t>Family Labor</t>
  </si>
  <si>
    <t>MARKETS II Baseline Survey data - this is much higher than for other VCs.  Could be a data problem, or maybe requires certain land characteristics?</t>
  </si>
  <si>
    <t>Fingerlings</t>
  </si>
  <si>
    <t>fingerlings per planting cycle</t>
  </si>
  <si>
    <t>Feed, imported</t>
  </si>
  <si>
    <t>kg/unit of farm</t>
  </si>
  <si>
    <t>Calculated based on the FCR.  Assumption that 2/3 of feed is imported extruded feed, 1/3 is domestic sinking feed.</t>
  </si>
  <si>
    <t>Feed, domestic/local</t>
  </si>
  <si>
    <t>NGN per fingerling</t>
  </si>
  <si>
    <t>Manual for the Commercial Pond Production of the African Catfish in Uganda, USAID.</t>
  </si>
  <si>
    <t>Fish  - at farm gate</t>
  </si>
  <si>
    <t>Farm Price of Fish  Sensitivity Factor</t>
  </si>
  <si>
    <t>Annual Fish production</t>
  </si>
  <si>
    <t xml:space="preserve"> - Family consumption of Fish</t>
  </si>
  <si>
    <t>Fish Available for Sale</t>
  </si>
  <si>
    <t>Value of family consumption of Fish</t>
  </si>
  <si>
    <t xml:space="preserve">Value Production - Base Case + Improvements, Nominal 1000 NGN </t>
  </si>
  <si>
    <t>TWO PRODUCTION CYCLES PER YEAR</t>
  </si>
  <si>
    <t>TOTAL Value of Fish Income</t>
  </si>
  <si>
    <t>MARKETS II Field Survey and FY12 data</t>
  </si>
  <si>
    <t>Annual cocoa production</t>
  </si>
  <si>
    <t>Annual increase in cocoa yield with traditional seed (%)</t>
  </si>
  <si>
    <t>Annual increase in cocoa yield with improved seed (%)</t>
  </si>
  <si>
    <t xml:space="preserve"> - Family consumption of cocoa</t>
  </si>
  <si>
    <t>Farm Price of Cocoa Sensitivity Factor</t>
  </si>
  <si>
    <t>Cocoa Available for Sale</t>
  </si>
  <si>
    <t>Cocoa Income</t>
  </si>
  <si>
    <t>TOTAL Value of Cocoa Income</t>
  </si>
  <si>
    <t>Cocoa Production</t>
  </si>
  <si>
    <t>Annual Increase in Cocoa Yield - With improved seed</t>
  </si>
  <si>
    <t>#, Markets Year 1 targets</t>
  </si>
  <si>
    <t>Oyo, Ondo and Cross River states</t>
  </si>
  <si>
    <t>MARKETS II Data</t>
  </si>
  <si>
    <t>Source IITA, in addition to intercropped trees</t>
  </si>
  <si>
    <t>Life of tree</t>
  </si>
  <si>
    <t>years</t>
  </si>
  <si>
    <t>NGN per tree</t>
  </si>
  <si>
    <t>Cocoa beans - at market</t>
  </si>
  <si>
    <t>Cocoa beans - at farm gate</t>
  </si>
  <si>
    <t>Cocoa Beans Available for Sale</t>
  </si>
  <si>
    <t>Harvest/Bagging - hired labor</t>
  </si>
  <si>
    <t xml:space="preserve">Hired Wage Rate - Weeding </t>
  </si>
  <si>
    <t>Hired Wage Rate - Harvest/Bagging</t>
  </si>
  <si>
    <t>Fertilizer</t>
  </si>
  <si>
    <t>kg per ha</t>
  </si>
  <si>
    <t>Annual Increase in Cocoa Yield - With traditional trees</t>
  </si>
  <si>
    <t>No evidence of increasing in the sector</t>
  </si>
  <si>
    <t>Lifters</t>
  </si>
  <si>
    <t>MARKETS II Field Survey data - assumes less weeding needed with herbicide</t>
  </si>
  <si>
    <t>MARKETS II Field Survey.</t>
  </si>
  <si>
    <t>IITA Material</t>
  </si>
  <si>
    <t>Location of MARKETS II Irrigated Rice Intervention:</t>
  </si>
  <si>
    <t>Location of MARKETS II Rainfed Rice Intervention:</t>
  </si>
  <si>
    <t>MARKETS II Program - AQUACULTURE</t>
  </si>
  <si>
    <t>MARKETS II Program - CASSAVA</t>
  </si>
  <si>
    <t>MARKETS II Program - COCOA</t>
  </si>
  <si>
    <t>MARKETS II Program - MAIZE</t>
  </si>
  <si>
    <t>MARKETS II Program - SORGHUM</t>
  </si>
  <si>
    <t>MARKETS II Program - SOYBEAN</t>
  </si>
  <si>
    <t>Email from James July 18 2014</t>
  </si>
  <si>
    <t>Takes sixteen months to grow new stems</t>
  </si>
  <si>
    <t>annual</t>
  </si>
  <si>
    <t>Assume that slowly cassava becomes less productive when it is recycled.</t>
  </si>
  <si>
    <t>Not sure - MARKETS II says its "more than 20". See email July 18</t>
  </si>
  <si>
    <t>MARKETS II Trainer's Guide</t>
  </si>
  <si>
    <t>Maize</t>
  </si>
  <si>
    <t>USD/MT</t>
  </si>
  <si>
    <t>FOB Gulf of Mexico</t>
  </si>
  <si>
    <t>Cassava</t>
  </si>
  <si>
    <t>Sorghum</t>
  </si>
  <si>
    <t>Soy</t>
  </si>
  <si>
    <t>Cocoa</t>
  </si>
  <si>
    <t>Rice</t>
  </si>
  <si>
    <t>Aquaculture</t>
  </si>
  <si>
    <t>FOB Haiphong, Vietnam</t>
  </si>
  <si>
    <t>Unadjusted exchange rate</t>
  </si>
  <si>
    <t>Adjusted exchange rate</t>
  </si>
  <si>
    <t>Currency over/under</t>
  </si>
  <si>
    <t>Most recent IMF Article IV</t>
  </si>
  <si>
    <t>Shipping costs, Gulf of Mexico to Lagos</t>
  </si>
  <si>
    <t>http://tampabayfreight.com/wp-content/uploads/The-Effectof-Rising-Fuel-Costs-on-Goods-Movement-Mode-Choice-and-Infrastructure-Needs.pdf</t>
  </si>
  <si>
    <t>Shipping costs, Haiphong, Vietnam to Lagos</t>
  </si>
  <si>
    <t>http://www.portworld.com/map/</t>
  </si>
  <si>
    <t>Transportation costs, in Nigeria</t>
  </si>
  <si>
    <t>USD/MT/km</t>
  </si>
  <si>
    <t>NEXTT Baseline Assessment</t>
  </si>
  <si>
    <t>Handling</t>
  </si>
  <si>
    <t>http://www.ifdc.org/R-D/Research/Nigeria_tech_Final111913/</t>
  </si>
  <si>
    <t>Marketer's margin, grains</t>
  </si>
  <si>
    <t>NGN/MT</t>
  </si>
  <si>
    <t>http://ideas.repec.org/a/emc/ecomex/v21y2012i2p373-390.html</t>
  </si>
  <si>
    <t>Marketer's margin, fish</t>
  </si>
  <si>
    <t>A Report on Aquaculture Value Chain Analysis in the Niger Delta, PIND (2011)</t>
  </si>
  <si>
    <t>VAT (imports only)</t>
  </si>
  <si>
    <t>10-20%</t>
  </si>
  <si>
    <t>Distance from Lagos</t>
  </si>
  <si>
    <t>From Google Maps driving directions</t>
  </si>
  <si>
    <t>Region</t>
  </si>
  <si>
    <t>Capital</t>
  </si>
  <si>
    <t>Lagos</t>
  </si>
  <si>
    <t>Oyo</t>
  </si>
  <si>
    <t>Ibadan</t>
  </si>
  <si>
    <t>Osun</t>
  </si>
  <si>
    <t>Osogbo</t>
  </si>
  <si>
    <t>Akure</t>
  </si>
  <si>
    <t>Delta</t>
  </si>
  <si>
    <t>Asaba</t>
  </si>
  <si>
    <t>Edo</t>
  </si>
  <si>
    <t>Benin City</t>
  </si>
  <si>
    <t>FCT</t>
  </si>
  <si>
    <t>Abuja</t>
  </si>
  <si>
    <t>Kaduna</t>
  </si>
  <si>
    <t>Kano</t>
  </si>
  <si>
    <t>Niger</t>
  </si>
  <si>
    <t>Minna</t>
  </si>
  <si>
    <t>Benue</t>
  </si>
  <si>
    <t>Makurdi</t>
  </si>
  <si>
    <t>Average distance from port to market</t>
  </si>
  <si>
    <t>Kano, Kaduna</t>
  </si>
  <si>
    <t>IMPORTABLE PROJECT OUTPUT, Maize</t>
  </si>
  <si>
    <t>Financial Value</t>
  </si>
  <si>
    <t>% Tradable</t>
  </si>
  <si>
    <t>FEP Value</t>
  </si>
  <si>
    <t>Adj. EV</t>
  </si>
  <si>
    <t xml:space="preserve">   US$</t>
  </si>
  <si>
    <t xml:space="preserve">   Local Currency (NGN)</t>
  </si>
  <si>
    <t>PLUS</t>
  </si>
  <si>
    <t>Import tariff</t>
  </si>
  <si>
    <t>VAT</t>
  </si>
  <si>
    <t>Price at Port</t>
  </si>
  <si>
    <t>CF at Port</t>
  </si>
  <si>
    <t>Handling/Transportation to the Market</t>
  </si>
  <si>
    <t xml:space="preserve">   Handling</t>
  </si>
  <si>
    <t xml:space="preserve">   Transportation</t>
  </si>
  <si>
    <t>LESS</t>
  </si>
  <si>
    <t>Conversion Factor for Maize</t>
  </si>
  <si>
    <t>IMPORTABLE PROJECT OUTPUT, Sorghum</t>
  </si>
  <si>
    <t>Conversion Factor for Sorghum</t>
  </si>
  <si>
    <t>IMPORTABLE PROJECT OUTPUT, Aquaculture</t>
  </si>
  <si>
    <t>Conversion Factor for Aquaculture</t>
  </si>
  <si>
    <t>Lagos, Oyo, Osun, Ondo, Delta</t>
  </si>
  <si>
    <t>Kaduna, Oyo</t>
  </si>
  <si>
    <t>Kaduna, Kano</t>
  </si>
  <si>
    <t>Kaduna, Niger, Benue</t>
  </si>
  <si>
    <t>Rice - Rainfed</t>
  </si>
  <si>
    <t>Rice - Irrigated</t>
  </si>
  <si>
    <t>Soybean</t>
  </si>
  <si>
    <t xml:space="preserve">FY12 Data. </t>
  </si>
  <si>
    <t xml:space="preserve">Assumption that Family Wage is roughly 75% of hired wages. </t>
  </si>
  <si>
    <t>Irrigated rice is more labor intensive than rainfed rice - hence the increased numbers</t>
  </si>
  <si>
    <t>Opportunity cost of trees</t>
  </si>
  <si>
    <t>Salvage value of trees</t>
  </si>
  <si>
    <t>Salvage Value of Cocoa Trees</t>
  </si>
  <si>
    <t>End of Period Salvage Value, per tree</t>
  </si>
  <si>
    <t>trees per ha</t>
  </si>
  <si>
    <t>Source: file:///C:/Users/krschubert/Downloads/424-1706-1-PB.pdf</t>
  </si>
  <si>
    <t>Communal Land - Opportunity cost</t>
  </si>
  <si>
    <t xml:space="preserve">Source: MARKETS II Field Survey. </t>
  </si>
  <si>
    <t>Opportunity cost of land</t>
  </si>
  <si>
    <t>Commodity</t>
  </si>
  <si>
    <t>Dry Rice</t>
  </si>
  <si>
    <t>Wet Rice</t>
  </si>
  <si>
    <t>Drying Platforms</t>
  </si>
  <si>
    <t># of drying platforms per hectare</t>
  </si>
  <si>
    <t>platform per ha</t>
  </si>
  <si>
    <t>NGN per platform</t>
  </si>
  <si>
    <t>Residual value of land</t>
  </si>
  <si>
    <t>Number of years before drying platforms need to be replaced</t>
  </si>
  <si>
    <t>Investment Purchase Dummy</t>
  </si>
  <si>
    <t>Year</t>
  </si>
  <si>
    <t>Depreciation / ha - annual</t>
  </si>
  <si>
    <t>Salvage Value per Drying Platform</t>
  </si>
  <si>
    <t>Investment Purchase - NGN per ha per platform (real)</t>
  </si>
  <si>
    <t>End of Period Salvage Value, per platform</t>
  </si>
  <si>
    <t>Salvage value of drying platforms</t>
  </si>
  <si>
    <t>MARKETS II Field Survey. Assumes 2x as much labor is required to harvest nearly two times as much cassava. However not all years have 2x the harvest, so the estimate has been decreased somewhat to create an average</t>
  </si>
  <si>
    <t>EXPORTABLE PROJECT OUTPUT, Cocoa</t>
  </si>
  <si>
    <t>Source: http://www.fao.org/fileadmin/templates/mafap/documents/technical_notes/NIGERIA/NIGERIA_Technical_Note_COCOA_EN_Feb2013.pdf</t>
  </si>
  <si>
    <t>Handling/Transportation Market to Port</t>
  </si>
  <si>
    <t>n/a</t>
  </si>
  <si>
    <t>Export tax rebate (Export Expansion Grant) @5%</t>
  </si>
  <si>
    <t>Source: http://books.google.com/books?id=qQriakgq-OsC&amp;pg=SA2-PA25&amp;lpg=SA2-PA25&amp;dq=%22export+expansion+grant%22+cocoa+nigeria&amp;source=bl&amp;ots=mTsDIYn0t1&amp;sig=RwVIiYlBNf817OcwOXefj24xZ2M&amp;hl=en&amp;sa=X&amp;ei=TCbuU5_0Le3nsASYjYKgBQ&amp;ved=0CE4Q6AEwBg#v=onepage&amp;q=%22export%20expansion%20grant%22%20cocoa%20nigeria&amp;f=false</t>
  </si>
  <si>
    <t>Ondo and Cross Rivers</t>
  </si>
  <si>
    <t>Cross River</t>
  </si>
  <si>
    <t>Calabar</t>
  </si>
  <si>
    <t>Ondo</t>
  </si>
  <si>
    <t>Assume most cocoa is exported out of Port Lagos instead of Port Calabar based on recent news that farmers seem to prefer Lagos: http://af.reuters.com/article/idAFKBN0FM0J520140717?pageNumber=1&amp;virtualBrandChannel=0</t>
  </si>
  <si>
    <t>Without project farmers use either urea or NKP - not both; assumption made here that they only use urea. With project, farmers are instructed to use 4 50-kg bags</t>
  </si>
  <si>
    <t>Annual irrigated rice production</t>
  </si>
  <si>
    <t>Irrigated Rice Available for Sale</t>
  </si>
  <si>
    <t>Irrigated Rice Production</t>
  </si>
  <si>
    <t>IMPORTABLE PROJECT OUTPUT, Rice</t>
  </si>
  <si>
    <t>Conversion Factor for Rice</t>
  </si>
  <si>
    <t>Anambra</t>
  </si>
  <si>
    <t>Awka</t>
  </si>
  <si>
    <t>Kwara</t>
  </si>
  <si>
    <t>Ebonyi</t>
  </si>
  <si>
    <t>Abakaliki</t>
  </si>
  <si>
    <t>Enugu</t>
  </si>
  <si>
    <t>Ilorin</t>
  </si>
  <si>
    <t>Sokoto</t>
  </si>
  <si>
    <t>Sokoto </t>
  </si>
  <si>
    <t>Kebbi</t>
  </si>
  <si>
    <t>Birnin Kebbi</t>
  </si>
  <si>
    <t>Jigawa</t>
  </si>
  <si>
    <t>Dutse</t>
  </si>
  <si>
    <t>Economic Analysis Parameters and Conversion Factors</t>
  </si>
  <si>
    <t>FOB Nigeria, Source: http://www.fao.org/fileadmin/templates/mafap/documents/technical_notes/NIGERIA/NIGERIA_Technical_Note_COCOA_EN_Feb2013.pdf</t>
  </si>
  <si>
    <t>World Reference Prices</t>
  </si>
  <si>
    <t>Transportation Distances - per value chain</t>
  </si>
  <si>
    <t>Transportation Distances - per state capital</t>
  </si>
  <si>
    <t>Import Tariffs and VAT</t>
  </si>
  <si>
    <t>Export Subsidies / Tax Rebates</t>
  </si>
  <si>
    <t>Eliminates the 5% export tax, Export tax rebate (Export Expansion Grant) - eliminates the export tax</t>
  </si>
  <si>
    <t>CF</t>
  </si>
  <si>
    <t>Without Project Resource Flow Statement, Real 1000 NGN</t>
  </si>
  <si>
    <t>NET RESOURCE FLOW - Improved Stem</t>
  </si>
  <si>
    <t>TOTAL Costs</t>
  </si>
  <si>
    <t>Costs</t>
  </si>
  <si>
    <t>Benefits</t>
  </si>
  <si>
    <t>Incremental Benefits</t>
  </si>
  <si>
    <t>Incremental Costs</t>
  </si>
  <si>
    <t>Incremental Net Resource Flow</t>
  </si>
  <si>
    <t>TOTAL Benefits</t>
  </si>
  <si>
    <t>Incremental Economic NPV - 1000 NGN</t>
  </si>
  <si>
    <t>Incremental Economic NPV - USD</t>
  </si>
  <si>
    <t>Without Project Resource Flow Statement, Real 1000 NGN - per farmer</t>
  </si>
  <si>
    <t>With Improved Stem Resource Flow Statement, Real 1000 NGN - per farmer</t>
  </si>
  <si>
    <t>6.Financial Analysis - Incremental Cash Flow</t>
  </si>
  <si>
    <t>Incremental Net Resource Flow - Total Beneficiaries, Real 1000 NGN</t>
  </si>
  <si>
    <t>Total Project Economic Return - Improved Stem</t>
  </si>
  <si>
    <t>Economic IRR</t>
  </si>
  <si>
    <t>Economic MIRR</t>
  </si>
  <si>
    <t>Net Project Resource Flow</t>
  </si>
  <si>
    <t>TOTAL Incremental Resource Flow</t>
  </si>
  <si>
    <t>NET RESOURCE FLOW - Without Project</t>
  </si>
  <si>
    <t>With Improved Seed Resource Flow Statement, Real 1000 NGN</t>
  </si>
  <si>
    <t>NET RESOURCE FLOW - Improved Seed</t>
  </si>
  <si>
    <t>FOB Tunis</t>
  </si>
  <si>
    <t>FOB Arabian Gulf</t>
  </si>
  <si>
    <t>Average National Prices</t>
  </si>
  <si>
    <t>4 yr. average national price, Africafertilizer.org</t>
  </si>
  <si>
    <t>Shipping costs, Tunis to Lagos</t>
  </si>
  <si>
    <t>Shipping costs, Arabian Gulf to Lagos</t>
  </si>
  <si>
    <t>Marketer's margin, fertilizer</t>
  </si>
  <si>
    <t>IFDC Fertilizer Supply Chain Report</t>
  </si>
  <si>
    <t>IMPORTABLE PROJECT OUTPUT, Soy</t>
  </si>
  <si>
    <t>Conversion Factor for Soy</t>
  </si>
  <si>
    <t>Price at the Market (not incl. subsidy)</t>
  </si>
  <si>
    <t>Observed National Price (including subsidy)</t>
  </si>
  <si>
    <t>Conversion Factor for NPK</t>
  </si>
  <si>
    <t>Conversion Factor for SSP</t>
  </si>
  <si>
    <t>Conversion Factor for Urea</t>
  </si>
  <si>
    <t>7. Economic Analysis</t>
  </si>
  <si>
    <t>With project source: Farm Budget Data in Ebonyi, May 2014</t>
  </si>
  <si>
    <t xml:space="preserve">NET CASH FLOW </t>
  </si>
  <si>
    <t>Without Project RESOURCE Flow Statement, Real 1000 NGN</t>
  </si>
  <si>
    <t>With Improved Seed RESOURCE Flow Statement, Real 1000 NGN</t>
  </si>
  <si>
    <t>USAID Total Cost for this Value Chain</t>
  </si>
  <si>
    <t>Based on an assumption that the cost per beneficiary for all value chains is the same, the number was calculated as a weighted average cost given the total target beneficiaries</t>
  </si>
  <si>
    <t>Cost-Benefit Analysis of the MARKETS II Program</t>
  </si>
  <si>
    <t>Headline Figure Details</t>
  </si>
  <si>
    <t>NPV (1000 NGN) - per farm</t>
  </si>
  <si>
    <t>NPV (USD) - per farm</t>
  </si>
  <si>
    <t>Last Updated:</t>
  </si>
  <si>
    <t>Incremental, economic, 12% discount rate, 2012 USD</t>
  </si>
  <si>
    <t>Incremental, economic, real, 10-year horizon for all stakeholders</t>
  </si>
  <si>
    <t>Economic NPV</t>
  </si>
  <si>
    <t>Incremental, financial, 16.8% discount rate, 2012 USD</t>
  </si>
  <si>
    <t>Total # of Beneficiaries*</t>
  </si>
  <si>
    <t># of Beneficiaries*</t>
  </si>
  <si>
    <t xml:space="preserve">Project Description: </t>
  </si>
  <si>
    <t>Conclusions and Recommendations:</t>
  </si>
  <si>
    <t>Conversion Factor for Cocoa</t>
  </si>
  <si>
    <t>Financial NPV</t>
  </si>
  <si>
    <t>Economic NPV (1000 NGN)</t>
  </si>
  <si>
    <t>Economic NPV (USD)</t>
  </si>
  <si>
    <t>Aquaculture transportation costs, in Nigeria</t>
  </si>
  <si>
    <t>Used a multiple of the estimated cost per MT-km for grain, based on a report on S African transport costs.  "The Role of Transport in Logistics of Agriculture," NAMC. http://www.namc.co.za/upload/input_cost_monitoring/The%20Role%20of%20Transport%20in%20Logistics%20of%20Agriculture.pdf</t>
  </si>
  <si>
    <t>Incremental, economic, real, 10-year horizon for all stakeholders, reinvest rate at 12%</t>
  </si>
  <si>
    <t>Overall MARKETS II Economic NPV (1000 NGN)</t>
  </si>
  <si>
    <t>Overall MARKETS II Economic NPV (USD)</t>
  </si>
  <si>
    <t>Shipping costs, Bangkok to Lagos</t>
  </si>
  <si>
    <t>CIF Price per MT of rice</t>
  </si>
  <si>
    <t>CF for transportation</t>
  </si>
  <si>
    <t>Total USAID Resource Outflow</t>
  </si>
  <si>
    <t>Assumption - estimated yield in MARKETS II Baseline Survey was about 3.6, but there were few observations.  This may be somewhat conservative, but roughly correlates to 70% survival rate of fingerlings to harvest at about 800g per fish.</t>
  </si>
  <si>
    <t>"Aquaculture Value Chain Analysis in the Niger Delta," PIND, 2011.</t>
  </si>
  <si>
    <t>Based on an assumption that the cost per beneficiary for all value chains is the same, the number was calculated as a weighted average cost given the total target beneficiaries.</t>
  </si>
  <si>
    <t>Counterfactual and With Project Data from Consolidated Data from MARKETS II Surveys. IITA has recorded yields as high 27-33 MT/ha. However, using old stems decreases productivity, assuming it will not go below the counterfactual yields</t>
  </si>
  <si>
    <t>Assumption that slowly average cassava yields will go up with traditional stems as farmers gain more access to vouchers, information over time. Conservative Assumption.</t>
  </si>
  <si>
    <t>Financial Analysis Results - per farmer</t>
  </si>
  <si>
    <t>Economic Analysis Results - per project</t>
  </si>
  <si>
    <t>Incremental Returns to Farmers who adopt MARKETS II practices (compared to Without Project scenario)</t>
  </si>
  <si>
    <t>Incremental economic returns to all farmers who adopt MARKETS II practices (compared to Without Project scenario)</t>
  </si>
  <si>
    <t>Farm Gate Prices of Agricultural Prices, 2009-2010, NBS.  Inflation-adjusted.</t>
  </si>
  <si>
    <t>Farmer interviews.  This also assumes higher transport costs for the "with project farmers" who tend to travel further to bring their produce to the processors.</t>
  </si>
  <si>
    <t>Without project farmers use either urea or NPK - not both; assumption made here that they only use urea. With project, farmers are instructed to use 4 50-kg bags</t>
  </si>
  <si>
    <t>Source: "Transforming Nigerian Rice Economy" IFPRI. Data from Living Standard Management Survey and Author's own work. Averaged from 4 regions</t>
  </si>
  <si>
    <t>Source:" Transforming Nigerian Rice Economy" IFPRI. Data from Living Standard Management Survey and Author's own work. Averaged from 4 regions</t>
  </si>
  <si>
    <t>One-Way Tables</t>
  </si>
  <si>
    <t>Domestic Inflation</t>
  </si>
  <si>
    <t>US Inflation</t>
  </si>
  <si>
    <t>Exchange Rate Movement</t>
  </si>
  <si>
    <t>Total years of training</t>
  </si>
  <si>
    <t>Total years of MARKETS II training</t>
  </si>
  <si>
    <t>Total costs per hectare</t>
  </si>
  <si>
    <t>Equipment cost increase per additional hectare of land</t>
  </si>
  <si>
    <t>Assumption because economies of scale from the tools can be captured on the same farm when hectares under cultivation increase</t>
  </si>
  <si>
    <t>Base Case, Real 1000 NGN</t>
  </si>
  <si>
    <t>NET BENEFIT FLOW - Base Case</t>
  </si>
  <si>
    <t>Number of Beneficiaries - Base Case</t>
  </si>
  <si>
    <t>Total Project Economic Return - Base Case</t>
  </si>
  <si>
    <t>Annual change in Cassava Yield when stem is recycled</t>
  </si>
  <si>
    <t>Annual change in Cassava Yield - With traditional stem</t>
  </si>
  <si>
    <t xml:space="preserve">Increase until it yields max at as defined in cell I31.  Assume that farmers achieve maximum rice yield after the MARKETS II Program intervention.  </t>
  </si>
  <si>
    <t>For sensitivity analysis</t>
  </si>
  <si>
    <t>8. Economic Analysis - Incremental Resource Flow per farm</t>
  </si>
  <si>
    <t>9. Economic Analysis - Overall Project Returns</t>
  </si>
  <si>
    <t>Annual interest rate, nominal</t>
  </si>
  <si>
    <t>For the year</t>
  </si>
  <si>
    <t>for the year</t>
  </si>
  <si>
    <t>Beneficiaries</t>
  </si>
  <si>
    <t>Cost Breakout by Value Chain</t>
  </si>
  <si>
    <t>FOB Price per MT of cocoa</t>
  </si>
  <si>
    <t>FOB Bangkok, weighted average of milled rice varieties (see rice tab)</t>
  </si>
  <si>
    <t>Foreign Exchange Premium (FEP)</t>
  </si>
  <si>
    <t>Rice Levy</t>
  </si>
  <si>
    <t>Levy</t>
  </si>
  <si>
    <t>on port price, for mill owners, this levy is as Jan 2013 after a much higher levy</t>
  </si>
  <si>
    <t>Unadj. CF</t>
  </si>
  <si>
    <t>Local Area Agents margin</t>
  </si>
  <si>
    <t>% of farm gate</t>
  </si>
  <si>
    <t>http://www.fao.org/fileadmin/templates/mafap/documents/technical_notes/NIGERIA/NIGERIA_Technical_Note_COCOA_EN_Feb2013.pdf</t>
  </si>
  <si>
    <t>Local Area Agents/Local Buying Agent's margin, cocoa</t>
  </si>
  <si>
    <t>Exporter's margin</t>
  </si>
  <si>
    <t>Exporter's profit, cocoa</t>
  </si>
  <si>
    <t>Cocoa merchant's margin</t>
  </si>
  <si>
    <t>Merchant's margin &amp; grading, cocoa</t>
  </si>
  <si>
    <t>Wholesale price of imported rice</t>
  </si>
  <si>
    <t>Wholesale equivalent of local rice</t>
  </si>
  <si>
    <t>Rice Assumptions</t>
  </si>
  <si>
    <t>Premium for imported rice over domestic rice</t>
  </si>
  <si>
    <t>Handling/Transportation Miller to Market</t>
  </si>
  <si>
    <t>Rice Miller</t>
  </si>
  <si>
    <t>Rice Market</t>
  </si>
  <si>
    <t>Distance from Miller to Market</t>
  </si>
  <si>
    <t>Paddy to rice ratio</t>
  </si>
  <si>
    <t>Industry standard</t>
  </si>
  <si>
    <t>N per MT</t>
  </si>
  <si>
    <t>Total - price at mill</t>
  </si>
  <si>
    <t>Marketer's margin</t>
  </si>
  <si>
    <t>Source: http://www.fao.org/fileadmin/templates/mafap/documents/technical_notes/NIGERIA/NIGERIA_Technical_Note_RICE_EN_Jul2013.pdf</t>
  </si>
  <si>
    <t>Processing cost &amp; Local Market Fees</t>
  </si>
  <si>
    <t>Source:http://www.fao.org/fileadmin/templates/mafap/documents/technical_notes/NIGERIA/NIGERIA_Technical_Note_RICE_EN_Jul2013.pdf, http://www.warda.cgiar.org/workshop/ricepolicy/chuma.e/chuma.e.nigeria.paper.pdf, and USAID MARKETS</t>
  </si>
  <si>
    <t>Rural Market Trader Margins</t>
  </si>
  <si>
    <t>Processing charge &amp; Local Market Fees</t>
  </si>
  <si>
    <t>Warehousing Costs</t>
  </si>
  <si>
    <t>Premium of imported rice (clean) over domestic rice</t>
  </si>
  <si>
    <t>Willingness to pay estimate based on Source: https://www.microlinks.org/sites/microlinks/files/resource/files/GFSR_WA_Rice_VC_Analysis.pdf. Other estimates in this region for WTP are 18% in Senegal</t>
  </si>
  <si>
    <t>Incremental FNPV ($)</t>
  </si>
  <si>
    <t>Project ENPV ($)</t>
  </si>
  <si>
    <t>Incremental NCF, Y2 ($)</t>
  </si>
  <si>
    <t>MT/pond</t>
  </si>
  <si>
    <t>Increase in ponds</t>
  </si>
  <si>
    <t>Ponds</t>
  </si>
  <si>
    <t>This is left in so that increases in number of ponds farmed can be modeled later.</t>
  </si>
  <si>
    <t>Person-days per pond</t>
  </si>
  <si>
    <t>NGN per pond</t>
  </si>
  <si>
    <t>Equipment cost increase per additional pond</t>
  </si>
  <si>
    <t>Total costs per pond</t>
  </si>
  <si>
    <t>kg per pond</t>
  </si>
  <si>
    <t>CIF Price per MT of maize</t>
  </si>
  <si>
    <t>CIF Price per MT of Sorghum</t>
  </si>
  <si>
    <t>CIF Price per MT of Soy</t>
  </si>
  <si>
    <t>CIF Price per MT of Aquaculture</t>
  </si>
  <si>
    <t>CIF Price per MT of NPK</t>
  </si>
  <si>
    <t>CIF Price per MT of SSP</t>
  </si>
  <si>
    <t>CIF Price per MT of Urea</t>
  </si>
  <si>
    <t>Feed, domestic</t>
  </si>
  <si>
    <t>Targeted Beneficiaries (farms)</t>
  </si>
  <si>
    <t>Pump</t>
  </si>
  <si>
    <t>Irrigation Pump</t>
  </si>
  <si>
    <t>NGN per investment</t>
  </si>
  <si>
    <t>Frequency of purchase</t>
  </si>
  <si>
    <t>Irrigation - cost of fuel</t>
  </si>
  <si>
    <t>Years when investment occurs</t>
  </si>
  <si>
    <t>Initial value of pump, real, per hectare</t>
  </si>
  <si>
    <t>End of Period Salvage Value, per pump, per hectare</t>
  </si>
  <si>
    <t xml:space="preserve">Irrigation Fuel </t>
  </si>
  <si>
    <t>Irrigation Investment Index - Without Project</t>
  </si>
  <si>
    <t>Salvage Value of Irrigation Investment</t>
  </si>
  <si>
    <t>Wet season and dry season rice production</t>
  </si>
  <si>
    <t>Assumption that irrigated farmers receive extra training due to two seasons (rainfed producers assumed to receive 20 days)</t>
  </si>
  <si>
    <t>Without project source: IFPRI "Transforming Nigerian Rice Economy." With project source: Improved Practices for Rice Production, MARKETS Material</t>
  </si>
  <si>
    <t>IMPORTABLE PROJECT INPUT, NPK</t>
  </si>
  <si>
    <t>IMPORTABLE PROJECT INPUT, SSP</t>
  </si>
  <si>
    <t>IMPORTABLE PROJECT INPUT, Urea</t>
  </si>
  <si>
    <t>% point decrease in post-harvest losses</t>
  </si>
  <si>
    <t>% points</t>
  </si>
  <si>
    <t>Years until full reduction of post-harvest losses are achieved</t>
  </si>
  <si>
    <t>Assumption that slowly average rice yields will go up with traditional seeds as farmers gain more access government and donor investment, information over time. Conservative Assumption</t>
  </si>
  <si>
    <t>Provided by MARKETS II September 30 Email</t>
  </si>
  <si>
    <t>Hardcoded formula suggests that one pump can be used for up to 1.4 hectares, and then the farmer needs to purchase a second one</t>
  </si>
  <si>
    <t>Source: "Transforming Nigerian Rice Economy" IFPRI. Data from Living Standard Management Survey and Author's own work. Averaged from 4 regions. Assume more labor required when yields increase - this is scaled in the model as yields slowly approach their max potential</t>
  </si>
  <si>
    <t>With Best Practices</t>
  </si>
  <si>
    <t>Production Schedule - With Best Practices, MT</t>
  </si>
  <si>
    <t xml:space="preserve">Value Production - With Best Practices, Nominal 1000 NGN </t>
  </si>
  <si>
    <t xml:space="preserve">Operating Costs - With Best Practices, Nominal 1000 NGN </t>
  </si>
  <si>
    <t>NET CASH FLOW - Best Practices</t>
  </si>
  <si>
    <t>With Best Practices Resource Flow Statement, Real 1000 NGN</t>
  </si>
  <si>
    <t>NET RESOURCE FLOW - Best Practices</t>
  </si>
  <si>
    <t>Total Project Economic Return - Best Practices</t>
  </si>
  <si>
    <t>Number of Beneficiaries - Improved Seed</t>
  </si>
  <si>
    <t>Improved Seed (compared to "without project" farm), Real 1000 NGN</t>
  </si>
  <si>
    <t>Total Project Economic Return - Improved Seed</t>
  </si>
  <si>
    <t>Counterfactual is MARKETS II Baseline and With Project Data from Consolidated Data from MARKETS II Surveys. Estimate that only 80% of maximum yield increase is achieved in year 1.</t>
  </si>
  <si>
    <t xml:space="preserve">Increase until it yields max at as defined in cell I30.  Assume that farmers achieve maximum rice yield after the MARKETS II Program intervention.  </t>
  </si>
  <si>
    <t>Source: MARKETS II Field Survey. Assume an increase due to increased harvest</t>
  </si>
  <si>
    <t>Trees density on farm</t>
  </si>
  <si>
    <t>Trees - investment costs</t>
  </si>
  <si>
    <t>years, per tree</t>
  </si>
  <si>
    <t xml:space="preserve"> - Value of family consumption of cocoa</t>
  </si>
  <si>
    <t xml:space="preserve"> - Value of family consumption of Cassava</t>
  </si>
  <si>
    <t xml:space="preserve"> - Value of family consumption of maize</t>
  </si>
  <si>
    <t xml:space="preserve"> - Value of maize seed kept for seedlings</t>
  </si>
  <si>
    <t xml:space="preserve"> - Value of family consumption of rice</t>
  </si>
  <si>
    <t xml:space="preserve"> - Value of rice seed kept for seedlings</t>
  </si>
  <si>
    <t xml:space="preserve"> - Value of Sorghum seed kept for seedlings</t>
  </si>
  <si>
    <t xml:space="preserve"> - Value of family consumption of Sorghum</t>
  </si>
  <si>
    <t xml:space="preserve"> - Value of family consumption of soybean</t>
  </si>
  <si>
    <t xml:space="preserve"> - Value of soybean seed kept for seedlings</t>
  </si>
  <si>
    <t>Soybean Available for Sale</t>
  </si>
  <si>
    <t>Initial Value of tree investments already on farm</t>
  </si>
  <si>
    <t>Irrigation Investment Index - With Improved Seed</t>
  </si>
  <si>
    <t>With Improved Seed (compared to "without project" farm), Real 1000 NGN</t>
  </si>
  <si>
    <t>Number of Beneficiaries - With Improved Seed</t>
  </si>
  <si>
    <t>Total Project Economic Return - With Improved Seed</t>
  </si>
  <si>
    <r>
      <t xml:space="preserve">With </t>
    </r>
    <r>
      <rPr>
        <sz val="10"/>
        <rFont val="Arial"/>
        <family val="2"/>
      </rPr>
      <t>Best Practices</t>
    </r>
    <r>
      <rPr>
        <b/>
        <sz val="10"/>
        <rFont val="Arial"/>
        <family val="2"/>
      </rPr>
      <t xml:space="preserve"> Cash Flow Statement, Real 1000 NGN</t>
    </r>
  </si>
  <si>
    <t>Best Practices (compared to "without project" farm), Real 1000 NGN</t>
  </si>
  <si>
    <t>Number of Beneficiaries - Best Practices</t>
  </si>
  <si>
    <t>Opportunity Cost of Land</t>
  </si>
  <si>
    <t>Without Project Source: http://www.ifpri.org/sites/default/files/publications/nsspbp13.pdf</t>
  </si>
  <si>
    <t>Annual change in Cassava yield with improved stem after re-use of stem (%)</t>
  </si>
  <si>
    <t>Improved Stem Yield after Re-use Growth Index</t>
  </si>
  <si>
    <t>Table of Contents</t>
  </si>
  <si>
    <t>Aquaculture Financial and Economic Analysis</t>
  </si>
  <si>
    <t>Cassava Financial and Economic Analysis</t>
  </si>
  <si>
    <t>Cocoa Financial and Economic Analysis</t>
  </si>
  <si>
    <t>Maize Financial and Economic Analysis</t>
  </si>
  <si>
    <t>Rice - Rainfed Financial and Economic Analysis</t>
  </si>
  <si>
    <t>Rice - Irrigated Financial and Economic Analysis</t>
  </si>
  <si>
    <t>Sorghum Financial and Economic Analysis</t>
  </si>
  <si>
    <t>Soybean Financial and Economic Analysis</t>
  </si>
  <si>
    <t>Summary of Results</t>
  </si>
  <si>
    <t>Conversion Factors - with assumptions of how we convert financial flows to economic flows</t>
  </si>
  <si>
    <t>Total Beneficiaries, by value chain, and assumptions for cost, by value chain</t>
  </si>
  <si>
    <t>Beneficiary Sensitivity Factor</t>
  </si>
  <si>
    <t>% increase or decrease it total beneficiaries - for sensitivity analysis</t>
  </si>
  <si>
    <t>Input Price Sensitivity Factor</t>
  </si>
  <si>
    <t>To test assumptions about change in price - for sensitivity analysis (applied to seeds, fertilizers, fungicide, insecticide, and herbicide)</t>
  </si>
  <si>
    <t>To test assumptions about change in price - for sensitivity analysis (applied to fingerlings, feed, NPK)</t>
  </si>
  <si>
    <t>10. Sensitivity Analysis</t>
  </si>
  <si>
    <t>Herbicide, liters</t>
  </si>
  <si>
    <t>Improved Seeds, MT</t>
  </si>
  <si>
    <t>Urea, MT</t>
  </si>
  <si>
    <t>NPK, MT</t>
  </si>
  <si>
    <t>11. Aggregate Inputs &amp; Outputs</t>
  </si>
  <si>
    <t>Annual input supply required if targets are to be meet</t>
  </si>
  <si>
    <t xml:space="preserve"> </t>
  </si>
  <si>
    <t>Nigeria's rough production 2013/2014, MT:</t>
  </si>
  <si>
    <t>% additional paddy in Nigeria due to MARKETS (based on 2013/2014 production)</t>
  </si>
  <si>
    <t>Annual output of commodity, MT</t>
  </si>
  <si>
    <t>TOTAL MT of Paddy On Market - with project</t>
  </si>
  <si>
    <t>Farmers Year 0, paddy</t>
  </si>
  <si>
    <t>Farmers Year 1, paddy</t>
  </si>
  <si>
    <t>Farmers Year 2, paddy</t>
  </si>
  <si>
    <t>Farmers Year 3, paddy</t>
  </si>
  <si>
    <t>Farmers Year 4, paddy</t>
  </si>
  <si>
    <t>Source: MARKETS II Comparative Analysis of Motorcycle Pumps. MARKETS II April-June 2013 Quarterly Report quotes a higher figure of N35,000 to purchase</t>
  </si>
  <si>
    <t>Farm Price of Cassava, Sensitivity Factor</t>
  </si>
  <si>
    <t>Annual Change in Cassava Yield - traditional stem</t>
  </si>
  <si>
    <t>Annual Change in Cassava Yield - improved stem</t>
  </si>
  <si>
    <t>Max Yield, with Project</t>
  </si>
  <si>
    <t>Real Price Change, Improved Stem</t>
  </si>
  <si>
    <t>Intercropping Income, with project</t>
  </si>
  <si>
    <t>Contract agreement amount</t>
  </si>
  <si>
    <t>USAID Total Cost Sensitivity Factor</t>
  </si>
  <si>
    <t>% increase or decrease it total costs - for sensitivity analysis</t>
  </si>
  <si>
    <t>Counterfactual data from official baseline estimates in PMEP. With Project: 24.10 MT/ha is achieved in the first year of using improved stems, according to FY2011 data for SW Cassava producers</t>
  </si>
  <si>
    <t>Annual net margin for farmers.  Cassava is intercropped with peanuts when they have to replace the cassava root. Source: http://www.foodandagriculturejournal.com/41.pdf and http://www.krepublishers.com/02-Journals/JAS/JAS-01-0-000-10-Web/JAS-01-1-000-10-Abst-PDF/JAS-01-1-025-10-012-Taru-V-B/JAS-01-1-025-10-012-Taru-V-B-Tt.pdf</t>
  </si>
  <si>
    <t>Two-Way Tables</t>
  </si>
  <si>
    <t>real, annual</t>
  </si>
  <si>
    <t>Change in Labor Wages</t>
  </si>
  <si>
    <t>Price of Cassava</t>
  </si>
  <si>
    <r>
      <t>Change in Input Prices,</t>
    </r>
    <r>
      <rPr>
        <b/>
        <i/>
        <sz val="10"/>
        <rFont val="Arial"/>
        <family val="2"/>
      </rPr>
      <t xml:space="preserve"> real, annual</t>
    </r>
  </si>
  <si>
    <t>Total Beneficiaries Sensitivity Factor</t>
  </si>
  <si>
    <r>
      <t xml:space="preserve">Change in Max Yield, first harvest after stem maturity, </t>
    </r>
    <r>
      <rPr>
        <b/>
        <i/>
        <sz val="10"/>
        <rFont val="Arial"/>
        <family val="2"/>
      </rPr>
      <t>with project</t>
    </r>
  </si>
  <si>
    <r>
      <t xml:space="preserve">Changes in Labor Wages, </t>
    </r>
    <r>
      <rPr>
        <b/>
        <i/>
        <sz val="10"/>
        <rFont val="Arial"/>
        <family val="2"/>
      </rPr>
      <t>real, annual</t>
    </r>
  </si>
  <si>
    <r>
      <t xml:space="preserve">Exchange Rate Movement, </t>
    </r>
    <r>
      <rPr>
        <b/>
        <i/>
        <sz val="10"/>
        <rFont val="Arial"/>
        <family val="2"/>
      </rPr>
      <t>real</t>
    </r>
  </si>
  <si>
    <t>Farm Price of Rice, Sensitivity Factor</t>
  </si>
  <si>
    <t>Real Price Change, Improved Seed</t>
  </si>
  <si>
    <t>Price of Rice</t>
  </si>
  <si>
    <r>
      <t>Post-harvest losses,</t>
    </r>
    <r>
      <rPr>
        <b/>
        <i/>
        <sz val="10"/>
        <rFont val="Arial"/>
        <family val="2"/>
      </rPr>
      <t xml:space="preserve"> with project</t>
    </r>
  </si>
  <si>
    <t>Years until full reduction in post-harvest losses are achieved</t>
  </si>
  <si>
    <r>
      <t>Change in Import Tariff</t>
    </r>
    <r>
      <rPr>
        <b/>
        <i/>
        <sz val="10"/>
        <rFont val="Arial"/>
        <family val="2"/>
      </rPr>
      <t xml:space="preserve"> (not including 20% levy)</t>
    </r>
  </si>
  <si>
    <t>Rainfed Rice</t>
  </si>
  <si>
    <t>Irrigated Rice</t>
  </si>
  <si>
    <r>
      <t xml:space="preserve">Change in Max Yield, </t>
    </r>
    <r>
      <rPr>
        <b/>
        <i/>
        <sz val="10"/>
        <rFont val="Arial"/>
        <family val="2"/>
      </rPr>
      <t>MT/ha, with project</t>
    </r>
  </si>
  <si>
    <r>
      <t xml:space="preserve">Max Yield, with Project, </t>
    </r>
    <r>
      <rPr>
        <b/>
        <i/>
        <sz val="10"/>
        <rFont val="Arial"/>
        <family val="2"/>
      </rPr>
      <t>MT/ha</t>
    </r>
  </si>
  <si>
    <t>Four production cycles. Source: "Transforming Nigerian Rice Economy" IFPRI. Confirmed by MARKETS October 29.</t>
  </si>
  <si>
    <t>Number of irrigation cycles</t>
  </si>
  <si>
    <t>Every 7 days for 11 weeks, usually no irrigation in the last week (12th week) of rice growth</t>
  </si>
  <si>
    <t>Number of times farm is irrigated</t>
  </si>
  <si>
    <t>Liter/ha per planting cycle</t>
  </si>
  <si>
    <t>Hours of irrigation</t>
  </si>
  <si>
    <t>Hours per cycle</t>
  </si>
  <si>
    <t>Fuel efficiency of pump, per hectare</t>
  </si>
  <si>
    <t>Cycles per production cycle, # of times farm is irrigated</t>
  </si>
  <si>
    <t>Confirmed by MARKETS on October 29 (between 6-7 hours per cycle). Varies depending on soil type, water holding capacity of the soil, and evapotransportation</t>
  </si>
  <si>
    <t>Farm Price of Cocoa, Sensitivity Factor</t>
  </si>
  <si>
    <t>Price of Cocoa</t>
  </si>
  <si>
    <t>Post Harvest Losses</t>
  </si>
  <si>
    <t>with project</t>
  </si>
  <si>
    <t xml:space="preserve">   </t>
  </si>
  <si>
    <t>Sensitivity Analysis on Direct Value Chain Costs</t>
  </si>
  <si>
    <t>MARKETS II Program - TOTAL BENEFICIARIES AND FUNDING AMOUNTS</t>
  </si>
  <si>
    <t>Total Beneficiaries and Funding Amounts, per value chain</t>
  </si>
  <si>
    <t>Sensitivity Analysis on Total USAID Costs (and impact on Economic NPVs)</t>
  </si>
  <si>
    <t>Summary Table, Economic NPVs by Value Chain</t>
  </si>
  <si>
    <t>ECONOMIC NPVs (USD)</t>
  </si>
  <si>
    <t>Assumed Effective Tariff for Imported Fish</t>
  </si>
  <si>
    <t>Effective Tariff Rate on Imported Fish</t>
  </si>
  <si>
    <t>See CF tab</t>
  </si>
  <si>
    <t>Proportion of Feed Imported</t>
  </si>
  <si>
    <t>Feed, imported extruded</t>
  </si>
  <si>
    <t>Imported Fish Feed Price</t>
  </si>
  <si>
    <t>Proportion of feed imported</t>
  </si>
  <si>
    <t>Farm Price of Fish, Sensitivity Factor</t>
  </si>
  <si>
    <t>Annual Change in Fish Yield - improved stem</t>
  </si>
  <si>
    <t>Price of Fish</t>
  </si>
  <si>
    <t>With-Project Yield</t>
  </si>
  <si>
    <t>Feed Conversion Ratio</t>
  </si>
  <si>
    <t>Cost of Imported Feed</t>
  </si>
  <si>
    <t>Annual Change in Fish Yield</t>
  </si>
  <si>
    <t>Farm Price of Maize, Sensitivity Factor</t>
  </si>
  <si>
    <t>Annual Change in Maize Yield, traditional seed</t>
  </si>
  <si>
    <t>Annual Change in Fish Yield - improved practices</t>
  </si>
  <si>
    <t>Avg. Incremental NCF, Y2-4 ($)</t>
  </si>
  <si>
    <t>Annual increase in fish yield, with project (%)</t>
  </si>
  <si>
    <t>With-Project Yield Growth Index</t>
  </si>
  <si>
    <t>Annual increase in fish yield, without project (%)</t>
  </si>
  <si>
    <t>Without-Project Yield Growth Index</t>
  </si>
  <si>
    <t>Real price change, improved fingerlings</t>
  </si>
  <si>
    <t>Real price change, imported/extruded fish feed</t>
  </si>
  <si>
    <t>Improved fingerlings price index</t>
  </si>
  <si>
    <t>Real price growth - improved fingerlings</t>
  </si>
  <si>
    <t>Real price growth - imported extruded feed</t>
  </si>
  <si>
    <t>Imported/extruded fish feed price index</t>
  </si>
  <si>
    <t>Production Schedule - Without-Project, MT</t>
  </si>
  <si>
    <t>Production Schedule - With Project, MT</t>
  </si>
  <si>
    <t xml:space="preserve">Value Production - With Project, Nominal 1000 NGN </t>
  </si>
  <si>
    <t xml:space="preserve">Operating Costs - With Project, Nominal 1000 NGN </t>
  </si>
  <si>
    <t>With Project Cash Flow Statement, Real 1000 NGN</t>
  </si>
  <si>
    <t>With Project - Without Project, Real 1000 NGN</t>
  </si>
  <si>
    <t>Edo, Ondo, Ogun</t>
  </si>
  <si>
    <t>Abuja, Anambra, Kwara, Ebonyi, Enugu, Benue, Kano, Jigawa, Sokoto, Kebbi, Taraba, Nassarawa, Cross River</t>
  </si>
  <si>
    <t>Jigawa, Sokoto, Kebbi, Kano, Niger</t>
  </si>
  <si>
    <t>How often rotating in soybean</t>
  </si>
  <si>
    <t>MARKETS II Field Survey. Assumes increase in labor to plant more bundles and apply fertilizer</t>
  </si>
  <si>
    <t>Source: Weighted average of data for rainfed rice, survey MARKETS II</t>
  </si>
  <si>
    <t>Sauce: Weighted average of data for rainfed rice, survey MARKETS II</t>
  </si>
  <si>
    <t>Liters of fuel, per hour</t>
  </si>
  <si>
    <t xml:space="preserve">Source: MARKETS II Comparative Analysis of Motorcycle Pumps for 1.1 liters/hour efficiency.  MARKETS II April-June 2013 Quarterly Report quoted 0.8 liters per hour rate. </t>
  </si>
  <si>
    <t>Petrol price, government controlled. Evidence that the price is sold on the black market as high as 150 N per liter. Source: https://www.premiumtimesng.com/news/156998-fuel-subsidy-must-go-alison-madueke-says.html</t>
  </si>
  <si>
    <t>Average rainfed yields per hectare, year 1</t>
  </si>
  <si>
    <t>Average irrigated yields per hectare, year 1</t>
  </si>
  <si>
    <t>Maximum average rainfed yields per hectare over time</t>
  </si>
  <si>
    <t>Maximum average irrigated yield per hectare over time</t>
  </si>
  <si>
    <t>Annual rainfed rice production</t>
  </si>
  <si>
    <t>Rainfed Rice Available for Sale</t>
  </si>
  <si>
    <t>Annual output of commodity, MT, with project</t>
  </si>
  <si>
    <t>Annual Rice Available for Sale</t>
  </si>
  <si>
    <t>TOTAL Value of Annual Rice Income</t>
  </si>
  <si>
    <t>Annual Rice Income</t>
  </si>
  <si>
    <t>Annual rice production (rainfed + irrigated)</t>
  </si>
  <si>
    <t>USD per kg</t>
  </si>
  <si>
    <t>USD per liter</t>
  </si>
  <si>
    <t>Change In WTP for Premium Rice</t>
  </si>
  <si>
    <t>Rainfed Rice ENPV ($)</t>
  </si>
  <si>
    <t>Irrigated Rice ENPV ($)</t>
  </si>
  <si>
    <r>
      <t xml:space="preserve">Assume that farmers achieve productivity increases in line with national trend after switching to improved methods  </t>
    </r>
    <r>
      <rPr>
        <b/>
        <sz val="10"/>
        <rFont val="Arial"/>
        <family val="2"/>
      </rPr>
      <t>Note--altered to reflect observed productivity increases among project farmers, and targets reported by MARKETS for future yields.</t>
    </r>
  </si>
  <si>
    <t>Price of Soy</t>
  </si>
  <si>
    <t>The Maximizing Agricultural Revenue and Key Enterprise in Targeted Sites (MARKETS II)  is USAID/Nigeria’s flagship project under their Feed the Future (FTF) Agricultural Transformation Program (ATP) and is a successor to the previous seven years of the MARKETS and the Bridge to MARKETS 2 (BtM2) projects. For the five years following its creation in April 2012, MARKETS II aims to sustainably improve the performance, incomes, nutrition, and food security of Nigerian poor rural farmers or smallholders in an environmentally appropriate manner through proven private sector demand-driven market interventions, focusing specifically on constraints in the agricultural value chain. Key objectives aim to help smallholder farmers access better inputs (such as improved seeds and optimal use of fertilizer), adequate finance, better water management, appropriate technology, extension services, and  improved nutritional uses of grown or purchased basic foods. 
MARKETS II plans to invest $60.5 million in activities focused primarily on the large population of smallholder farmers with between 1 to 5 hectares of land under cultivation.  MARKETS II also works along the value chain through producer and processing associations, credit organizations, agribusinesses (suppliers, contractors, transporters and especially agro-processors) and state and federal public institutions to identify and alleviate constraints to well-functioning markets. Given the importance of including women and youth in the rural economy, MARKETS II identifies and supports agricultural opportunities along the value chain and incorporates farming services and micro- and small scale processing activities in its assistance approach. The MARKETS II team aims to work with 696,855 smallholder farms engaging in aquaculture, cassava, cocoa, maize, rice, sorghum, and soybean production. MARKETS II discontinued work with sesame farmers after the first year, so this commodity was not included in this cost-benefit analysis (CBA). MARKETS II activities are currently in 15 states and the Federal Capital Territory (FCT) in Nigeria; the CBA was done at a national level, but could be broken into a regional analysis if regional data are available. 
In the Financial Analysis, the CBA focused on the impact on smallholder farmers as the primary beneficiaries of the program, although the analyst team recognizes that MARKETS II activities have broader impacts for agricultural business services and other actors involved in the value chain, and for specific populations (e.g., women and youth) for many of their commodities. Starting from the farmer perspective, the Economic Analysis determines the overall impact of the project on Nigeria’s economy, after accounting for all social costs and benefits. All relevant assumptions were then tested using a Sensitivity Analysis.</t>
  </si>
  <si>
    <t xml:space="preserve">All value chains have positive financial NPVs at the farm level (see table below) for each cohort of farmers during each year of project implementation, each evaluated over a 10-year period of time.  This means all farmers are evaluated on a 10-year time span but each cohort of farmer starts in different years; this annual difference is modelled into each value chain. This implies that farm households in each value chain are experiencing increased incomes as a result of the project. Aquaculture farmers appear to benefit the most, and quite significantly, from the MARKETS II intervention. Irrigated rice farmers and cocoa farmers also benefit quite significantly from the improved techniques and inputs introduced to them by the MARKETS II team.
Aquaculture, cocoa, maize, rice, and sorghum farmers will have steadily increasing cash flows over time in the absence of pest, climatic events, or other shocks. This strongly suggests that once farmers adopt, their new cultivation practices should be sustainable over time. Soy farmers may have years with low cash flows initially, but farmers should still have higher cash flows than they would in the absence of the project. Cassava farmers adopting MARKETS II practices will experience a 677% increase in their costs for physical inputs; these large start-up costs may negatively impact adoption of these cultivation techniques and improved varieties and this could be an issue for sustainability in the long-term.
In terms of the economic impact of the project, the results suggest that USAID’s investment in the Nigerian agricultural sector is adding over $613 million in present value to the economy over 10 years (see table below) from surplus at the farm level. The vast majority of this value is added from the aquaculture, cocoa, and rainfed rice value chains. Finally, cassava and sorghum production add value to the economy, but these results are sensitive to a number of variables such as yields and the market price for outputs; these interventions should be monitored carefully. 
</t>
  </si>
  <si>
    <t xml:space="preserve">
This one is a derived price--it's equal to the market value of the seed saved for reuse, if it had been sold in the market instead</t>
  </si>
  <si>
    <t>MARKETS II Program - RAINFED RICE (Lowland farmers)</t>
  </si>
  <si>
    <t>MARKETS II Program - IRRIGATED RICE (rainfed rice production in the wet season + irrigated rice production in the dry season)</t>
  </si>
  <si>
    <t>Economic Internal Rate of Return (IRR)</t>
  </si>
  <si>
    <t>Economic Modified IRR</t>
  </si>
  <si>
    <t>Email from USAID/Nigeria says unit input price should be NGN 15,000 per hectare (assuming NGN 250 per bundle), which implies 60 bundles per ha</t>
  </si>
  <si>
    <t>MARKETS II Field Survey. Verified by email from USAID/Nigeria July 18.</t>
  </si>
  <si>
    <t>Email July 18 from USAID/Nigeria</t>
  </si>
  <si>
    <t>Email from USAID/Nigeria on July 18 suggests that not all projects will achieve an increase yield. Though some will achieve as high as 0.72 MT/ha. However, comments to the draft final report said on average all cocoa farmers will achieve 0.7 MT/HA and we adjusted accordingly.</t>
  </si>
  <si>
    <t>Source: http://siteresources.worldbank.org/INTARD/Resources/335807-1236361651968/World_Bank_selected_(NXPowerLite).pdf. With project number comes from email from USAID/Nigeria on July 18</t>
  </si>
  <si>
    <t>Email from USAID/Nigeria July 18</t>
  </si>
  <si>
    <t>Email from USAID/Nigeria, July 18</t>
  </si>
  <si>
    <t>Data from USAID/Nigeria Aug 19 email, downward adjusted to match irrigated rice hectares</t>
  </si>
  <si>
    <t>Email via USAID/Nigeria Aug 19</t>
  </si>
  <si>
    <t>Email from USAID/Nigeria August 18. Target for MARKETS II Life of Project is 4.78 but MARKETS specified that they would like to use 5.5 here. Using instead 5.2 for rainfed and 5.5 for irrigated. Increased to 5.6 based on MARKETS II request in draft final report.</t>
  </si>
  <si>
    <t>Planting takes much more time with transplanting - estimate from USAID/Nigeria email August 19</t>
  </si>
  <si>
    <t>Email from USAID/Nigeria August 19</t>
  </si>
  <si>
    <t>Without data comes from USAID/Nigeria email August 19. Assume more labor required when yields increase - this is scaled in the model as yields slowly approach their max potential</t>
  </si>
  <si>
    <t>Email from USAID/Nigeria Aug 19</t>
  </si>
  <si>
    <t>With and without project data from USAID/Nigeria email August 19</t>
  </si>
  <si>
    <t>Source: MARKETS II Field Survey. Confirmed by email from USAID/Nigeria August 19</t>
  </si>
  <si>
    <t>Email from USAID/Nigeria August 19 suggests 100% adoption rate, 95% has been assumed to err on the side of being conservative</t>
  </si>
  <si>
    <t xml:space="preserve">Email from USAID/Nigeria August 19 </t>
  </si>
  <si>
    <t>Email from USAID/Nigeria August 19. Increased to from 5.6 to 6.7 MT/ha based on MARKETS II request in draft final report.</t>
  </si>
  <si>
    <t>Email from USAID/Nigeria August 19 - different from rainfed rice</t>
  </si>
  <si>
    <t>Numbers from MARKETS II</t>
  </si>
  <si>
    <t>Own calculations</t>
  </si>
  <si>
    <t xml:space="preserve">Assumption. </t>
  </si>
  <si>
    <t>FY2012 Market Data.  Assume an increase in value for high quality beans - 400 N per kg is from MARKETS (via USAID/Nigeria on July 18).</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</si>
</sst>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6" formatCode="&quot;$&quot;#,##0_);[Red]\(&quot;$&quot;#,##0\)"/>
    <numFmt numFmtId="44" formatCode="_(&quot;$&quot;* #,##0.00_);_(&quot;$&quot;* \(#,##0.00\);_(&quot;$&quot;* &quot;-&quot;??_);_(@_)"/>
    <numFmt numFmtId="43" formatCode="_(* #,##0.00_);_(* \(#,##0.00\);_(* &quot;-&quot;??_);_(@_)"/>
    <numFmt numFmtId="164" formatCode="0.0%"/>
    <numFmt numFmtId="165" formatCode="#,###"/>
    <numFmt numFmtId="166" formatCode="0.0"/>
    <numFmt numFmtId="167" formatCode="_(* #,##0_);_(* \(#,##0\);_(* &quot;-&quot;??_);_(@_)"/>
    <numFmt numFmtId="168" formatCode="#,##0.0%_);\(#,##0.0%\)"/>
    <numFmt numFmtId="169" formatCode="0.000"/>
    <numFmt numFmtId="170" formatCode="0.000%"/>
    <numFmt numFmtId="171" formatCode="_(&quot;$&quot;* #,##0_);_(&quot;$&quot;* \(#,##0\);_(&quot;$&quot;* &quot;-&quot;??_);_(@_)"/>
    <numFmt numFmtId="172" formatCode="&quot;$&quot;#,##0"/>
    <numFmt numFmtId="173" formatCode="#,##0.0"/>
    <numFmt numFmtId="174" formatCode="&quot;$&quot;#,##0;[Red]&quot;$&quot;#,##0"/>
    <numFmt numFmtId="175" formatCode="_(* #,##0.0_);_(* \(#,##0.0\);_(* &quot;-&quot;??_);_(@_)"/>
    <numFmt numFmtId="176" formatCode="_(* #,##0.000000000_);_(* \(#,##0.000000000\);_(* &quot;-&quot;??_);_(@_)"/>
    <numFmt numFmtId="177" formatCode="#,##0.0_);\(#,##0.0\)"/>
  </numFmts>
  <fonts count="7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name val="Verdana"/>
      <family val="2"/>
    </font>
    <font>
      <sz val="10"/>
      <name val="Arial"/>
      <family val="2"/>
    </font>
    <font>
      <sz val="10"/>
      <name val="Arial"/>
      <family val="2"/>
    </font>
    <font>
      <b/>
      <sz val="10"/>
      <name val="Arial"/>
      <family val="2"/>
    </font>
    <font>
      <b/>
      <u/>
      <sz val="10"/>
      <name val="Arial"/>
      <family val="2"/>
    </font>
    <font>
      <b/>
      <sz val="10"/>
      <name val="Arial"/>
      <family val="2"/>
    </font>
    <font>
      <sz val="10"/>
      <name val="Arial"/>
      <family val="2"/>
    </font>
    <font>
      <sz val="10"/>
      <name val="Arial"/>
      <family val="2"/>
    </font>
    <font>
      <sz val="10"/>
      <name val="Arial"/>
      <family val="2"/>
    </font>
    <font>
      <sz val="10"/>
      <name val="Arial"/>
      <family val="2"/>
    </font>
    <font>
      <b/>
      <sz val="10"/>
      <name val="Arial"/>
      <family val="2"/>
    </font>
    <font>
      <sz val="10"/>
      <name val="Arial"/>
      <family val="2"/>
    </font>
    <font>
      <sz val="10"/>
      <name val="Arial"/>
      <family val="2"/>
    </font>
    <font>
      <sz val="10"/>
      <name val="Arial"/>
      <family val="2"/>
    </font>
    <font>
      <b/>
      <u/>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i/>
      <sz val="10"/>
      <name val="Arial"/>
      <family val="2"/>
    </font>
    <font>
      <sz val="10"/>
      <name val="Arial"/>
      <family val="2"/>
    </font>
    <font>
      <sz val="10"/>
      <name val="Arial"/>
      <family val="2"/>
    </font>
    <font>
      <sz val="10"/>
      <name val="Arial"/>
      <family val="2"/>
    </font>
    <font>
      <sz val="10"/>
      <name val="Arial"/>
      <family val="2"/>
    </font>
    <font>
      <b/>
      <sz val="10"/>
      <name val="Arial"/>
      <family val="2"/>
    </font>
    <font>
      <sz val="10"/>
      <name val="Arial"/>
      <family val="2"/>
    </font>
    <font>
      <sz val="10"/>
      <name val="Arial"/>
      <family val="2"/>
    </font>
    <font>
      <b/>
      <sz val="10"/>
      <name val="Arial"/>
      <family val="2"/>
    </font>
    <font>
      <sz val="10"/>
      <name val="Arial"/>
      <family val="2"/>
    </font>
    <font>
      <b/>
      <sz val="10"/>
      <name val="Arial"/>
      <family val="2"/>
    </font>
    <font>
      <b/>
      <sz val="10"/>
      <name val="Arial"/>
      <family val="2"/>
    </font>
    <font>
      <u/>
      <sz val="10"/>
      <name val="Arial"/>
      <family val="2"/>
    </font>
    <font>
      <sz val="10"/>
      <name val="Arial"/>
      <family val="2"/>
    </font>
    <font>
      <b/>
      <i/>
      <sz val="10"/>
      <name val="Arial"/>
      <family val="2"/>
    </font>
    <font>
      <b/>
      <u/>
      <sz val="10"/>
      <name val="Arial"/>
      <family val="2"/>
    </font>
    <font>
      <i/>
      <sz val="10"/>
      <name val="Arial"/>
      <family val="2"/>
    </font>
    <font>
      <b/>
      <sz val="18"/>
      <name val="Verdana"/>
      <family val="2"/>
    </font>
    <font>
      <b/>
      <sz val="12"/>
      <name val="Verdana"/>
      <family val="2"/>
    </font>
    <font>
      <u/>
      <sz val="10"/>
      <color theme="10"/>
      <name val="Arial"/>
      <family val="2"/>
    </font>
    <font>
      <sz val="10"/>
      <color rgb="FFFFFFFF"/>
      <name val="Arial"/>
      <family val="2"/>
    </font>
    <font>
      <sz val="10"/>
      <color theme="0"/>
      <name val="Arial"/>
      <family val="2"/>
    </font>
    <font>
      <sz val="10"/>
      <color theme="0" tint="-4.9989318521683403E-2"/>
      <name val="Arial"/>
      <family val="2"/>
    </font>
    <font>
      <sz val="10"/>
      <color theme="1" tint="0.499984740745262"/>
      <name val="Arial"/>
      <family val="2"/>
    </font>
    <font>
      <sz val="10"/>
      <name val="Arial"/>
      <family val="2"/>
    </font>
    <font>
      <sz val="10"/>
      <color rgb="FF222222"/>
      <name val="Arial"/>
      <family val="2"/>
    </font>
    <font>
      <b/>
      <sz val="11"/>
      <color theme="1"/>
      <name val="Calibri"/>
      <family val="2"/>
      <scheme val="minor"/>
    </font>
    <font>
      <sz val="11"/>
      <color theme="1"/>
      <name val="Calibri"/>
      <family val="2"/>
      <scheme val="minor"/>
    </font>
    <font>
      <sz val="10"/>
      <color theme="0" tint="-0.499984740745262"/>
      <name val="Arial"/>
      <family val="2"/>
    </font>
    <font>
      <b/>
      <sz val="11"/>
      <color theme="1"/>
      <name val="Calibri"/>
      <family val="2"/>
      <charset val="204"/>
      <scheme val="minor"/>
    </font>
    <font>
      <sz val="10"/>
      <color rgb="FFFF0000"/>
      <name val="Arial"/>
      <family val="2"/>
    </font>
    <font>
      <sz val="10"/>
      <color rgb="FF000000"/>
      <name val="Arial"/>
      <family val="2"/>
    </font>
    <font>
      <b/>
      <sz val="10"/>
      <color rgb="FF000000"/>
      <name val="Arial"/>
      <family val="2"/>
    </font>
    <font>
      <b/>
      <sz val="11"/>
      <name val="Calibri"/>
      <family val="2"/>
      <scheme val="minor"/>
    </font>
    <font>
      <sz val="12"/>
      <color theme="1"/>
      <name val="Calibri"/>
      <family val="2"/>
      <scheme val="minor"/>
    </font>
    <font>
      <sz val="10"/>
      <color theme="1"/>
      <name val="Arial"/>
      <family val="2"/>
    </font>
    <font>
      <sz val="10"/>
      <name val="MS Sans Serif"/>
      <family val="2"/>
    </font>
    <font>
      <sz val="10"/>
      <color rgb="FF0000FF"/>
      <name val="Arial"/>
      <family val="2"/>
    </font>
    <font>
      <sz val="10"/>
      <color rgb="FF008000"/>
      <name val="Arial"/>
      <family val="2"/>
    </font>
    <font>
      <u/>
      <sz val="11"/>
      <color theme="10"/>
      <name val="Calibri"/>
      <family val="2"/>
      <scheme val="minor"/>
    </font>
    <font>
      <b/>
      <sz val="10"/>
      <color theme="5" tint="-0.499984740745262"/>
      <name val="Arial"/>
      <family val="2"/>
    </font>
    <font>
      <b/>
      <sz val="10"/>
      <color rgb="FF222222"/>
      <name val="Arial"/>
      <family val="2"/>
    </font>
    <font>
      <b/>
      <i/>
      <sz val="10"/>
      <color rgb="FF222222"/>
      <name val="Arial"/>
      <family val="2"/>
    </font>
  </fonts>
  <fills count="22">
    <fill>
      <patternFill patternType="none"/>
    </fill>
    <fill>
      <patternFill patternType="gray125"/>
    </fill>
    <fill>
      <patternFill patternType="solid">
        <fgColor rgb="FFFFFFFF"/>
        <bgColor rgb="FFFFFFFF"/>
      </patternFill>
    </fill>
    <fill>
      <patternFill patternType="solid">
        <fgColor rgb="FFF3F3F3"/>
        <bgColor rgb="FFF3F3F3"/>
      </patternFill>
    </fill>
    <fill>
      <patternFill patternType="solid">
        <fgColor rgb="FFFFFFFF"/>
        <bgColor rgb="FFF3F3F3"/>
      </patternFill>
    </fill>
    <fill>
      <patternFill patternType="solid">
        <fgColor rgb="FFFFFFFF"/>
        <bgColor rgb="FFFFFF00"/>
      </patternFill>
    </fill>
    <fill>
      <patternFill patternType="solid">
        <fgColor theme="0"/>
        <bgColor rgb="FFFFFFFF"/>
      </patternFill>
    </fill>
    <fill>
      <patternFill patternType="solid">
        <fgColor theme="0"/>
        <bgColor rgb="FFF3F3F3"/>
      </patternFill>
    </fill>
    <fill>
      <patternFill patternType="solid">
        <fgColor theme="0"/>
        <bgColor indexed="64"/>
      </patternFill>
    </fill>
    <fill>
      <patternFill patternType="solid">
        <fgColor theme="0"/>
        <bgColor rgb="FFEA9999"/>
      </patternFill>
    </fill>
    <fill>
      <patternFill patternType="solid">
        <fgColor theme="0"/>
        <bgColor rgb="FFDD7E6B"/>
      </patternFill>
    </fill>
    <fill>
      <patternFill patternType="solid">
        <fgColor theme="0"/>
        <bgColor rgb="FFFFFF00"/>
      </patternFill>
    </fill>
    <fill>
      <patternFill patternType="solid">
        <fgColor theme="0" tint="-4.9989318521683403E-2"/>
        <bgColor rgb="FFF3F3F3"/>
      </patternFill>
    </fill>
    <fill>
      <patternFill patternType="solid">
        <fgColor rgb="FFFFFF00"/>
        <bgColor indexed="64"/>
      </patternFill>
    </fill>
    <fill>
      <patternFill patternType="solid">
        <fgColor theme="0" tint="-4.9989318521683403E-2"/>
        <bgColor rgb="FFFFFFFF"/>
      </patternFill>
    </fill>
    <fill>
      <patternFill patternType="solid">
        <fgColor theme="0" tint="-4.9989318521683403E-2"/>
        <bgColor indexed="64"/>
      </patternFill>
    </fill>
    <fill>
      <patternFill patternType="solid">
        <fgColor rgb="FFFFFF00"/>
        <bgColor rgb="FFF3F3F3"/>
      </patternFill>
    </fill>
    <fill>
      <patternFill patternType="solid">
        <fgColor theme="0" tint="-4.9989318521683403E-2"/>
        <bgColor rgb="FFEA9999"/>
      </patternFill>
    </fill>
    <fill>
      <patternFill patternType="solid">
        <fgColor theme="0" tint="-4.9989318521683403E-2"/>
        <bgColor rgb="FFDD7E6B"/>
      </patternFill>
    </fill>
    <fill>
      <patternFill patternType="solid">
        <fgColor theme="4" tint="0.79998168889431442"/>
        <bgColor rgb="FFF3F3F3"/>
      </patternFill>
    </fill>
    <fill>
      <patternFill patternType="solid">
        <fgColor theme="0" tint="-0.14999847407452621"/>
        <bgColor indexed="64"/>
      </patternFill>
    </fill>
    <fill>
      <patternFill patternType="solid">
        <fgColor theme="0" tint="-0.14999847407452621"/>
        <bgColor rgb="FFF3F3F3"/>
      </patternFill>
    </fill>
  </fills>
  <borders count="57">
    <border>
      <left/>
      <right/>
      <top/>
      <bottom/>
      <diagonal/>
    </border>
    <border>
      <left/>
      <right/>
      <top style="thin">
        <color indexed="64"/>
      </top>
      <bottom/>
      <diagonal/>
    </border>
    <border>
      <left/>
      <right/>
      <top style="thin">
        <color indexed="64"/>
      </top>
      <bottom style="thin">
        <color indexed="64"/>
      </bottom>
      <diagonal/>
    </border>
    <border>
      <left/>
      <right/>
      <top style="double">
        <color indexed="64"/>
      </top>
      <bottom/>
      <diagonal/>
    </border>
    <border>
      <left/>
      <right/>
      <top/>
      <bottom style="double">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bottom/>
      <diagonal/>
    </border>
    <border>
      <left style="thin">
        <color indexed="64"/>
      </left>
      <right style="thin">
        <color indexed="64"/>
      </right>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style="medium">
        <color indexed="64"/>
      </bottom>
      <diagonal/>
    </border>
    <border>
      <left/>
      <right style="medium">
        <color indexed="64"/>
      </right>
      <top style="double">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style="thin">
        <color indexed="64"/>
      </top>
      <bottom style="thin">
        <color indexed="64"/>
      </bottom>
      <diagonal/>
    </border>
  </borders>
  <cellStyleXfs count="61">
    <xf numFmtId="0" fontId="0" fillId="0" borderId="0"/>
    <xf numFmtId="43" fontId="11" fillId="0" borderId="0" applyFont="0" applyFill="0" applyBorder="0" applyAlignment="0" applyProtection="0"/>
    <xf numFmtId="43" fontId="46" fillId="0" borderId="0" applyFont="0" applyFill="0" applyBorder="0" applyAlignment="0" applyProtection="0"/>
    <xf numFmtId="0" fontId="52" fillId="0" borderId="0" applyNumberFormat="0" applyFill="0" applyBorder="0" applyAlignment="0" applyProtection="0"/>
    <xf numFmtId="0" fontId="52" fillId="0" borderId="0" applyNumberFormat="0" applyFill="0" applyBorder="0" applyAlignment="0" applyProtection="0"/>
    <xf numFmtId="0" fontId="11" fillId="0" borderId="0"/>
    <xf numFmtId="0" fontId="46" fillId="0" borderId="0"/>
    <xf numFmtId="0" fontId="60" fillId="0" borderId="0"/>
    <xf numFmtId="9" fontId="11" fillId="0" borderId="0" applyFont="0" applyFill="0" applyBorder="0" applyAlignment="0" applyProtection="0"/>
    <xf numFmtId="9" fontId="46" fillId="0" borderId="0" applyFont="0" applyFill="0" applyBorder="0" applyAlignment="0" applyProtection="0"/>
    <xf numFmtId="43" fontId="11" fillId="0" borderId="0" applyFont="0" applyFill="0" applyBorder="0" applyAlignment="0" applyProtection="0"/>
    <xf numFmtId="0" fontId="11" fillId="0" borderId="0"/>
    <xf numFmtId="0" fontId="9" fillId="0" borderId="0"/>
    <xf numFmtId="9" fontId="11"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0" fontId="69" fillId="0" borderId="0"/>
    <xf numFmtId="0" fontId="7" fillId="0" borderId="0"/>
    <xf numFmtId="0" fontId="5" fillId="0" borderId="0"/>
    <xf numFmtId="0" fontId="5"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5"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9" fontId="4" fillId="0" borderId="0" applyFont="0" applyFill="0" applyBorder="0" applyAlignment="0" applyProtection="0"/>
    <xf numFmtId="0" fontId="4"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3" fillId="0" borderId="0"/>
  </cellStyleXfs>
  <cellXfs count="902">
    <xf numFmtId="0" fontId="0" fillId="0" borderId="0" xfId="0"/>
    <xf numFmtId="0" fontId="10" fillId="2" borderId="0" xfId="0" applyFont="1" applyFill="1" applyBorder="1" applyAlignment="1"/>
    <xf numFmtId="0" fontId="11" fillId="2" borderId="0" xfId="0" applyFont="1" applyFill="1" applyBorder="1"/>
    <xf numFmtId="0" fontId="12" fillId="3" borderId="0" xfId="0" applyFont="1" applyFill="1" applyBorder="1"/>
    <xf numFmtId="0" fontId="13" fillId="2" borderId="0" xfId="0" applyFont="1" applyFill="1" applyBorder="1" applyAlignment="1"/>
    <xf numFmtId="0" fontId="14" fillId="2" borderId="0" xfId="0" applyFont="1" applyFill="1" applyBorder="1" applyAlignment="1">
      <alignment horizontal="center"/>
    </xf>
    <xf numFmtId="0" fontId="15" fillId="2" borderId="0" xfId="0" applyFont="1" applyFill="1" applyBorder="1" applyAlignment="1">
      <alignment horizontal="center"/>
    </xf>
    <xf numFmtId="10" fontId="16" fillId="2" borderId="0" xfId="0" applyNumberFormat="1" applyFont="1" applyFill="1" applyBorder="1" applyAlignment="1"/>
    <xf numFmtId="0" fontId="17" fillId="2" borderId="0" xfId="0" applyFont="1" applyFill="1" applyBorder="1" applyAlignment="1"/>
    <xf numFmtId="0" fontId="18" fillId="2" borderId="0" xfId="0" applyFont="1" applyFill="1" applyBorder="1" applyAlignment="1"/>
    <xf numFmtId="2" fontId="19" fillId="2" borderId="0" xfId="0" applyNumberFormat="1" applyFont="1" applyFill="1" applyBorder="1"/>
    <xf numFmtId="0" fontId="20" fillId="3" borderId="0" xfId="0" applyFont="1" applyFill="1" applyBorder="1" applyAlignment="1"/>
    <xf numFmtId="0" fontId="21" fillId="3" borderId="0" xfId="0" applyFont="1" applyFill="1" applyBorder="1" applyAlignment="1"/>
    <xf numFmtId="0" fontId="24" fillId="3" borderId="0" xfId="0" applyFont="1" applyFill="1" applyBorder="1" applyAlignment="1">
      <alignment horizontal="center"/>
    </xf>
    <xf numFmtId="164" fontId="25" fillId="2" borderId="0" xfId="0" applyNumberFormat="1" applyFont="1" applyFill="1" applyBorder="1"/>
    <xf numFmtId="164" fontId="26" fillId="2" borderId="0" xfId="0" applyNumberFormat="1" applyFont="1" applyFill="1" applyBorder="1" applyAlignment="1"/>
    <xf numFmtId="0" fontId="53" fillId="2" borderId="0" xfId="0" applyFont="1" applyFill="1" applyBorder="1" applyAlignment="1"/>
    <xf numFmtId="9" fontId="30" fillId="2" borderId="0" xfId="0" applyNumberFormat="1" applyFont="1" applyFill="1" applyBorder="1" applyAlignment="1"/>
    <xf numFmtId="9" fontId="31" fillId="2" borderId="0" xfId="0" applyNumberFormat="1" applyFont="1" applyFill="1" applyBorder="1"/>
    <xf numFmtId="9" fontId="53" fillId="2" borderId="0" xfId="0" applyNumberFormat="1" applyFont="1" applyFill="1" applyBorder="1" applyAlignment="1"/>
    <xf numFmtId="0" fontId="33" fillId="2" borderId="0" xfId="0" applyFont="1" applyFill="1" applyBorder="1" applyAlignment="1"/>
    <xf numFmtId="0" fontId="38" fillId="2" borderId="0" xfId="0" applyFont="1" applyFill="1" applyBorder="1" applyAlignment="1">
      <alignment horizontal="center"/>
    </xf>
    <xf numFmtId="166" fontId="39" fillId="2" borderId="0" xfId="0" applyNumberFormat="1" applyFont="1" applyFill="1" applyBorder="1" applyAlignment="1"/>
    <xf numFmtId="166" fontId="40" fillId="2" borderId="0" xfId="0" applyNumberFormat="1" applyFont="1" applyFill="1" applyBorder="1"/>
    <xf numFmtId="0" fontId="41" fillId="2" borderId="0" xfId="0" applyFont="1" applyFill="1" applyBorder="1"/>
    <xf numFmtId="2" fontId="42" fillId="2" borderId="0" xfId="0" applyNumberFormat="1" applyFont="1" applyFill="1" applyBorder="1" applyAlignment="1"/>
    <xf numFmtId="0" fontId="43" fillId="3" borderId="0" xfId="0" applyFont="1" applyFill="1" applyBorder="1"/>
    <xf numFmtId="0" fontId="46" fillId="2" borderId="0" xfId="0" applyFont="1" applyFill="1" applyBorder="1" applyAlignment="1"/>
    <xf numFmtId="43" fontId="12" fillId="3" borderId="0" xfId="0" applyNumberFormat="1" applyFont="1" applyFill="1" applyBorder="1"/>
    <xf numFmtId="0" fontId="44" fillId="2" borderId="0" xfId="0" applyFont="1" applyFill="1" applyBorder="1" applyAlignment="1"/>
    <xf numFmtId="0" fontId="49" fillId="2" borderId="0" xfId="0" applyFont="1" applyFill="1" applyBorder="1" applyAlignment="1"/>
    <xf numFmtId="0" fontId="49" fillId="2" borderId="1" xfId="0" applyFont="1" applyFill="1" applyBorder="1" applyAlignment="1"/>
    <xf numFmtId="0" fontId="44" fillId="4" borderId="0" xfId="0" applyFont="1" applyFill="1" applyBorder="1"/>
    <xf numFmtId="0" fontId="12" fillId="4" borderId="0" xfId="0" applyFont="1" applyFill="1" applyBorder="1"/>
    <xf numFmtId="0" fontId="45" fillId="4" borderId="0" xfId="0" applyFont="1" applyFill="1" applyBorder="1"/>
    <xf numFmtId="0" fontId="46" fillId="4" borderId="0" xfId="0" applyFont="1" applyFill="1" applyBorder="1"/>
    <xf numFmtId="0" fontId="49" fillId="4" borderId="1" xfId="0" applyFont="1" applyFill="1" applyBorder="1"/>
    <xf numFmtId="2" fontId="12" fillId="4" borderId="0" xfId="0" applyNumberFormat="1" applyFont="1" applyFill="1" applyBorder="1"/>
    <xf numFmtId="0" fontId="32" fillId="5" borderId="0" xfId="0" applyFont="1" applyFill="1" applyBorder="1"/>
    <xf numFmtId="43" fontId="12" fillId="4" borderId="0" xfId="1" applyNumberFormat="1" applyFont="1" applyFill="1" applyBorder="1"/>
    <xf numFmtId="43" fontId="49" fillId="4" borderId="1" xfId="1" applyNumberFormat="1" applyFont="1" applyFill="1" applyBorder="1"/>
    <xf numFmtId="43" fontId="12" fillId="4" borderId="0" xfId="0" applyNumberFormat="1" applyFont="1" applyFill="1" applyBorder="1"/>
    <xf numFmtId="0" fontId="44" fillId="6" borderId="0" xfId="0" applyFont="1" applyFill="1" applyBorder="1" applyAlignment="1"/>
    <xf numFmtId="0" fontId="12" fillId="7" borderId="0" xfId="0" applyFont="1" applyFill="1" applyBorder="1"/>
    <xf numFmtId="0" fontId="20" fillId="7" borderId="0" xfId="0" applyFont="1" applyFill="1" applyBorder="1" applyAlignment="1"/>
    <xf numFmtId="0" fontId="43" fillId="7" borderId="0" xfId="0" applyFont="1" applyFill="1" applyBorder="1"/>
    <xf numFmtId="0" fontId="46" fillId="7" borderId="0" xfId="0" applyFont="1" applyFill="1" applyBorder="1"/>
    <xf numFmtId="0" fontId="46" fillId="7" borderId="0" xfId="0" applyFont="1" applyFill="1" applyBorder="1" applyAlignment="1"/>
    <xf numFmtId="43" fontId="49" fillId="4" borderId="1" xfId="0" applyNumberFormat="1" applyFont="1" applyFill="1" applyBorder="1"/>
    <xf numFmtId="37" fontId="18" fillId="2" borderId="0" xfId="0" applyNumberFormat="1" applyFont="1" applyFill="1" applyBorder="1" applyAlignment="1"/>
    <xf numFmtId="37" fontId="11" fillId="2" borderId="0" xfId="0" applyNumberFormat="1" applyFont="1" applyFill="1" applyBorder="1"/>
    <xf numFmtId="0" fontId="15" fillId="2" borderId="0" xfId="0" applyFont="1" applyFill="1" applyBorder="1" applyAlignment="1">
      <alignment horizontal="right" indent="1"/>
    </xf>
    <xf numFmtId="0" fontId="13" fillId="6" borderId="0" xfId="0" applyFont="1" applyFill="1" applyBorder="1" applyAlignment="1"/>
    <xf numFmtId="0" fontId="11" fillId="6" borderId="0" xfId="0" applyFont="1" applyFill="1" applyBorder="1"/>
    <xf numFmtId="0" fontId="15" fillId="6" borderId="0" xfId="0" applyFont="1" applyFill="1" applyBorder="1" applyAlignment="1">
      <alignment horizontal="center"/>
    </xf>
    <xf numFmtId="0" fontId="38" fillId="6" borderId="0" xfId="0" applyFont="1" applyFill="1" applyBorder="1" applyAlignment="1">
      <alignment horizontal="center"/>
    </xf>
    <xf numFmtId="0" fontId="15" fillId="6" borderId="0" xfId="0" applyFont="1" applyFill="1" applyBorder="1" applyAlignment="1">
      <alignment horizontal="right" indent="1"/>
    </xf>
    <xf numFmtId="0" fontId="0" fillId="8" borderId="0" xfId="0" applyFill="1"/>
    <xf numFmtId="0" fontId="18" fillId="6" borderId="0" xfId="0" applyFont="1" applyFill="1" applyBorder="1" applyAlignment="1"/>
    <xf numFmtId="2" fontId="49" fillId="4" borderId="1" xfId="0" applyNumberFormat="1" applyFont="1" applyFill="1" applyBorder="1"/>
    <xf numFmtId="0" fontId="49" fillId="2" borderId="1" xfId="0" applyFont="1" applyFill="1" applyBorder="1"/>
    <xf numFmtId="2" fontId="49" fillId="2" borderId="1" xfId="0" applyNumberFormat="1" applyFont="1" applyFill="1" applyBorder="1"/>
    <xf numFmtId="0" fontId="49" fillId="4" borderId="0" xfId="0" applyFont="1" applyFill="1" applyBorder="1"/>
    <xf numFmtId="43" fontId="49" fillId="4" borderId="0" xfId="1" applyNumberFormat="1" applyFont="1" applyFill="1" applyBorder="1"/>
    <xf numFmtId="0" fontId="48" fillId="4" borderId="0" xfId="0" applyFont="1" applyFill="1" applyBorder="1"/>
    <xf numFmtId="0" fontId="44" fillId="7" borderId="0" xfId="0" applyFont="1" applyFill="1" applyBorder="1"/>
    <xf numFmtId="0" fontId="49" fillId="4" borderId="2" xfId="0" applyFont="1" applyFill="1" applyBorder="1"/>
    <xf numFmtId="2" fontId="49" fillId="4" borderId="2" xfId="0" applyNumberFormat="1" applyFont="1" applyFill="1" applyBorder="1"/>
    <xf numFmtId="0" fontId="49" fillId="7" borderId="1" xfId="0" applyFont="1" applyFill="1" applyBorder="1"/>
    <xf numFmtId="43" fontId="49" fillId="7" borderId="1" xfId="0" applyNumberFormat="1" applyFont="1" applyFill="1" applyBorder="1"/>
    <xf numFmtId="0" fontId="49" fillId="7" borderId="2" xfId="0" applyFont="1" applyFill="1" applyBorder="1"/>
    <xf numFmtId="2" fontId="49" fillId="7" borderId="2" xfId="0" applyNumberFormat="1" applyFont="1" applyFill="1" applyBorder="1"/>
    <xf numFmtId="0" fontId="47" fillId="7" borderId="2" xfId="0" applyFont="1" applyFill="1" applyBorder="1"/>
    <xf numFmtId="2" fontId="47" fillId="7" borderId="2" xfId="0" applyNumberFormat="1" applyFont="1" applyFill="1" applyBorder="1"/>
    <xf numFmtId="0" fontId="49" fillId="7" borderId="0" xfId="0" applyFont="1" applyFill="1" applyBorder="1"/>
    <xf numFmtId="43" fontId="49" fillId="7" borderId="0" xfId="0" applyNumberFormat="1" applyFont="1" applyFill="1" applyBorder="1"/>
    <xf numFmtId="43" fontId="49" fillId="4" borderId="1" xfId="1" applyFont="1" applyFill="1" applyBorder="1"/>
    <xf numFmtId="164" fontId="16" fillId="2" borderId="0" xfId="0" applyNumberFormat="1" applyFont="1" applyFill="1" applyBorder="1" applyAlignment="1"/>
    <xf numFmtId="165" fontId="12" fillId="7" borderId="0" xfId="0" applyNumberFormat="1" applyFont="1" applyFill="1" applyBorder="1"/>
    <xf numFmtId="9" fontId="12" fillId="7" borderId="0" xfId="0" applyNumberFormat="1" applyFont="1" applyFill="1" applyBorder="1"/>
    <xf numFmtId="9" fontId="12" fillId="7" borderId="0" xfId="8" applyFont="1" applyFill="1" applyBorder="1"/>
    <xf numFmtId="43" fontId="12" fillId="7" borderId="0" xfId="1" applyNumberFormat="1" applyFont="1" applyFill="1" applyBorder="1"/>
    <xf numFmtId="43" fontId="49" fillId="7" borderId="1" xfId="1" applyFont="1" applyFill="1" applyBorder="1"/>
    <xf numFmtId="167" fontId="35" fillId="10" borderId="0" xfId="1" applyNumberFormat="1" applyFont="1" applyFill="1" applyBorder="1" applyAlignment="1"/>
    <xf numFmtId="0" fontId="46" fillId="6" borderId="0" xfId="0" applyFont="1" applyFill="1" applyBorder="1" applyAlignment="1"/>
    <xf numFmtId="0" fontId="53" fillId="6" borderId="0" xfId="0" applyFont="1" applyFill="1" applyBorder="1" applyAlignment="1"/>
    <xf numFmtId="0" fontId="44" fillId="7" borderId="3" xfId="0" applyFont="1" applyFill="1" applyBorder="1"/>
    <xf numFmtId="0" fontId="44" fillId="7" borderId="4" xfId="0" applyFont="1" applyFill="1" applyBorder="1"/>
    <xf numFmtId="1" fontId="35" fillId="10" borderId="0" xfId="0" applyNumberFormat="1" applyFont="1" applyFill="1" applyBorder="1" applyAlignment="1"/>
    <xf numFmtId="43" fontId="47" fillId="7" borderId="2" xfId="1" applyFont="1" applyFill="1" applyBorder="1"/>
    <xf numFmtId="9" fontId="44" fillId="7" borderId="4" xfId="1" applyNumberFormat="1" applyFont="1" applyFill="1" applyBorder="1"/>
    <xf numFmtId="167" fontId="47" fillId="7" borderId="2" xfId="1" applyNumberFormat="1" applyFont="1" applyFill="1" applyBorder="1"/>
    <xf numFmtId="167" fontId="44" fillId="7" borderId="3" xfId="1" applyNumberFormat="1" applyFont="1" applyFill="1" applyBorder="1"/>
    <xf numFmtId="167" fontId="44" fillId="7" borderId="0" xfId="1" applyNumberFormat="1" applyFont="1" applyFill="1" applyBorder="1"/>
    <xf numFmtId="0" fontId="0" fillId="2" borderId="0" xfId="0" applyFont="1" applyFill="1" applyBorder="1" applyAlignment="1"/>
    <xf numFmtId="9" fontId="44" fillId="7" borderId="0" xfId="8" applyFont="1" applyFill="1" applyBorder="1"/>
    <xf numFmtId="0" fontId="22" fillId="9" borderId="0" xfId="0" applyFont="1" applyFill="1" applyBorder="1" applyAlignment="1"/>
    <xf numFmtId="37" fontId="46" fillId="9" borderId="0" xfId="0" applyNumberFormat="1" applyFont="1" applyFill="1" applyBorder="1" applyAlignment="1"/>
    <xf numFmtId="37" fontId="18" fillId="6" borderId="0" xfId="0" applyNumberFormat="1" applyFont="1" applyFill="1" applyBorder="1" applyAlignment="1"/>
    <xf numFmtId="0" fontId="27" fillId="11" borderId="0" xfId="0" applyFont="1" applyFill="1" applyBorder="1" applyAlignment="1"/>
    <xf numFmtId="1" fontId="23" fillId="9" borderId="0" xfId="0" applyNumberFormat="1" applyFont="1" applyFill="1" applyBorder="1"/>
    <xf numFmtId="43" fontId="12" fillId="7" borderId="0" xfId="0" applyNumberFormat="1" applyFont="1" applyFill="1" applyBorder="1"/>
    <xf numFmtId="0" fontId="46" fillId="3" borderId="0" xfId="0" applyFont="1" applyFill="1" applyBorder="1"/>
    <xf numFmtId="43" fontId="49" fillId="4" borderId="0" xfId="0" applyNumberFormat="1" applyFont="1" applyFill="1" applyBorder="1"/>
    <xf numFmtId="43" fontId="46" fillId="4" borderId="0" xfId="1" applyNumberFormat="1" applyFont="1" applyFill="1" applyBorder="1"/>
    <xf numFmtId="0" fontId="0" fillId="0" borderId="0" xfId="0" applyBorder="1"/>
    <xf numFmtId="43" fontId="46" fillId="7" borderId="0" xfId="0" applyNumberFormat="1" applyFont="1" applyFill="1" applyBorder="1"/>
    <xf numFmtId="43" fontId="46" fillId="7" borderId="5" xfId="0" applyNumberFormat="1" applyFont="1" applyFill="1" applyBorder="1"/>
    <xf numFmtId="164" fontId="28" fillId="11" borderId="0" xfId="0" applyNumberFormat="1" applyFont="1" applyFill="1" applyBorder="1" applyAlignment="1"/>
    <xf numFmtId="3" fontId="46" fillId="6" borderId="0" xfId="0" applyNumberFormat="1" applyFont="1" applyFill="1" applyBorder="1" applyAlignment="1"/>
    <xf numFmtId="0" fontId="53" fillId="6" borderId="0" xfId="0" applyFont="1" applyFill="1" applyBorder="1" applyAlignment="1"/>
    <xf numFmtId="0" fontId="0" fillId="2" borderId="0" xfId="0" applyFill="1" applyBorder="1" applyAlignment="1"/>
    <xf numFmtId="0" fontId="54" fillId="6" borderId="0" xfId="0" applyFont="1" applyFill="1" applyBorder="1"/>
    <xf numFmtId="0" fontId="55" fillId="12" borderId="0" xfId="0" applyFont="1" applyFill="1" applyBorder="1" applyAlignment="1"/>
    <xf numFmtId="2" fontId="27" fillId="11" borderId="0" xfId="0" applyNumberFormat="1" applyFont="1" applyFill="1" applyBorder="1" applyAlignment="1"/>
    <xf numFmtId="0" fontId="0" fillId="6" borderId="0" xfId="0" applyFont="1" applyFill="1" applyBorder="1" applyAlignment="1"/>
    <xf numFmtId="37" fontId="11" fillId="8" borderId="0" xfId="0" applyNumberFormat="1" applyFont="1" applyFill="1" applyBorder="1" applyAlignment="1"/>
    <xf numFmtId="2" fontId="12" fillId="3" borderId="0" xfId="0" applyNumberFormat="1" applyFont="1" applyFill="1" applyBorder="1"/>
    <xf numFmtId="164" fontId="46" fillId="2" borderId="0" xfId="6" applyNumberFormat="1" applyFont="1" applyFill="1" applyBorder="1"/>
    <xf numFmtId="0" fontId="46" fillId="2" borderId="0" xfId="6" applyFont="1" applyFill="1" applyBorder="1"/>
    <xf numFmtId="164" fontId="46" fillId="2" borderId="0" xfId="6" applyNumberFormat="1" applyFont="1" applyFill="1" applyBorder="1" applyAlignment="1"/>
    <xf numFmtId="2" fontId="46" fillId="2" borderId="0" xfId="6" applyNumberFormat="1" applyFont="1" applyFill="1" applyBorder="1"/>
    <xf numFmtId="0" fontId="46" fillId="3" borderId="0" xfId="6" applyFont="1" applyFill="1" applyBorder="1"/>
    <xf numFmtId="0" fontId="46" fillId="2" borderId="0" xfId="6" applyFont="1" applyFill="1" applyBorder="1" applyAlignment="1"/>
    <xf numFmtId="0" fontId="56" fillId="2" borderId="0" xfId="5" applyFont="1" applyFill="1" applyBorder="1"/>
    <xf numFmtId="43" fontId="46" fillId="4" borderId="0" xfId="2" applyNumberFormat="1" applyFont="1" applyFill="1" applyBorder="1"/>
    <xf numFmtId="43" fontId="46" fillId="12" borderId="0" xfId="2" applyNumberFormat="1" applyFont="1" applyFill="1" applyBorder="1"/>
    <xf numFmtId="43" fontId="49" fillId="4" borderId="1" xfId="2" applyNumberFormat="1" applyFont="1" applyFill="1" applyBorder="1"/>
    <xf numFmtId="43" fontId="49" fillId="4" borderId="0" xfId="2" applyNumberFormat="1" applyFont="1" applyFill="1" applyBorder="1"/>
    <xf numFmtId="43" fontId="49" fillId="4" borderId="1" xfId="2" applyFont="1" applyFill="1" applyBorder="1"/>
    <xf numFmtId="167" fontId="44" fillId="7" borderId="3" xfId="2" applyNumberFormat="1" applyFont="1" applyFill="1" applyBorder="1"/>
    <xf numFmtId="167" fontId="44" fillId="7" borderId="4" xfId="2" applyNumberFormat="1" applyFont="1" applyFill="1" applyBorder="1"/>
    <xf numFmtId="9" fontId="46" fillId="7" borderId="0" xfId="9" applyFont="1" applyFill="1" applyBorder="1"/>
    <xf numFmtId="167" fontId="46" fillId="7" borderId="0" xfId="2" applyNumberFormat="1" applyFont="1" applyFill="1" applyBorder="1"/>
    <xf numFmtId="167" fontId="49" fillId="7" borderId="1" xfId="2" applyNumberFormat="1" applyFont="1" applyFill="1" applyBorder="1"/>
    <xf numFmtId="167" fontId="47" fillId="7" borderId="2" xfId="2" applyNumberFormat="1" applyFont="1" applyFill="1" applyBorder="1"/>
    <xf numFmtId="9" fontId="44" fillId="7" borderId="0" xfId="9" applyFont="1" applyFill="1" applyBorder="1"/>
    <xf numFmtId="9" fontId="44" fillId="7" borderId="4" xfId="2" applyNumberFormat="1" applyFont="1" applyFill="1" applyBorder="1"/>
    <xf numFmtId="167" fontId="44" fillId="7" borderId="0" xfId="2" applyNumberFormat="1" applyFont="1" applyFill="1" applyBorder="1"/>
    <xf numFmtId="43" fontId="49" fillId="7" borderId="1" xfId="2" applyFont="1" applyFill="1" applyBorder="1"/>
    <xf numFmtId="43" fontId="47" fillId="7" borderId="2" xfId="2" applyFont="1" applyFill="1" applyBorder="1"/>
    <xf numFmtId="43" fontId="46" fillId="4" borderId="5" xfId="2" applyNumberFormat="1" applyFont="1" applyFill="1" applyBorder="1"/>
    <xf numFmtId="0" fontId="50" fillId="2" borderId="0" xfId="6" applyFont="1" applyFill="1" applyBorder="1" applyAlignment="1"/>
    <xf numFmtId="0" fontId="46" fillId="0" borderId="0" xfId="6"/>
    <xf numFmtId="0" fontId="51" fillId="2" borderId="0" xfId="6" applyFont="1" applyFill="1" applyBorder="1" applyAlignment="1"/>
    <xf numFmtId="0" fontId="44" fillId="2" borderId="0" xfId="6" applyFont="1" applyFill="1" applyBorder="1" applyAlignment="1"/>
    <xf numFmtId="0" fontId="48" fillId="2" borderId="0" xfId="6" applyFont="1" applyFill="1" applyBorder="1" applyAlignment="1">
      <alignment horizontal="center"/>
    </xf>
    <xf numFmtId="0" fontId="44" fillId="3" borderId="0" xfId="6" applyFont="1" applyFill="1" applyBorder="1" applyAlignment="1"/>
    <xf numFmtId="0" fontId="48" fillId="3" borderId="0" xfId="6" applyFont="1" applyFill="1" applyBorder="1" applyAlignment="1">
      <alignment horizontal="center"/>
    </xf>
    <xf numFmtId="0" fontId="46" fillId="3" borderId="0" xfId="6" applyFont="1" applyFill="1" applyBorder="1" applyAlignment="1"/>
    <xf numFmtId="0" fontId="46" fillId="6" borderId="0" xfId="6" applyFont="1" applyFill="1" applyBorder="1"/>
    <xf numFmtId="0" fontId="53" fillId="2" borderId="0" xfId="6" applyFont="1" applyFill="1" applyBorder="1" applyAlignment="1"/>
    <xf numFmtId="0" fontId="46" fillId="6" borderId="0" xfId="6" applyFont="1" applyFill="1" applyBorder="1" applyAlignment="1"/>
    <xf numFmtId="9" fontId="53" fillId="2" borderId="0" xfId="6" applyNumberFormat="1" applyFont="1" applyFill="1" applyBorder="1" applyAlignment="1"/>
    <xf numFmtId="0" fontId="44" fillId="7" borderId="0" xfId="6" applyFont="1" applyFill="1" applyBorder="1"/>
    <xf numFmtId="0" fontId="46" fillId="7" borderId="0" xfId="6" applyFont="1" applyFill="1" applyBorder="1"/>
    <xf numFmtId="0" fontId="46" fillId="8" borderId="0" xfId="6" applyFont="1" applyFill="1" applyBorder="1"/>
    <xf numFmtId="0" fontId="46" fillId="8" borderId="0" xfId="6" applyFill="1"/>
    <xf numFmtId="0" fontId="46" fillId="14" borderId="0" xfId="6" applyFont="1" applyFill="1" applyBorder="1"/>
    <xf numFmtId="0" fontId="46" fillId="15" borderId="0" xfId="6" applyFill="1"/>
    <xf numFmtId="0" fontId="53" fillId="6" borderId="0" xfId="6" applyFont="1" applyFill="1" applyBorder="1" applyAlignment="1"/>
    <xf numFmtId="0" fontId="44" fillId="2" borderId="0" xfId="6" applyFont="1" applyFill="1" applyBorder="1" applyAlignment="1">
      <alignment horizontal="center"/>
    </xf>
    <xf numFmtId="0" fontId="44" fillId="2" borderId="0" xfId="6" applyFont="1" applyFill="1" applyBorder="1" applyAlignment="1">
      <alignment horizontal="right" indent="1"/>
    </xf>
    <xf numFmtId="166" fontId="46" fillId="2" borderId="0" xfId="6" applyNumberFormat="1" applyFont="1" applyFill="1" applyBorder="1" applyAlignment="1"/>
    <xf numFmtId="166" fontId="46" fillId="2" borderId="0" xfId="6" applyNumberFormat="1" applyFont="1" applyFill="1" applyBorder="1"/>
    <xf numFmtId="0" fontId="44" fillId="2" borderId="0" xfId="6" applyFont="1" applyFill="1" applyBorder="1"/>
    <xf numFmtId="2" fontId="46" fillId="2" borderId="0" xfId="6" applyNumberFormat="1" applyFont="1" applyFill="1" applyBorder="1" applyAlignment="1"/>
    <xf numFmtId="0" fontId="44" fillId="3" borderId="0" xfId="6" applyFont="1" applyFill="1" applyBorder="1"/>
    <xf numFmtId="0" fontId="44" fillId="6" borderId="0" xfId="6" applyFont="1" applyFill="1" applyBorder="1" applyAlignment="1"/>
    <xf numFmtId="0" fontId="44" fillId="7" borderId="0" xfId="6" applyFont="1" applyFill="1" applyBorder="1" applyAlignment="1"/>
    <xf numFmtId="0" fontId="46" fillId="7" borderId="0" xfId="6" applyFont="1" applyFill="1" applyBorder="1" applyAlignment="1"/>
    <xf numFmtId="0" fontId="44" fillId="6" borderId="0" xfId="6" applyFont="1" applyFill="1" applyBorder="1" applyAlignment="1">
      <alignment horizontal="center"/>
    </xf>
    <xf numFmtId="0" fontId="44" fillId="6" borderId="0" xfId="6" applyFont="1" applyFill="1" applyBorder="1" applyAlignment="1">
      <alignment horizontal="right" indent="1"/>
    </xf>
    <xf numFmtId="0" fontId="46" fillId="12" borderId="0" xfId="6" applyFont="1" applyFill="1" applyBorder="1"/>
    <xf numFmtId="167" fontId="46" fillId="4" borderId="0" xfId="2" applyNumberFormat="1" applyFont="1" applyFill="1" applyBorder="1"/>
    <xf numFmtId="0" fontId="49" fillId="2" borderId="1" xfId="6" applyFont="1" applyFill="1" applyBorder="1" applyAlignment="1"/>
    <xf numFmtId="0" fontId="49" fillId="2" borderId="1" xfId="6" applyFont="1" applyFill="1" applyBorder="1"/>
    <xf numFmtId="1" fontId="49" fillId="2" borderId="1" xfId="6" applyNumberFormat="1" applyFont="1" applyFill="1" applyBorder="1"/>
    <xf numFmtId="2" fontId="49" fillId="2" borderId="1" xfId="6" applyNumberFormat="1" applyFont="1" applyFill="1" applyBorder="1"/>
    <xf numFmtId="0" fontId="44" fillId="4" borderId="0" xfId="6" applyFont="1" applyFill="1" applyBorder="1"/>
    <xf numFmtId="0" fontId="46" fillId="4" borderId="0" xfId="6" applyFont="1" applyFill="1" applyBorder="1"/>
    <xf numFmtId="0" fontId="45" fillId="4" borderId="0" xfId="6" applyFont="1" applyFill="1" applyBorder="1"/>
    <xf numFmtId="0" fontId="49" fillId="4" borderId="1" xfId="6" applyFont="1" applyFill="1" applyBorder="1"/>
    <xf numFmtId="43" fontId="46" fillId="4" borderId="0" xfId="6" applyNumberFormat="1" applyFont="1" applyFill="1" applyBorder="1"/>
    <xf numFmtId="0" fontId="46" fillId="7" borderId="5" xfId="6" applyFont="1" applyFill="1" applyBorder="1"/>
    <xf numFmtId="0" fontId="49" fillId="4" borderId="5" xfId="6" applyFont="1" applyFill="1" applyBorder="1"/>
    <xf numFmtId="43" fontId="49" fillId="7" borderId="5" xfId="6" applyNumberFormat="1" applyFont="1" applyFill="1" applyBorder="1"/>
    <xf numFmtId="43" fontId="49" fillId="4" borderId="1" xfId="6" applyNumberFormat="1" applyFont="1" applyFill="1" applyBorder="1"/>
    <xf numFmtId="0" fontId="45" fillId="7" borderId="0" xfId="6" applyFont="1" applyFill="1" applyBorder="1"/>
    <xf numFmtId="0" fontId="49" fillId="7" borderId="0" xfId="6" applyFont="1" applyFill="1" applyBorder="1"/>
    <xf numFmtId="43" fontId="49" fillId="7" borderId="0" xfId="6" applyNumberFormat="1" applyFont="1" applyFill="1" applyBorder="1"/>
    <xf numFmtId="0" fontId="49" fillId="7" borderId="5" xfId="6" applyFont="1" applyFill="1" applyBorder="1"/>
    <xf numFmtId="0" fontId="48" fillId="4" borderId="0" xfId="6" applyFont="1" applyFill="1" applyBorder="1"/>
    <xf numFmtId="2" fontId="49" fillId="4" borderId="1" xfId="6" applyNumberFormat="1" applyFont="1" applyFill="1" applyBorder="1"/>
    <xf numFmtId="2" fontId="46" fillId="4" borderId="0" xfId="6" applyNumberFormat="1" applyFont="1" applyFill="1" applyBorder="1"/>
    <xf numFmtId="0" fontId="49" fillId="4" borderId="2" xfId="6" applyFont="1" applyFill="1" applyBorder="1"/>
    <xf numFmtId="2" fontId="49" fillId="4" borderId="2" xfId="6" applyNumberFormat="1" applyFont="1" applyFill="1" applyBorder="1"/>
    <xf numFmtId="43" fontId="46" fillId="3" borderId="0" xfId="6" applyNumberFormat="1" applyFont="1" applyFill="1" applyBorder="1"/>
    <xf numFmtId="0" fontId="49" fillId="7" borderId="1" xfId="6" applyFont="1" applyFill="1" applyBorder="1"/>
    <xf numFmtId="0" fontId="49" fillId="6" borderId="1" xfId="6" applyFont="1" applyFill="1" applyBorder="1" applyAlignment="1"/>
    <xf numFmtId="43" fontId="49" fillId="7" borderId="1" xfId="6" applyNumberFormat="1" applyFont="1" applyFill="1" applyBorder="1"/>
    <xf numFmtId="0" fontId="49" fillId="4" borderId="0" xfId="6" applyFont="1" applyFill="1" applyBorder="1"/>
    <xf numFmtId="43" fontId="49" fillId="4" borderId="0" xfId="6" applyNumberFormat="1" applyFont="1" applyFill="1" applyBorder="1"/>
    <xf numFmtId="0" fontId="49" fillId="7" borderId="2" xfId="6" applyFont="1" applyFill="1" applyBorder="1"/>
    <xf numFmtId="2" fontId="49" fillId="7" borderId="2" xfId="6" applyNumberFormat="1" applyFont="1" applyFill="1" applyBorder="1"/>
    <xf numFmtId="1" fontId="46" fillId="7" borderId="0" xfId="6" applyNumberFormat="1" applyFont="1" applyFill="1" applyBorder="1"/>
    <xf numFmtId="0" fontId="47" fillId="7" borderId="2" xfId="6" applyFont="1" applyFill="1" applyBorder="1"/>
    <xf numFmtId="1" fontId="47" fillId="7" borderId="2" xfId="6" applyNumberFormat="1" applyFont="1" applyFill="1" applyBorder="1"/>
    <xf numFmtId="2" fontId="47" fillId="7" borderId="2" xfId="6" applyNumberFormat="1" applyFont="1" applyFill="1" applyBorder="1"/>
    <xf numFmtId="165" fontId="46" fillId="7" borderId="0" xfId="6" applyNumberFormat="1" applyFont="1" applyFill="1" applyBorder="1"/>
    <xf numFmtId="9" fontId="46" fillId="7" borderId="0" xfId="6" applyNumberFormat="1" applyFont="1" applyFill="1" applyBorder="1"/>
    <xf numFmtId="0" fontId="44" fillId="7" borderId="4" xfId="6" applyFont="1" applyFill="1" applyBorder="1"/>
    <xf numFmtId="0" fontId="44" fillId="7" borderId="3" xfId="6" applyFont="1" applyFill="1" applyBorder="1"/>
    <xf numFmtId="0" fontId="34" fillId="11" borderId="0" xfId="0" applyFont="1" applyFill="1" applyBorder="1" applyAlignment="1"/>
    <xf numFmtId="0" fontId="36" fillId="11" borderId="0" xfId="0" applyFont="1" applyFill="1" applyBorder="1" applyAlignment="1"/>
    <xf numFmtId="165" fontId="37" fillId="11" borderId="0" xfId="0" applyNumberFormat="1" applyFont="1" applyFill="1" applyBorder="1" applyAlignment="1"/>
    <xf numFmtId="9" fontId="35" fillId="10" borderId="0" xfId="8" applyFont="1" applyFill="1" applyBorder="1" applyAlignment="1"/>
    <xf numFmtId="0" fontId="56" fillId="2" borderId="0" xfId="0" applyFont="1" applyFill="1" applyBorder="1"/>
    <xf numFmtId="0" fontId="56" fillId="3" borderId="0" xfId="0" applyFont="1" applyFill="1" applyBorder="1"/>
    <xf numFmtId="0" fontId="56" fillId="6" borderId="0" xfId="0" applyFont="1" applyFill="1" applyBorder="1"/>
    <xf numFmtId="0" fontId="56" fillId="7" borderId="0" xfId="0" applyFont="1" applyFill="1" applyBorder="1"/>
    <xf numFmtId="0" fontId="56" fillId="2" borderId="0" xfId="0" applyFont="1" applyFill="1" applyBorder="1" applyAlignment="1"/>
    <xf numFmtId="0" fontId="56" fillId="6" borderId="0" xfId="0" applyFont="1" applyFill="1" applyBorder="1" applyAlignment="1"/>
    <xf numFmtId="0" fontId="23" fillId="9" borderId="0" xfId="0" applyFont="1" applyFill="1" applyBorder="1"/>
    <xf numFmtId="2" fontId="29" fillId="9" borderId="0" xfId="0" applyNumberFormat="1" applyFont="1" applyFill="1" applyBorder="1" applyAlignment="1"/>
    <xf numFmtId="0" fontId="51" fillId="2" borderId="0" xfId="0" applyFont="1" applyFill="1" applyBorder="1" applyAlignment="1"/>
    <xf numFmtId="0" fontId="0" fillId="0" borderId="0" xfId="6" applyFont="1"/>
    <xf numFmtId="0" fontId="57" fillId="2" borderId="0" xfId="6" applyFont="1" applyFill="1" applyBorder="1" applyAlignment="1"/>
    <xf numFmtId="0" fontId="57" fillId="6" borderId="0" xfId="6" applyFont="1" applyFill="1" applyBorder="1" applyAlignment="1"/>
    <xf numFmtId="0" fontId="57" fillId="8" borderId="0" xfId="6" applyFont="1" applyFill="1"/>
    <xf numFmtId="0" fontId="46" fillId="8" borderId="0" xfId="6" applyFont="1" applyFill="1"/>
    <xf numFmtId="0" fontId="49" fillId="6" borderId="0" xfId="6" applyFont="1" applyFill="1" applyBorder="1" applyAlignment="1"/>
    <xf numFmtId="0" fontId="48" fillId="7" borderId="0" xfId="6" applyFont="1" applyFill="1" applyBorder="1"/>
    <xf numFmtId="43" fontId="46" fillId="7" borderId="0" xfId="6" applyNumberFormat="1" applyFont="1" applyFill="1" applyBorder="1"/>
    <xf numFmtId="43" fontId="46" fillId="7" borderId="5" xfId="6" applyNumberFormat="1" applyFont="1" applyFill="1" applyBorder="1"/>
    <xf numFmtId="2" fontId="46" fillId="3" borderId="0" xfId="6" applyNumberFormat="1" applyFont="1" applyFill="1" applyBorder="1"/>
    <xf numFmtId="43" fontId="46" fillId="4" borderId="5" xfId="6" applyNumberFormat="1" applyFont="1" applyFill="1" applyBorder="1"/>
    <xf numFmtId="167" fontId="46" fillId="3" borderId="0" xfId="6" applyNumberFormat="1" applyFont="1" applyFill="1" applyBorder="1"/>
    <xf numFmtId="0" fontId="46" fillId="17" borderId="0" xfId="6" applyFont="1" applyFill="1" applyBorder="1" applyAlignment="1"/>
    <xf numFmtId="0" fontId="46" fillId="17" borderId="0" xfId="6" applyFont="1" applyFill="1" applyBorder="1"/>
    <xf numFmtId="43" fontId="44" fillId="7" borderId="4" xfId="1" applyNumberFormat="1" applyFont="1" applyFill="1" applyBorder="1"/>
    <xf numFmtId="0" fontId="0" fillId="15" borderId="0" xfId="0" applyFill="1"/>
    <xf numFmtId="0" fontId="44" fillId="15" borderId="0" xfId="0" applyFont="1" applyFill="1"/>
    <xf numFmtId="0" fontId="11" fillId="14" borderId="0" xfId="0" applyFont="1" applyFill="1" applyBorder="1"/>
    <xf numFmtId="0" fontId="18" fillId="14" borderId="0" xfId="0" applyFont="1" applyFill="1" applyBorder="1" applyAlignment="1"/>
    <xf numFmtId="0" fontId="56" fillId="14" borderId="0" xfId="0" applyFont="1" applyFill="1" applyBorder="1" applyAlignment="1"/>
    <xf numFmtId="0" fontId="12" fillId="12" borderId="0" xfId="0" applyFont="1" applyFill="1" applyBorder="1"/>
    <xf numFmtId="0" fontId="46" fillId="14" borderId="0" xfId="0" applyFont="1" applyFill="1" applyBorder="1" applyAlignment="1"/>
    <xf numFmtId="9" fontId="35" fillId="18" borderId="0" xfId="8" applyFont="1" applyFill="1" applyBorder="1" applyAlignment="1"/>
    <xf numFmtId="167" fontId="35" fillId="18" borderId="0" xfId="1" applyNumberFormat="1" applyFont="1" applyFill="1" applyBorder="1" applyAlignment="1"/>
    <xf numFmtId="1" fontId="35" fillId="18" borderId="0" xfId="0" applyNumberFormat="1" applyFont="1" applyFill="1" applyBorder="1" applyAlignment="1"/>
    <xf numFmtId="0" fontId="54" fillId="7" borderId="0" xfId="0" applyFont="1" applyFill="1" applyBorder="1"/>
    <xf numFmtId="43" fontId="46" fillId="7" borderId="0" xfId="1" applyFont="1" applyFill="1" applyBorder="1" applyAlignment="1"/>
    <xf numFmtId="2" fontId="49" fillId="4" borderId="0" xfId="0" applyNumberFormat="1" applyFont="1" applyFill="1" applyBorder="1"/>
    <xf numFmtId="0" fontId="61" fillId="15" borderId="0" xfId="6" applyFont="1" applyFill="1"/>
    <xf numFmtId="3" fontId="46" fillId="15" borderId="0" xfId="6" applyNumberFormat="1" applyFill="1"/>
    <xf numFmtId="0" fontId="59" fillId="8" borderId="6" xfId="6" applyFont="1" applyFill="1" applyBorder="1"/>
    <xf numFmtId="0" fontId="46" fillId="8" borderId="7" xfId="6" applyFill="1" applyBorder="1"/>
    <xf numFmtId="0" fontId="59" fillId="8" borderId="8" xfId="6" applyFont="1" applyFill="1" applyBorder="1"/>
    <xf numFmtId="0" fontId="59" fillId="8" borderId="9" xfId="6" applyFont="1" applyFill="1" applyBorder="1"/>
    <xf numFmtId="0" fontId="46" fillId="8" borderId="10" xfId="6" applyFill="1" applyBorder="1"/>
    <xf numFmtId="0" fontId="46" fillId="8" borderId="11" xfId="6" applyFill="1" applyBorder="1"/>
    <xf numFmtId="4" fontId="46" fillId="8" borderId="12" xfId="6" applyNumberFormat="1" applyFill="1" applyBorder="1" applyAlignment="1">
      <alignment horizontal="center"/>
    </xf>
    <xf numFmtId="4" fontId="46" fillId="8" borderId="13" xfId="6" applyNumberFormat="1" applyFill="1" applyBorder="1" applyAlignment="1">
      <alignment horizontal="center"/>
    </xf>
    <xf numFmtId="4" fontId="46" fillId="8" borderId="14" xfId="6" applyNumberFormat="1" applyFill="1" applyBorder="1" applyAlignment="1">
      <alignment horizontal="center"/>
    </xf>
    <xf numFmtId="3" fontId="46" fillId="8" borderId="15" xfId="6" applyNumberFormat="1" applyFill="1" applyBorder="1" applyAlignment="1">
      <alignment horizontal="center"/>
    </xf>
    <xf numFmtId="4" fontId="46" fillId="8" borderId="11" xfId="6" applyNumberFormat="1" applyFill="1" applyBorder="1" applyAlignment="1">
      <alignment horizontal="center"/>
    </xf>
    <xf numFmtId="4" fontId="46" fillId="8" borderId="15" xfId="6" applyNumberFormat="1" applyFill="1" applyBorder="1" applyAlignment="1">
      <alignment horizontal="center"/>
    </xf>
    <xf numFmtId="0" fontId="46" fillId="8" borderId="10" xfId="6" applyFont="1" applyFill="1" applyBorder="1"/>
    <xf numFmtId="3" fontId="46" fillId="8" borderId="14" xfId="6" applyNumberFormat="1" applyFill="1" applyBorder="1" applyAlignment="1">
      <alignment horizontal="center"/>
    </xf>
    <xf numFmtId="0" fontId="62" fillId="8" borderId="10" xfId="6" applyFont="1" applyFill="1" applyBorder="1"/>
    <xf numFmtId="4" fontId="62" fillId="8" borderId="15" xfId="6" applyNumberFormat="1" applyFont="1" applyFill="1" applyBorder="1" applyAlignment="1">
      <alignment horizontal="center"/>
    </xf>
    <xf numFmtId="0" fontId="46" fillId="8" borderId="16" xfId="6" applyFill="1" applyBorder="1"/>
    <xf numFmtId="0" fontId="46" fillId="8" borderId="17" xfId="6" applyFill="1" applyBorder="1"/>
    <xf numFmtId="3" fontId="46" fillId="8" borderId="18" xfId="6" applyNumberFormat="1" applyFill="1" applyBorder="1" applyAlignment="1">
      <alignment horizontal="center"/>
    </xf>
    <xf numFmtId="4" fontId="46" fillId="8" borderId="18" xfId="6" applyNumberFormat="1" applyFill="1" applyBorder="1" applyAlignment="1">
      <alignment horizontal="center"/>
    </xf>
    <xf numFmtId="3" fontId="46" fillId="8" borderId="19" xfId="6" applyNumberFormat="1" applyFill="1" applyBorder="1" applyAlignment="1">
      <alignment horizontal="center"/>
    </xf>
    <xf numFmtId="0" fontId="44" fillId="8" borderId="20" xfId="6" applyFont="1" applyFill="1" applyBorder="1"/>
    <xf numFmtId="0" fontId="44" fillId="8" borderId="21" xfId="6" applyFont="1" applyFill="1" applyBorder="1"/>
    <xf numFmtId="0" fontId="45" fillId="4" borderId="0" xfId="0" applyFont="1" applyFill="1" applyBorder="1" applyAlignment="1">
      <alignment horizontal="center"/>
    </xf>
    <xf numFmtId="43" fontId="49" fillId="7" borderId="2" xfId="0" applyNumberFormat="1" applyFont="1" applyFill="1" applyBorder="1"/>
    <xf numFmtId="0" fontId="52" fillId="8" borderId="0" xfId="4" applyFill="1" applyBorder="1"/>
    <xf numFmtId="2" fontId="44" fillId="8" borderId="22" xfId="6" applyNumberFormat="1" applyFont="1" applyFill="1" applyBorder="1"/>
    <xf numFmtId="1" fontId="46" fillId="15" borderId="0" xfId="6" applyNumberFormat="1" applyFill="1"/>
    <xf numFmtId="169" fontId="46" fillId="15" borderId="0" xfId="6" applyNumberFormat="1" applyFill="1"/>
    <xf numFmtId="0" fontId="46" fillId="8" borderId="23" xfId="6" applyFill="1" applyBorder="1"/>
    <xf numFmtId="0" fontId="46" fillId="8" borderId="24" xfId="6" applyFill="1" applyBorder="1"/>
    <xf numFmtId="3" fontId="46" fillId="8" borderId="25" xfId="6" applyNumberFormat="1" applyFill="1" applyBorder="1" applyAlignment="1">
      <alignment horizontal="center"/>
    </xf>
    <xf numFmtId="4" fontId="46" fillId="8" borderId="24" xfId="6" applyNumberFormat="1" applyFill="1" applyBorder="1" applyAlignment="1">
      <alignment horizontal="center"/>
    </xf>
    <xf numFmtId="4" fontId="46" fillId="8" borderId="25" xfId="6" applyNumberFormat="1" applyFill="1" applyBorder="1" applyAlignment="1">
      <alignment horizontal="center"/>
    </xf>
    <xf numFmtId="3" fontId="46" fillId="8" borderId="26" xfId="6" applyNumberFormat="1" applyFill="1" applyBorder="1" applyAlignment="1">
      <alignment horizontal="center"/>
    </xf>
    <xf numFmtId="0" fontId="46" fillId="8" borderId="27" xfId="6" applyFill="1" applyBorder="1"/>
    <xf numFmtId="0" fontId="46" fillId="8" borderId="28" xfId="6" applyFill="1" applyBorder="1"/>
    <xf numFmtId="3" fontId="46" fillId="8" borderId="29" xfId="6" applyNumberFormat="1" applyFill="1" applyBorder="1" applyAlignment="1">
      <alignment horizontal="center"/>
    </xf>
    <xf numFmtId="4" fontId="46" fillId="8" borderId="28" xfId="6" applyNumberFormat="1" applyFill="1" applyBorder="1" applyAlignment="1">
      <alignment horizontal="center"/>
    </xf>
    <xf numFmtId="4" fontId="46" fillId="8" borderId="29" xfId="6" applyNumberFormat="1" applyFill="1" applyBorder="1" applyAlignment="1">
      <alignment horizontal="center"/>
    </xf>
    <xf numFmtId="3" fontId="46" fillId="8" borderId="30" xfId="6" applyNumberFormat="1" applyFill="1" applyBorder="1" applyAlignment="1">
      <alignment horizontal="center"/>
    </xf>
    <xf numFmtId="2" fontId="44" fillId="8" borderId="22" xfId="6" applyNumberFormat="1" applyFont="1" applyFill="1" applyBorder="1" applyAlignment="1">
      <alignment horizontal="right"/>
    </xf>
    <xf numFmtId="43" fontId="44" fillId="7" borderId="0" xfId="1" applyNumberFormat="1" applyFont="1" applyFill="1" applyBorder="1"/>
    <xf numFmtId="2" fontId="12" fillId="19" borderId="0" xfId="0" applyNumberFormat="1" applyFont="1" applyFill="1" applyBorder="1" applyAlignment="1">
      <alignment horizontal="center"/>
    </xf>
    <xf numFmtId="166" fontId="12" fillId="19" borderId="0" xfId="0" applyNumberFormat="1" applyFont="1" applyFill="1" applyBorder="1" applyAlignment="1">
      <alignment horizontal="center"/>
    </xf>
    <xf numFmtId="1" fontId="12" fillId="19" borderId="0" xfId="0" applyNumberFormat="1" applyFont="1" applyFill="1" applyBorder="1" applyAlignment="1">
      <alignment horizontal="center"/>
    </xf>
    <xf numFmtId="0" fontId="12" fillId="19" borderId="0" xfId="0" applyFont="1" applyFill="1" applyBorder="1" applyAlignment="1">
      <alignment horizontal="center"/>
    </xf>
    <xf numFmtId="0" fontId="46" fillId="19" borderId="0" xfId="0" applyFont="1" applyFill="1" applyBorder="1" applyAlignment="1">
      <alignment horizontal="center"/>
    </xf>
    <xf numFmtId="0" fontId="47" fillId="12" borderId="0" xfId="6" applyFont="1" applyFill="1" applyBorder="1"/>
    <xf numFmtId="0" fontId="49" fillId="12" borderId="0" xfId="6" applyFont="1" applyFill="1" applyBorder="1"/>
    <xf numFmtId="1" fontId="47" fillId="12" borderId="0" xfId="6" applyNumberFormat="1" applyFont="1" applyFill="1" applyBorder="1"/>
    <xf numFmtId="0" fontId="45" fillId="4" borderId="0" xfId="6" applyFont="1" applyFill="1" applyBorder="1" applyAlignment="1">
      <alignment horizontal="center"/>
    </xf>
    <xf numFmtId="43" fontId="46" fillId="7" borderId="0" xfId="2" applyNumberFormat="1" applyFont="1" applyFill="1" applyBorder="1"/>
    <xf numFmtId="170" fontId="57" fillId="15" borderId="0" xfId="8" applyNumberFormat="1" applyFont="1" applyFill="1"/>
    <xf numFmtId="43" fontId="44" fillId="7" borderId="0" xfId="2" applyNumberFormat="1" applyFont="1" applyFill="1" applyBorder="1"/>
    <xf numFmtId="0" fontId="59" fillId="8" borderId="32" xfId="0" applyFont="1" applyFill="1" applyBorder="1" applyAlignment="1">
      <alignment horizontal="right"/>
    </xf>
    <xf numFmtId="0" fontId="47" fillId="8" borderId="0" xfId="0" applyFont="1" applyFill="1" applyAlignment="1">
      <alignment horizontal="right"/>
    </xf>
    <xf numFmtId="14" fontId="49" fillId="8" borderId="0" xfId="0" applyNumberFormat="1" applyFont="1" applyFill="1"/>
    <xf numFmtId="0" fontId="64" fillId="8" borderId="40" xfId="0" applyFont="1" applyFill="1" applyBorder="1" applyAlignment="1">
      <alignment horizontal="center" vertical="center" wrapText="1"/>
    </xf>
    <xf numFmtId="0" fontId="65" fillId="8" borderId="41" xfId="0" applyFont="1" applyFill="1" applyBorder="1" applyAlignment="1">
      <alignment horizontal="center" vertical="center" wrapText="1"/>
    </xf>
    <xf numFmtId="0" fontId="64" fillId="8" borderId="42" xfId="0" applyFont="1" applyFill="1" applyBorder="1" applyAlignment="1">
      <alignment vertical="center" wrapText="1"/>
    </xf>
    <xf numFmtId="167" fontId="64" fillId="8" borderId="43" xfId="1" applyNumberFormat="1" applyFont="1" applyFill="1" applyBorder="1" applyAlignment="1">
      <alignment horizontal="center" vertical="center" wrapText="1"/>
    </xf>
    <xf numFmtId="9" fontId="64" fillId="8" borderId="43" xfId="8" applyFont="1" applyFill="1" applyBorder="1" applyAlignment="1">
      <alignment horizontal="center" vertical="center" wrapText="1"/>
    </xf>
    <xf numFmtId="0" fontId="59" fillId="8" borderId="15" xfId="0" applyFont="1" applyFill="1" applyBorder="1" applyAlignment="1">
      <alignment horizontal="right"/>
    </xf>
    <xf numFmtId="0" fontId="59" fillId="8" borderId="35" xfId="0" applyFont="1" applyFill="1" applyBorder="1" applyAlignment="1">
      <alignment horizontal="right"/>
    </xf>
    <xf numFmtId="14" fontId="49" fillId="8" borderId="0" xfId="0" applyNumberFormat="1" applyFont="1" applyFill="1" applyAlignment="1">
      <alignment horizontal="left"/>
    </xf>
    <xf numFmtId="0" fontId="47" fillId="15" borderId="0" xfId="0" applyFont="1" applyFill="1" applyAlignment="1">
      <alignment horizontal="right"/>
    </xf>
    <xf numFmtId="14" fontId="49" fillId="15" borderId="0" xfId="0" applyNumberFormat="1" applyFont="1" applyFill="1"/>
    <xf numFmtId="0" fontId="60" fillId="15" borderId="0" xfId="7" applyFill="1"/>
    <xf numFmtId="0" fontId="60" fillId="15" borderId="0" xfId="7" applyFont="1" applyFill="1" applyAlignment="1">
      <alignment horizontal="left" wrapText="1"/>
    </xf>
    <xf numFmtId="0" fontId="60" fillId="15" borderId="0" xfId="7" applyFont="1" applyFill="1" applyAlignment="1">
      <alignment horizontal="left" vertical="center" wrapText="1"/>
    </xf>
    <xf numFmtId="0" fontId="67" fillId="15" borderId="0" xfId="7" applyFont="1" applyFill="1" applyAlignment="1">
      <alignment horizontal="left" wrapText="1"/>
    </xf>
    <xf numFmtId="0" fontId="51" fillId="6" borderId="0" xfId="6" applyFont="1" applyFill="1" applyBorder="1" applyAlignment="1"/>
    <xf numFmtId="0" fontId="13" fillId="8" borderId="20" xfId="6" applyFont="1" applyFill="1" applyBorder="1"/>
    <xf numFmtId="0" fontId="46" fillId="8" borderId="0" xfId="0" applyFont="1" applyFill="1" applyBorder="1" applyAlignment="1">
      <alignment horizontal="left"/>
    </xf>
    <xf numFmtId="0" fontId="46" fillId="8" borderId="11" xfId="0" applyFont="1" applyFill="1" applyBorder="1" applyAlignment="1">
      <alignment horizontal="left"/>
    </xf>
    <xf numFmtId="0" fontId="11" fillId="8" borderId="0" xfId="6" applyFont="1" applyFill="1" applyAlignment="1">
      <alignment horizontal="left" indent="2"/>
    </xf>
    <xf numFmtId="0" fontId="11" fillId="8" borderId="0" xfId="6" applyFont="1" applyFill="1"/>
    <xf numFmtId="0" fontId="11" fillId="15" borderId="0" xfId="0" applyFont="1" applyFill="1"/>
    <xf numFmtId="0" fontId="59" fillId="8" borderId="33" xfId="0" applyFont="1" applyFill="1" applyBorder="1" applyAlignment="1">
      <alignment horizontal="right"/>
    </xf>
    <xf numFmtId="0" fontId="11" fillId="8" borderId="33" xfId="0" applyFont="1" applyFill="1" applyBorder="1" applyAlignment="1">
      <alignment horizontal="left"/>
    </xf>
    <xf numFmtId="0" fontId="11" fillId="8" borderId="10" xfId="6" applyFont="1" applyFill="1" applyBorder="1"/>
    <xf numFmtId="2" fontId="46" fillId="19" borderId="0" xfId="6" applyNumberFormat="1" applyFont="1" applyFill="1" applyBorder="1" applyAlignment="1">
      <alignment horizontal="center"/>
    </xf>
    <xf numFmtId="2" fontId="46" fillId="19" borderId="5" xfId="6" applyNumberFormat="1" applyFont="1" applyFill="1" applyBorder="1" applyAlignment="1">
      <alignment horizontal="center"/>
    </xf>
    <xf numFmtId="0" fontId="13" fillId="2" borderId="0" xfId="6" applyFont="1" applyFill="1" applyBorder="1" applyAlignment="1"/>
    <xf numFmtId="0" fontId="14" fillId="7" borderId="0" xfId="6" applyFont="1" applyFill="1" applyBorder="1"/>
    <xf numFmtId="0" fontId="33" fillId="7" borderId="2" xfId="6" applyFont="1" applyFill="1" applyBorder="1"/>
    <xf numFmtId="2" fontId="12" fillId="19" borderId="5" xfId="0" applyNumberFormat="1" applyFont="1" applyFill="1" applyBorder="1" applyAlignment="1">
      <alignment horizontal="center"/>
    </xf>
    <xf numFmtId="43" fontId="44" fillId="7" borderId="3" xfId="2" applyNumberFormat="1" applyFont="1" applyFill="1" applyBorder="1"/>
    <xf numFmtId="0" fontId="0" fillId="8" borderId="13" xfId="0" applyFont="1" applyFill="1" applyBorder="1" applyAlignment="1">
      <alignment horizontal="left"/>
    </xf>
    <xf numFmtId="167" fontId="0" fillId="8" borderId="11" xfId="0" applyNumberFormat="1" applyFont="1" applyFill="1" applyBorder="1" applyAlignment="1">
      <alignment horizontal="left"/>
    </xf>
    <xf numFmtId="0" fontId="0" fillId="8" borderId="36" xfId="0" applyFill="1" applyBorder="1" applyAlignment="1">
      <alignment horizontal="left"/>
    </xf>
    <xf numFmtId="38" fontId="64" fillId="8" borderId="43" xfId="1" applyNumberFormat="1" applyFont="1" applyFill="1" applyBorder="1" applyAlignment="1">
      <alignment horizontal="center" vertical="center" wrapText="1"/>
    </xf>
    <xf numFmtId="0" fontId="13" fillId="8" borderId="0" xfId="0" applyFont="1" applyFill="1"/>
    <xf numFmtId="0" fontId="33" fillId="8" borderId="0" xfId="0" applyFont="1" applyFill="1"/>
    <xf numFmtId="2" fontId="40" fillId="2" borderId="0" xfId="0" applyNumberFormat="1" applyFont="1" applyFill="1" applyBorder="1"/>
    <xf numFmtId="0" fontId="55" fillId="3" borderId="0" xfId="0" applyFont="1" applyFill="1" applyBorder="1"/>
    <xf numFmtId="0" fontId="11" fillId="2" borderId="0" xfId="11" applyFont="1" applyFill="1" applyBorder="1"/>
    <xf numFmtId="0" fontId="11" fillId="3" borderId="0" xfId="11" applyFont="1" applyFill="1" applyBorder="1"/>
    <xf numFmtId="0" fontId="13" fillId="2" borderId="0" xfId="11" applyFont="1" applyFill="1" applyBorder="1" applyAlignment="1"/>
    <xf numFmtId="0" fontId="13" fillId="2" borderId="0" xfId="11" applyFont="1" applyFill="1" applyBorder="1" applyAlignment="1">
      <alignment horizontal="center"/>
    </xf>
    <xf numFmtId="0" fontId="13" fillId="2" borderId="0" xfId="11" applyFont="1" applyFill="1" applyBorder="1" applyAlignment="1">
      <alignment horizontal="right" indent="1"/>
    </xf>
    <xf numFmtId="0" fontId="11" fillId="12" borderId="0" xfId="11" applyFont="1" applyFill="1" applyBorder="1"/>
    <xf numFmtId="0" fontId="13" fillId="7" borderId="12" xfId="11" applyFont="1" applyFill="1" applyBorder="1" applyAlignment="1">
      <alignment horizontal="center" vertical="center" wrapText="1"/>
    </xf>
    <xf numFmtId="0" fontId="11" fillId="7" borderId="13" xfId="11" applyFont="1" applyFill="1" applyBorder="1" applyAlignment="1">
      <alignment horizontal="center" vertical="center" wrapText="1"/>
    </xf>
    <xf numFmtId="0" fontId="11" fillId="7" borderId="12" xfId="11" applyFont="1" applyFill="1" applyBorder="1" applyAlignment="1">
      <alignment horizontal="center" vertical="center" wrapText="1"/>
    </xf>
    <xf numFmtId="0" fontId="11" fillId="7" borderId="34" xfId="11" applyFont="1" applyFill="1" applyBorder="1"/>
    <xf numFmtId="172" fontId="55" fillId="8" borderId="36" xfId="11" applyNumberFormat="1" applyFont="1" applyFill="1" applyBorder="1"/>
    <xf numFmtId="172" fontId="55" fillId="8" borderId="34" xfId="11" applyNumberFormat="1" applyFont="1" applyFill="1" applyBorder="1"/>
    <xf numFmtId="9" fontId="11" fillId="7" borderId="12" xfId="11" applyNumberFormat="1" applyFont="1" applyFill="1" applyBorder="1"/>
    <xf numFmtId="172" fontId="0" fillId="8" borderId="13" xfId="11" applyNumberFormat="1" applyFont="1" applyFill="1" applyBorder="1"/>
    <xf numFmtId="172" fontId="0" fillId="8" borderId="12" xfId="11" applyNumberFormat="1" applyFont="1" applyFill="1" applyBorder="1"/>
    <xf numFmtId="9" fontId="11" fillId="7" borderId="15" xfId="11" applyNumberFormat="1" applyFont="1" applyFill="1" applyBorder="1"/>
    <xf numFmtId="172" fontId="0" fillId="8" borderId="11" xfId="11" applyNumberFormat="1" applyFont="1" applyFill="1" applyBorder="1"/>
    <xf numFmtId="172" fontId="0" fillId="8" borderId="15" xfId="11" applyNumberFormat="1" applyFont="1" applyFill="1" applyBorder="1"/>
    <xf numFmtId="9" fontId="11" fillId="16" borderId="15" xfId="11" applyNumberFormat="1" applyFont="1" applyFill="1" applyBorder="1"/>
    <xf numFmtId="172" fontId="0" fillId="13" borderId="11" xfId="11" applyNumberFormat="1" applyFont="1" applyFill="1" applyBorder="1"/>
    <xf numFmtId="172" fontId="0" fillId="13" borderId="15" xfId="11" applyNumberFormat="1" applyFont="1" applyFill="1" applyBorder="1"/>
    <xf numFmtId="164" fontId="11" fillId="16" borderId="15" xfId="11" applyNumberFormat="1" applyFont="1" applyFill="1" applyBorder="1"/>
    <xf numFmtId="9" fontId="11" fillId="7" borderId="34" xfId="11" applyNumberFormat="1" applyFont="1" applyFill="1" applyBorder="1"/>
    <xf numFmtId="172" fontId="0" fillId="8" borderId="36" xfId="11" applyNumberFormat="1" applyFont="1" applyFill="1" applyBorder="1"/>
    <xf numFmtId="172" fontId="0" fillId="8" borderId="34" xfId="11" applyNumberFormat="1" applyFont="1" applyFill="1" applyBorder="1"/>
    <xf numFmtId="2" fontId="11" fillId="7" borderId="12" xfId="11" applyNumberFormat="1" applyFont="1" applyFill="1" applyBorder="1"/>
    <xf numFmtId="2" fontId="11" fillId="7" borderId="15" xfId="11" applyNumberFormat="1" applyFont="1" applyFill="1" applyBorder="1"/>
    <xf numFmtId="2" fontId="11" fillId="16" borderId="15" xfId="11" applyNumberFormat="1" applyFont="1" applyFill="1" applyBorder="1"/>
    <xf numFmtId="2" fontId="11" fillId="7" borderId="34" xfId="11" applyNumberFormat="1" applyFont="1" applyFill="1" applyBorder="1"/>
    <xf numFmtId="9" fontId="11" fillId="7" borderId="12" xfId="8" applyFont="1" applyFill="1" applyBorder="1"/>
    <xf numFmtId="9" fontId="11" fillId="7" borderId="15" xfId="8" applyFont="1" applyFill="1" applyBorder="1"/>
    <xf numFmtId="9" fontId="11" fillId="0" borderId="15" xfId="8" applyFont="1" applyFill="1" applyBorder="1"/>
    <xf numFmtId="172" fontId="0" fillId="0" borderId="11" xfId="11" applyNumberFormat="1" applyFont="1" applyFill="1" applyBorder="1"/>
    <xf numFmtId="172" fontId="0" fillId="0" borderId="15" xfId="11" applyNumberFormat="1" applyFont="1" applyFill="1" applyBorder="1"/>
    <xf numFmtId="164" fontId="11" fillId="16" borderId="15" xfId="8" applyNumberFormat="1" applyFont="1" applyFill="1" applyBorder="1"/>
    <xf numFmtId="9" fontId="11" fillId="7" borderId="34" xfId="8" applyFont="1" applyFill="1" applyBorder="1"/>
    <xf numFmtId="0" fontId="13" fillId="7" borderId="0" xfId="6" applyFont="1" applyFill="1" applyBorder="1"/>
    <xf numFmtId="0" fontId="11" fillId="8" borderId="0" xfId="6" applyFont="1" applyFill="1" applyBorder="1"/>
    <xf numFmtId="0" fontId="11" fillId="6" borderId="0" xfId="6" applyFont="1" applyFill="1" applyBorder="1" applyAlignment="1"/>
    <xf numFmtId="0" fontId="13" fillId="2" borderId="0" xfId="0" applyFont="1" applyFill="1" applyBorder="1" applyAlignment="1"/>
    <xf numFmtId="0" fontId="11" fillId="2" borderId="0" xfId="0" applyFont="1" applyFill="1" applyBorder="1" applyAlignment="1"/>
    <xf numFmtId="9" fontId="64" fillId="8" borderId="43" xfId="8" applyFont="1" applyFill="1" applyBorder="1" applyAlignment="1">
      <alignment horizontal="center" vertical="center" wrapText="1"/>
    </xf>
    <xf numFmtId="0" fontId="11" fillId="2" borderId="0" xfId="6" applyFont="1" applyFill="1" applyBorder="1" applyAlignment="1"/>
    <xf numFmtId="43" fontId="46" fillId="2" borderId="0" xfId="6" applyNumberFormat="1" applyFont="1" applyFill="1" applyBorder="1"/>
    <xf numFmtId="43" fontId="11" fillId="2" borderId="0" xfId="0" applyNumberFormat="1" applyFont="1" applyFill="1" applyBorder="1"/>
    <xf numFmtId="0" fontId="8" fillId="8" borderId="10" xfId="6" applyFont="1" applyFill="1" applyBorder="1"/>
    <xf numFmtId="0" fontId="68" fillId="8" borderId="10" xfId="6" applyFont="1" applyFill="1" applyBorder="1"/>
    <xf numFmtId="0" fontId="13" fillId="8" borderId="0" xfId="6" applyFont="1" applyFill="1"/>
    <xf numFmtId="4" fontId="46" fillId="8" borderId="45" xfId="6" applyNumberFormat="1" applyFill="1" applyBorder="1" applyAlignment="1">
      <alignment horizontal="center"/>
    </xf>
    <xf numFmtId="4" fontId="46" fillId="8" borderId="46" xfId="6" applyNumberFormat="1" applyFill="1" applyBorder="1" applyAlignment="1">
      <alignment horizontal="center"/>
    </xf>
    <xf numFmtId="3" fontId="46" fillId="8" borderId="46" xfId="6" applyNumberFormat="1" applyFill="1" applyBorder="1" applyAlignment="1">
      <alignment horizontal="center"/>
    </xf>
    <xf numFmtId="0" fontId="11" fillId="8" borderId="16" xfId="6" applyFont="1" applyFill="1" applyBorder="1"/>
    <xf numFmtId="0" fontId="11" fillId="2" borderId="0" xfId="6" applyFont="1" applyFill="1" applyBorder="1"/>
    <xf numFmtId="164" fontId="70" fillId="2" borderId="0" xfId="6" applyNumberFormat="1" applyFont="1" applyFill="1" applyBorder="1"/>
    <xf numFmtId="0" fontId="70" fillId="2" borderId="0" xfId="6" applyFont="1" applyFill="1" applyBorder="1"/>
    <xf numFmtId="164" fontId="70" fillId="2" borderId="0" xfId="6" applyNumberFormat="1" applyFont="1" applyFill="1" applyBorder="1" applyAlignment="1"/>
    <xf numFmtId="2" fontId="70" fillId="2" borderId="0" xfId="6" applyNumberFormat="1" applyFont="1" applyFill="1" applyBorder="1"/>
    <xf numFmtId="0" fontId="13" fillId="3" borderId="0" xfId="6" applyFont="1" applyFill="1" applyBorder="1" applyAlignment="1"/>
    <xf numFmtId="0" fontId="11" fillId="3" borderId="0" xfId="6" applyFont="1" applyFill="1" applyBorder="1" applyAlignment="1"/>
    <xf numFmtId="0" fontId="11" fillId="3" borderId="0" xfId="6" applyFont="1" applyFill="1" applyBorder="1"/>
    <xf numFmtId="168" fontId="70" fillId="2" borderId="0" xfId="6" applyNumberFormat="1" applyFont="1" applyFill="1" applyBorder="1" applyAlignment="1"/>
    <xf numFmtId="0" fontId="14" fillId="2" borderId="0" xfId="6" applyFont="1" applyFill="1" applyBorder="1" applyAlignment="1">
      <alignment horizontal="center" wrapText="1"/>
    </xf>
    <xf numFmtId="0" fontId="14" fillId="2" borderId="0" xfId="6" applyFont="1" applyFill="1" applyBorder="1" applyAlignment="1">
      <alignment horizontal="center"/>
    </xf>
    <xf numFmtId="0" fontId="70" fillId="6" borderId="0" xfId="6" applyFont="1" applyFill="1" applyBorder="1"/>
    <xf numFmtId="0" fontId="70" fillId="2" borderId="0" xfId="6" applyFont="1" applyFill="1" applyBorder="1" applyAlignment="1"/>
    <xf numFmtId="166" fontId="70" fillId="11" borderId="0" xfId="6" applyNumberFormat="1" applyFont="1" applyFill="1" applyBorder="1" applyAlignment="1"/>
    <xf numFmtId="164" fontId="70" fillId="6" borderId="0" xfId="6" applyNumberFormat="1" applyFont="1" applyFill="1" applyBorder="1" applyAlignment="1"/>
    <xf numFmtId="164" fontId="70" fillId="11" borderId="0" xfId="6" applyNumberFormat="1" applyFont="1" applyFill="1" applyBorder="1" applyAlignment="1"/>
    <xf numFmtId="1" fontId="70" fillId="11" borderId="0" xfId="6" applyNumberFormat="1" applyFont="1" applyFill="1" applyBorder="1" applyAlignment="1"/>
    <xf numFmtId="0" fontId="11" fillId="6" borderId="0" xfId="6" applyFont="1" applyFill="1" applyBorder="1"/>
    <xf numFmtId="0" fontId="70" fillId="11" borderId="0" xfId="6" applyFont="1" applyFill="1" applyBorder="1" applyAlignment="1"/>
    <xf numFmtId="1" fontId="70" fillId="9" borderId="0" xfId="6" applyNumberFormat="1" applyFont="1" applyFill="1" applyBorder="1" applyAlignment="1"/>
    <xf numFmtId="0" fontId="64" fillId="6" borderId="0" xfId="6" applyFont="1" applyFill="1" applyBorder="1" applyAlignment="1"/>
    <xf numFmtId="37" fontId="70" fillId="8" borderId="0" xfId="6" applyNumberFormat="1" applyFont="1" applyFill="1" applyBorder="1" applyAlignment="1"/>
    <xf numFmtId="37" fontId="11" fillId="8" borderId="0" xfId="6" applyNumberFormat="1" applyFont="1" applyFill="1" applyBorder="1" applyAlignment="1"/>
    <xf numFmtId="9" fontId="70" fillId="6" borderId="0" xfId="6" applyNumberFormat="1" applyFont="1" applyFill="1" applyBorder="1" applyAlignment="1"/>
    <xf numFmtId="9" fontId="11" fillId="2" borderId="0" xfId="6" applyNumberFormat="1" applyFont="1" applyFill="1" applyBorder="1" applyAlignment="1"/>
    <xf numFmtId="9" fontId="11" fillId="2" borderId="0" xfId="6" applyNumberFormat="1" applyFont="1" applyFill="1" applyBorder="1"/>
    <xf numFmtId="9" fontId="70" fillId="2" borderId="0" xfId="6" applyNumberFormat="1" applyFont="1" applyFill="1" applyBorder="1" applyAlignment="1"/>
    <xf numFmtId="0" fontId="11" fillId="7" borderId="0" xfId="6" applyFont="1" applyFill="1" applyBorder="1"/>
    <xf numFmtId="37" fontId="70" fillId="9" borderId="0" xfId="6" applyNumberFormat="1" applyFont="1" applyFill="1" applyBorder="1" applyAlignment="1"/>
    <xf numFmtId="9" fontId="70" fillId="8" borderId="0" xfId="6" applyNumberFormat="1" applyFont="1" applyFill="1"/>
    <xf numFmtId="0" fontId="70" fillId="8" borderId="0" xfId="6" applyFont="1" applyFill="1" applyBorder="1"/>
    <xf numFmtId="0" fontId="70" fillId="6" borderId="0" xfId="6" applyFont="1" applyFill="1" applyBorder="1" applyAlignment="1"/>
    <xf numFmtId="37" fontId="70" fillId="6" borderId="0" xfId="6" applyNumberFormat="1" applyFont="1" applyFill="1" applyBorder="1"/>
    <xf numFmtId="37" fontId="70" fillId="6" borderId="0" xfId="6" applyNumberFormat="1" applyFont="1" applyFill="1" applyBorder="1" applyAlignment="1"/>
    <xf numFmtId="0" fontId="13" fillId="8" borderId="0" xfId="6" applyFont="1" applyFill="1" applyBorder="1"/>
    <xf numFmtId="1" fontId="64" fillId="8" borderId="0" xfId="6" applyNumberFormat="1" applyFont="1" applyFill="1" applyBorder="1"/>
    <xf numFmtId="37" fontId="70" fillId="2" borderId="0" xfId="6" applyNumberFormat="1" applyFont="1" applyFill="1" applyBorder="1" applyAlignment="1"/>
    <xf numFmtId="0" fontId="70" fillId="8" borderId="0" xfId="6" applyFont="1" applyFill="1" applyBorder="1" applyAlignment="1"/>
    <xf numFmtId="165" fontId="70" fillId="8" borderId="0" xfId="6" applyNumberFormat="1" applyFont="1" applyFill="1" applyBorder="1" applyAlignment="1"/>
    <xf numFmtId="9" fontId="70" fillId="10" borderId="0" xfId="8" applyFont="1" applyFill="1" applyBorder="1" applyAlignment="1"/>
    <xf numFmtId="167" fontId="70" fillId="10" borderId="0" xfId="2" applyNumberFormat="1" applyFont="1" applyFill="1" applyBorder="1" applyAlignment="1"/>
    <xf numFmtId="1" fontId="70" fillId="10" borderId="0" xfId="6" applyNumberFormat="1" applyFont="1" applyFill="1" applyBorder="1" applyAlignment="1"/>
    <xf numFmtId="0" fontId="11" fillId="3" borderId="0" xfId="0" applyFont="1" applyFill="1" applyBorder="1"/>
    <xf numFmtId="164" fontId="70" fillId="2" borderId="0" xfId="0" applyNumberFormat="1" applyFont="1" applyFill="1" applyBorder="1"/>
    <xf numFmtId="0" fontId="70" fillId="2" borderId="0" xfId="0" applyFont="1" applyFill="1" applyBorder="1"/>
    <xf numFmtId="164" fontId="70" fillId="2" borderId="0" xfId="0" applyNumberFormat="1" applyFont="1" applyFill="1" applyBorder="1" applyAlignment="1"/>
    <xf numFmtId="2" fontId="70" fillId="2" borderId="0" xfId="0" applyNumberFormat="1" applyFont="1" applyFill="1" applyBorder="1"/>
    <xf numFmtId="0" fontId="13" fillId="3" borderId="0" xfId="0" applyFont="1" applyFill="1" applyBorder="1" applyAlignment="1"/>
    <xf numFmtId="0" fontId="11" fillId="3" borderId="0" xfId="0" applyFont="1" applyFill="1" applyBorder="1" applyAlignment="1"/>
    <xf numFmtId="168" fontId="70" fillId="2" borderId="0" xfId="0" applyNumberFormat="1" applyFont="1" applyFill="1" applyBorder="1" applyAlignment="1"/>
    <xf numFmtId="0" fontId="14" fillId="2" borderId="0" xfId="0" applyFont="1" applyFill="1" applyBorder="1" applyAlignment="1">
      <alignment horizontal="center" wrapText="1"/>
    </xf>
    <xf numFmtId="0" fontId="70" fillId="2" borderId="0" xfId="0" applyFont="1" applyFill="1" applyBorder="1" applyAlignment="1"/>
    <xf numFmtId="0" fontId="64" fillId="2" borderId="0" xfId="0" applyFont="1" applyFill="1" applyBorder="1"/>
    <xf numFmtId="0" fontId="70" fillId="0" borderId="0" xfId="0" applyFont="1" applyFill="1" applyBorder="1"/>
    <xf numFmtId="0" fontId="70" fillId="6" borderId="0" xfId="0" applyFont="1" applyFill="1" applyBorder="1" applyAlignment="1"/>
    <xf numFmtId="0" fontId="11" fillId="6" borderId="0" xfId="0" applyFont="1" applyFill="1" applyBorder="1" applyAlignment="1"/>
    <xf numFmtId="2" fontId="70" fillId="6" borderId="0" xfId="0" applyNumberFormat="1" applyFont="1" applyFill="1" applyBorder="1" applyAlignment="1"/>
    <xf numFmtId="0" fontId="64" fillId="6" borderId="0" xfId="0" applyFont="1" applyFill="1" applyBorder="1" applyAlignment="1"/>
    <xf numFmtId="166" fontId="70" fillId="2" borderId="0" xfId="0" applyNumberFormat="1" applyFont="1" applyFill="1" applyBorder="1" applyAlignment="1"/>
    <xf numFmtId="164" fontId="70" fillId="6" borderId="0" xfId="0" applyNumberFormat="1" applyFont="1" applyFill="1" applyBorder="1" applyAlignment="1"/>
    <xf numFmtId="10" fontId="11" fillId="2" borderId="0" xfId="0" applyNumberFormat="1" applyFont="1" applyFill="1" applyBorder="1" applyAlignment="1"/>
    <xf numFmtId="164" fontId="11" fillId="2" borderId="0" xfId="0" applyNumberFormat="1" applyFont="1" applyFill="1" applyBorder="1" applyAlignment="1"/>
    <xf numFmtId="164" fontId="70" fillId="11" borderId="0" xfId="0" applyNumberFormat="1" applyFont="1" applyFill="1" applyBorder="1" applyAlignment="1"/>
    <xf numFmtId="164" fontId="64" fillId="11" borderId="0" xfId="0" applyNumberFormat="1" applyFont="1" applyFill="1" applyBorder="1" applyAlignment="1"/>
    <xf numFmtId="37" fontId="70" fillId="6" borderId="0" xfId="0" applyNumberFormat="1" applyFont="1" applyFill="1" applyBorder="1" applyAlignment="1"/>
    <xf numFmtId="0" fontId="70" fillId="11" borderId="0" xfId="0" applyFont="1" applyFill="1" applyBorder="1" applyAlignment="1"/>
    <xf numFmtId="1" fontId="70" fillId="9" borderId="0" xfId="0" applyNumberFormat="1" applyFont="1" applyFill="1" applyBorder="1" applyAlignment="1"/>
    <xf numFmtId="1" fontId="64" fillId="9" borderId="0" xfId="0" applyNumberFormat="1" applyFont="1" applyFill="1" applyBorder="1" applyAlignment="1"/>
    <xf numFmtId="9" fontId="11" fillId="2" borderId="0" xfId="0" applyNumberFormat="1" applyFont="1" applyFill="1" applyBorder="1"/>
    <xf numFmtId="37" fontId="64" fillId="2" borderId="0" xfId="0" applyNumberFormat="1" applyFont="1" applyFill="1" applyBorder="1" applyAlignment="1"/>
    <xf numFmtId="9" fontId="11" fillId="2" borderId="0" xfId="0" applyNumberFormat="1" applyFont="1" applyFill="1" applyBorder="1" applyAlignment="1"/>
    <xf numFmtId="37" fontId="64" fillId="6" borderId="0" xfId="0" applyNumberFormat="1" applyFont="1" applyFill="1" applyBorder="1" applyAlignment="1"/>
    <xf numFmtId="37" fontId="70" fillId="2" borderId="0" xfId="0" applyNumberFormat="1" applyFont="1" applyFill="1" applyBorder="1" applyAlignment="1"/>
    <xf numFmtId="9" fontId="70" fillId="2" borderId="0" xfId="0" applyNumberFormat="1" applyFont="1" applyFill="1" applyBorder="1" applyAlignment="1"/>
    <xf numFmtId="0" fontId="13" fillId="7" borderId="0" xfId="0" applyFont="1" applyFill="1" applyBorder="1"/>
    <xf numFmtId="0" fontId="11" fillId="7" borderId="0" xfId="0" applyFont="1" applyFill="1" applyBorder="1"/>
    <xf numFmtId="37" fontId="70" fillId="9" borderId="0" xfId="0" applyNumberFormat="1" applyFont="1" applyFill="1" applyBorder="1" applyAlignment="1"/>
    <xf numFmtId="37" fontId="64" fillId="9" borderId="0" xfId="0" applyNumberFormat="1" applyFont="1" applyFill="1" applyBorder="1" applyAlignment="1"/>
    <xf numFmtId="37" fontId="11" fillId="9" borderId="0" xfId="0" applyNumberFormat="1" applyFont="1" applyFill="1" applyBorder="1" applyAlignment="1"/>
    <xf numFmtId="37" fontId="70" fillId="8" borderId="0" xfId="0" applyNumberFormat="1" applyFont="1" applyFill="1" applyBorder="1" applyAlignment="1"/>
    <xf numFmtId="0" fontId="11" fillId="5" borderId="0" xfId="0" applyFont="1" applyFill="1" applyBorder="1" applyAlignment="1"/>
    <xf numFmtId="0" fontId="64" fillId="2" borderId="0" xfId="0" applyFont="1" applyFill="1" applyBorder="1" applyAlignment="1"/>
    <xf numFmtId="1" fontId="64" fillId="6" borderId="0" xfId="0" applyNumberFormat="1" applyFont="1" applyFill="1" applyBorder="1" applyAlignment="1"/>
    <xf numFmtId="1" fontId="64" fillId="2" borderId="0" xfId="0" applyNumberFormat="1" applyFont="1" applyFill="1" applyBorder="1" applyAlignment="1"/>
    <xf numFmtId="167" fontId="70" fillId="2" borderId="0" xfId="1" applyNumberFormat="1" applyFont="1" applyFill="1" applyBorder="1" applyAlignment="1"/>
    <xf numFmtId="0" fontId="70" fillId="10" borderId="0" xfId="0" applyFont="1" applyFill="1" applyBorder="1" applyAlignment="1"/>
    <xf numFmtId="0" fontId="11" fillId="2" borderId="0" xfId="5" applyFont="1" applyFill="1" applyBorder="1"/>
    <xf numFmtId="165" fontId="70" fillId="10" borderId="0" xfId="0" applyNumberFormat="1" applyFont="1" applyFill="1" applyBorder="1" applyAlignment="1"/>
    <xf numFmtId="167" fontId="70" fillId="10" borderId="0" xfId="1" applyNumberFormat="1" applyFont="1" applyFill="1" applyBorder="1" applyAlignment="1"/>
    <xf numFmtId="165" fontId="11" fillId="10" borderId="0" xfId="0" applyNumberFormat="1" applyFont="1" applyFill="1" applyBorder="1" applyAlignment="1"/>
    <xf numFmtId="1" fontId="70" fillId="10" borderId="0" xfId="0" applyNumberFormat="1" applyFont="1" applyFill="1" applyBorder="1" applyAlignment="1"/>
    <xf numFmtId="2" fontId="64" fillId="11" borderId="0" xfId="0" applyNumberFormat="1" applyFont="1" applyFill="1" applyBorder="1" applyAlignment="1"/>
    <xf numFmtId="166" fontId="70" fillId="8" borderId="0" xfId="0" applyNumberFormat="1" applyFont="1" applyFill="1" applyBorder="1" applyAlignment="1"/>
    <xf numFmtId="166" fontId="64" fillId="11" borderId="0" xfId="0" applyNumberFormat="1" applyFont="1" applyFill="1" applyBorder="1" applyAlignment="1"/>
    <xf numFmtId="166" fontId="70" fillId="8" borderId="0" xfId="0" applyNumberFormat="1" applyFont="1" applyFill="1" applyBorder="1"/>
    <xf numFmtId="167" fontId="70" fillId="8" borderId="0" xfId="1" applyNumberFormat="1" applyFont="1" applyFill="1" applyBorder="1" applyAlignment="1"/>
    <xf numFmtId="166" fontId="64" fillId="6" borderId="0" xfId="0" applyNumberFormat="1" applyFont="1" applyFill="1" applyBorder="1" applyAlignment="1"/>
    <xf numFmtId="0" fontId="64" fillId="6" borderId="0" xfId="0" applyFont="1" applyFill="1" applyBorder="1"/>
    <xf numFmtId="0" fontId="64" fillId="2" borderId="0" xfId="6" applyFont="1" applyFill="1" applyBorder="1"/>
    <xf numFmtId="0" fontId="70" fillId="9" borderId="0" xfId="6" applyFont="1" applyFill="1" applyBorder="1"/>
    <xf numFmtId="0" fontId="64" fillId="2" borderId="0" xfId="6" applyFont="1" applyFill="1" applyBorder="1" applyAlignment="1"/>
    <xf numFmtId="166" fontId="64" fillId="11" borderId="0" xfId="6" applyNumberFormat="1" applyFont="1" applyFill="1" applyBorder="1" applyAlignment="1"/>
    <xf numFmtId="0" fontId="64" fillId="11" borderId="0" xfId="6" applyFont="1" applyFill="1" applyBorder="1" applyAlignment="1"/>
    <xf numFmtId="10" fontId="11" fillId="2" borderId="0" xfId="6" applyNumberFormat="1" applyFont="1" applyFill="1" applyBorder="1" applyAlignment="1"/>
    <xf numFmtId="164" fontId="11" fillId="2" borderId="0" xfId="6" applyNumberFormat="1" applyFont="1" applyFill="1" applyBorder="1" applyAlignment="1"/>
    <xf numFmtId="164" fontId="70" fillId="5" borderId="0" xfId="6" applyNumberFormat="1" applyFont="1" applyFill="1" applyBorder="1" applyAlignment="1"/>
    <xf numFmtId="164" fontId="64" fillId="11" borderId="0" xfId="6" applyNumberFormat="1" applyFont="1" applyFill="1" applyBorder="1" applyAlignment="1"/>
    <xf numFmtId="166" fontId="70" fillId="8" borderId="0" xfId="6" applyNumberFormat="1" applyFont="1" applyFill="1" applyBorder="1"/>
    <xf numFmtId="1" fontId="64" fillId="9" borderId="0" xfId="6" applyNumberFormat="1" applyFont="1" applyFill="1" applyBorder="1" applyAlignment="1"/>
    <xf numFmtId="37" fontId="64" fillId="8" borderId="0" xfId="6" applyNumberFormat="1" applyFont="1" applyFill="1" applyBorder="1" applyAlignment="1"/>
    <xf numFmtId="37" fontId="64" fillId="6" borderId="0" xfId="6" applyNumberFormat="1" applyFont="1" applyFill="1" applyBorder="1"/>
    <xf numFmtId="37" fontId="64" fillId="6" borderId="0" xfId="6" applyNumberFormat="1" applyFont="1" applyFill="1" applyBorder="1" applyAlignment="1"/>
    <xf numFmtId="167" fontId="70" fillId="9" borderId="0" xfId="6" applyNumberFormat="1" applyFont="1" applyFill="1" applyBorder="1" applyAlignment="1"/>
    <xf numFmtId="37" fontId="64" fillId="9" borderId="0" xfId="6" applyNumberFormat="1" applyFont="1" applyFill="1" applyBorder="1" applyAlignment="1"/>
    <xf numFmtId="1" fontId="70" fillId="2" borderId="0" xfId="6" applyNumberFormat="1" applyFont="1" applyFill="1" applyBorder="1" applyAlignment="1"/>
    <xf numFmtId="0" fontId="11" fillId="5" borderId="0" xfId="6" applyFont="1" applyFill="1" applyBorder="1" applyAlignment="1"/>
    <xf numFmtId="1" fontId="64" fillId="0" borderId="0" xfId="6" applyNumberFormat="1" applyFont="1" applyFill="1" applyBorder="1" applyAlignment="1"/>
    <xf numFmtId="0" fontId="33" fillId="2" borderId="0" xfId="6" applyFont="1" applyFill="1" applyBorder="1" applyAlignment="1"/>
    <xf numFmtId="37" fontId="11" fillId="9" borderId="0" xfId="6" applyNumberFormat="1" applyFont="1" applyFill="1" applyBorder="1" applyAlignment="1"/>
    <xf numFmtId="1" fontId="64" fillId="2" borderId="0" xfId="6" applyNumberFormat="1" applyFont="1" applyFill="1" applyBorder="1" applyAlignment="1"/>
    <xf numFmtId="1" fontId="64" fillId="6" borderId="0" xfId="6" applyNumberFormat="1" applyFont="1" applyFill="1" applyBorder="1" applyAlignment="1"/>
    <xf numFmtId="1" fontId="70" fillId="11" borderId="0" xfId="0" applyNumberFormat="1" applyFont="1" applyFill="1" applyBorder="1"/>
    <xf numFmtId="2" fontId="70" fillId="2" borderId="0" xfId="0" applyNumberFormat="1" applyFont="1" applyFill="1" applyBorder="1" applyAlignment="1"/>
    <xf numFmtId="9" fontId="64" fillId="2" borderId="0" xfId="0" applyNumberFormat="1" applyFont="1" applyFill="1" applyBorder="1" applyAlignment="1"/>
    <xf numFmtId="0" fontId="70" fillId="8" borderId="0" xfId="0" applyFont="1" applyFill="1" applyBorder="1" applyAlignment="1"/>
    <xf numFmtId="165" fontId="70" fillId="8" borderId="0" xfId="0" applyNumberFormat="1" applyFont="1" applyFill="1" applyBorder="1" applyAlignment="1"/>
    <xf numFmtId="0" fontId="70" fillId="6" borderId="0" xfId="0" applyFont="1" applyFill="1" applyBorder="1"/>
    <xf numFmtId="1" fontId="70" fillId="2" borderId="0" xfId="0" applyNumberFormat="1" applyFont="1" applyFill="1" applyBorder="1" applyAlignment="1"/>
    <xf numFmtId="1" fontId="70" fillId="11" borderId="0" xfId="0" applyNumberFormat="1" applyFont="1" applyFill="1" applyBorder="1" applyAlignment="1"/>
    <xf numFmtId="1" fontId="70" fillId="6" borderId="0" xfId="0" applyNumberFormat="1" applyFont="1" applyFill="1" applyBorder="1" applyAlignment="1"/>
    <xf numFmtId="0" fontId="33" fillId="3" borderId="0" xfId="0" applyFont="1" applyFill="1" applyBorder="1"/>
    <xf numFmtId="3" fontId="70" fillId="6" borderId="0" xfId="0" applyNumberFormat="1" applyFont="1" applyFill="1" applyBorder="1" applyAlignment="1"/>
    <xf numFmtId="10" fontId="11" fillId="6" borderId="0" xfId="6" applyNumberFormat="1" applyFont="1" applyFill="1" applyBorder="1" applyAlignment="1"/>
    <xf numFmtId="164" fontId="64" fillId="6" borderId="0" xfId="6" applyNumberFormat="1" applyFont="1" applyFill="1" applyBorder="1" applyAlignment="1"/>
    <xf numFmtId="166" fontId="70" fillId="6" borderId="0" xfId="6" applyNumberFormat="1" applyFont="1" applyFill="1" applyBorder="1" applyAlignment="1"/>
    <xf numFmtId="166" fontId="70" fillId="8" borderId="0" xfId="6" applyNumberFormat="1" applyFont="1" applyFill="1" applyBorder="1" applyAlignment="1"/>
    <xf numFmtId="1" fontId="70" fillId="0" borderId="0" xfId="6" applyNumberFormat="1" applyFont="1" applyFill="1" applyBorder="1" applyAlignment="1"/>
    <xf numFmtId="164" fontId="64" fillId="8" borderId="0" xfId="6" applyNumberFormat="1" applyFont="1" applyFill="1" applyBorder="1" applyAlignment="1"/>
    <xf numFmtId="1" fontId="70" fillId="8" borderId="0" xfId="6" applyNumberFormat="1" applyFont="1" applyFill="1" applyBorder="1"/>
    <xf numFmtId="37" fontId="11" fillId="6" borderId="0" xfId="6" applyNumberFormat="1" applyFont="1" applyFill="1" applyBorder="1"/>
    <xf numFmtId="0" fontId="64" fillId="0" borderId="0" xfId="6" applyFont="1" applyFill="1" applyBorder="1" applyAlignment="1"/>
    <xf numFmtId="0" fontId="70" fillId="0" borderId="0" xfId="6" applyFont="1" applyFill="1" applyBorder="1" applyAlignment="1"/>
    <xf numFmtId="167" fontId="70" fillId="8" borderId="0" xfId="2" applyNumberFormat="1" applyFont="1" applyFill="1" applyBorder="1"/>
    <xf numFmtId="0" fontId="70" fillId="8" borderId="0" xfId="6" applyFont="1" applyFill="1"/>
    <xf numFmtId="0" fontId="11" fillId="15" borderId="0" xfId="6" applyFont="1" applyFill="1"/>
    <xf numFmtId="0" fontId="64" fillId="8" borderId="0" xfId="6" applyFont="1" applyFill="1"/>
    <xf numFmtId="164" fontId="70" fillId="8" borderId="0" xfId="6" applyNumberFormat="1" applyFont="1" applyFill="1"/>
    <xf numFmtId="2" fontId="70" fillId="8" borderId="0" xfId="6" applyNumberFormat="1" applyFont="1" applyFill="1"/>
    <xf numFmtId="0" fontId="11" fillId="8" borderId="0" xfId="6" applyFont="1" applyFill="1" applyAlignment="1">
      <alignment horizontal="right"/>
    </xf>
    <xf numFmtId="9" fontId="11" fillId="8" borderId="0" xfId="6" applyNumberFormat="1" applyFont="1" applyFill="1"/>
    <xf numFmtId="43" fontId="70" fillId="8" borderId="0" xfId="6" applyNumberFormat="1" applyFont="1" applyFill="1"/>
    <xf numFmtId="0" fontId="11" fillId="6" borderId="0" xfId="0" applyFont="1" applyFill="1" applyBorder="1" applyAlignment="1">
      <alignment horizontal="left" indent="2"/>
    </xf>
    <xf numFmtId="0" fontId="13" fillId="7" borderId="0" xfId="0" applyFont="1" applyFill="1" applyBorder="1" applyAlignment="1"/>
    <xf numFmtId="0" fontId="11" fillId="4" borderId="0" xfId="0" applyFont="1" applyFill="1" applyBorder="1"/>
    <xf numFmtId="0" fontId="33" fillId="4" borderId="1" xfId="0" applyFont="1" applyFill="1" applyBorder="1"/>
    <xf numFmtId="166" fontId="70" fillId="11" borderId="0" xfId="0" applyNumberFormat="1" applyFont="1" applyFill="1" applyBorder="1" applyAlignment="1"/>
    <xf numFmtId="0" fontId="11" fillId="2" borderId="0" xfId="0" applyFont="1" applyFill="1" applyBorder="1" applyAlignment="1">
      <alignment horizontal="left" indent="2"/>
    </xf>
    <xf numFmtId="170" fontId="11" fillId="3" borderId="0" xfId="0" applyNumberFormat="1" applyFont="1" applyFill="1" applyBorder="1"/>
    <xf numFmtId="164" fontId="11" fillId="2" borderId="0" xfId="8" applyNumberFormat="1" applyFont="1" applyFill="1" applyBorder="1"/>
    <xf numFmtId="43" fontId="70" fillId="11" borderId="0" xfId="1" applyFont="1" applyFill="1" applyBorder="1" applyAlignment="1"/>
    <xf numFmtId="167" fontId="70" fillId="11" borderId="0" xfId="1" applyNumberFormat="1" applyFont="1" applyFill="1" applyBorder="1" applyAlignment="1"/>
    <xf numFmtId="0" fontId="61" fillId="3" borderId="0" xfId="0" applyFont="1" applyFill="1" applyBorder="1"/>
    <xf numFmtId="0" fontId="13" fillId="4" borderId="0" xfId="0" applyFont="1" applyFill="1" applyBorder="1"/>
    <xf numFmtId="1" fontId="11" fillId="2" borderId="0" xfId="0" applyNumberFormat="1" applyFont="1" applyFill="1" applyBorder="1" applyAlignment="1"/>
    <xf numFmtId="1" fontId="11" fillId="2" borderId="0" xfId="0" applyNumberFormat="1" applyFont="1" applyFill="1" applyBorder="1"/>
    <xf numFmtId="0" fontId="33" fillId="2" borderId="1" xfId="6" applyFont="1" applyFill="1" applyBorder="1" applyAlignment="1"/>
    <xf numFmtId="0" fontId="11" fillId="8" borderId="0" xfId="0" applyFont="1" applyFill="1" applyBorder="1"/>
    <xf numFmtId="9" fontId="70" fillId="8" borderId="0" xfId="0" applyNumberFormat="1" applyFont="1" applyFill="1" applyBorder="1"/>
    <xf numFmtId="165" fontId="71" fillId="10" borderId="0" xfId="0" applyNumberFormat="1" applyFont="1" applyFill="1" applyBorder="1" applyAlignment="1"/>
    <xf numFmtId="0" fontId="0" fillId="15" borderId="0" xfId="6" applyFont="1" applyFill="1"/>
    <xf numFmtId="0" fontId="14" fillId="6" borderId="0" xfId="6" applyFont="1" applyFill="1" applyBorder="1" applyAlignment="1">
      <alignment horizontal="centerContinuous" wrapText="1"/>
    </xf>
    <xf numFmtId="0" fontId="11" fillId="7" borderId="0" xfId="6" applyFont="1" applyFill="1" applyBorder="1" applyAlignment="1">
      <alignment horizontal="centerContinuous"/>
    </xf>
    <xf numFmtId="0" fontId="46" fillId="7" borderId="0" xfId="6" applyFont="1" applyFill="1" applyBorder="1" applyAlignment="1">
      <alignment horizontal="centerContinuous"/>
    </xf>
    <xf numFmtId="0" fontId="14" fillId="6" borderId="0" xfId="0" applyFont="1" applyFill="1" applyBorder="1" applyAlignment="1">
      <alignment horizontal="centerContinuous" wrapText="1"/>
    </xf>
    <xf numFmtId="0" fontId="11" fillId="7" borderId="0" xfId="0" applyFont="1" applyFill="1" applyBorder="1" applyAlignment="1">
      <alignment horizontal="centerContinuous"/>
    </xf>
    <xf numFmtId="0" fontId="12" fillId="7" borderId="0" xfId="0" applyFont="1" applyFill="1" applyBorder="1" applyAlignment="1">
      <alignment horizontal="centerContinuous"/>
    </xf>
    <xf numFmtId="165" fontId="71" fillId="10" borderId="0" xfId="6" applyNumberFormat="1" applyFont="1" applyFill="1" applyBorder="1" applyAlignment="1"/>
    <xf numFmtId="0" fontId="11" fillId="0" borderId="0" xfId="6" applyFont="1"/>
    <xf numFmtId="0" fontId="11" fillId="8" borderId="0" xfId="0" applyFont="1" applyFill="1"/>
    <xf numFmtId="3" fontId="64" fillId="6" borderId="0" xfId="0" applyNumberFormat="1" applyFont="1" applyFill="1" applyBorder="1" applyAlignment="1"/>
    <xf numFmtId="173" fontId="70" fillId="6" borderId="0" xfId="0" applyNumberFormat="1" applyFont="1" applyFill="1" applyBorder="1" applyAlignment="1"/>
    <xf numFmtId="173" fontId="64" fillId="6" borderId="0" xfId="0" applyNumberFormat="1" applyFont="1" applyFill="1" applyBorder="1" applyAlignment="1"/>
    <xf numFmtId="165" fontId="71" fillId="0" borderId="0" xfId="0" applyNumberFormat="1" applyFont="1" applyFill="1" applyBorder="1" applyAlignment="1"/>
    <xf numFmtId="0" fontId="6" fillId="15" borderId="0" xfId="7" applyFont="1" applyFill="1"/>
    <xf numFmtId="0" fontId="72" fillId="8" borderId="47" xfId="3" applyFont="1" applyFill="1" applyBorder="1" applyAlignment="1">
      <alignment horizontal="left" vertical="center" wrapText="1"/>
    </xf>
    <xf numFmtId="0" fontId="72" fillId="8" borderId="48" xfId="3" applyFont="1" applyFill="1" applyBorder="1" applyAlignment="1">
      <alignment horizontal="left" vertical="center" wrapText="1"/>
    </xf>
    <xf numFmtId="0" fontId="72" fillId="8" borderId="49" xfId="3" applyFont="1" applyFill="1" applyBorder="1"/>
    <xf numFmtId="167" fontId="46" fillId="7" borderId="0" xfId="6" applyNumberFormat="1" applyFont="1" applyFill="1" applyBorder="1"/>
    <xf numFmtId="43" fontId="12" fillId="7" borderId="0" xfId="1" applyFont="1" applyFill="1" applyBorder="1"/>
    <xf numFmtId="0" fontId="33" fillId="7" borderId="1" xfId="0" applyFont="1" applyFill="1" applyBorder="1"/>
    <xf numFmtId="9" fontId="12" fillId="3" borderId="0" xfId="8" applyFont="1" applyFill="1" applyBorder="1"/>
    <xf numFmtId="0" fontId="63" fillId="3" borderId="0" xfId="0" applyFont="1" applyFill="1" applyBorder="1"/>
    <xf numFmtId="9" fontId="11" fillId="0" borderId="15" xfId="11" applyNumberFormat="1" applyFont="1" applyFill="1" applyBorder="1"/>
    <xf numFmtId="0" fontId="11" fillId="14" borderId="0" xfId="0" applyFont="1" applyFill="1" applyBorder="1" applyAlignment="1"/>
    <xf numFmtId="9" fontId="70" fillId="14" borderId="0" xfId="0" applyNumberFormat="1" applyFont="1" applyFill="1" applyBorder="1" applyAlignment="1"/>
    <xf numFmtId="9" fontId="11" fillId="14" borderId="0" xfId="0" applyNumberFormat="1" applyFont="1" applyFill="1" applyBorder="1" applyAlignment="1"/>
    <xf numFmtId="9" fontId="11" fillId="14" borderId="0" xfId="0" applyNumberFormat="1" applyFont="1" applyFill="1" applyBorder="1"/>
    <xf numFmtId="9" fontId="11" fillId="16" borderId="15" xfId="8" applyNumberFormat="1" applyFont="1" applyFill="1" applyBorder="1"/>
    <xf numFmtId="43" fontId="11" fillId="7" borderId="12" xfId="1" applyFont="1" applyFill="1" applyBorder="1"/>
    <xf numFmtId="43" fontId="11" fillId="7" borderId="15" xfId="1" applyFont="1" applyFill="1" applyBorder="1"/>
    <xf numFmtId="43" fontId="11" fillId="0" borderId="15" xfId="1" applyFont="1" applyFill="1" applyBorder="1"/>
    <xf numFmtId="43" fontId="11" fillId="16" borderId="15" xfId="1" applyFont="1" applyFill="1" applyBorder="1"/>
    <xf numFmtId="43" fontId="11" fillId="7" borderId="34" xfId="1" applyFont="1" applyFill="1" applyBorder="1"/>
    <xf numFmtId="9" fontId="11" fillId="16" borderId="15" xfId="8" applyFont="1" applyFill="1" applyBorder="1"/>
    <xf numFmtId="9" fontId="0" fillId="8" borderId="34" xfId="8" applyFont="1" applyFill="1" applyBorder="1"/>
    <xf numFmtId="0" fontId="11" fillId="7" borderId="0" xfId="11" applyFont="1" applyFill="1" applyBorder="1"/>
    <xf numFmtId="0" fontId="13" fillId="7" borderId="0" xfId="11" applyFont="1" applyFill="1" applyBorder="1"/>
    <xf numFmtId="38" fontId="64" fillId="8" borderId="40" xfId="1" applyNumberFormat="1" applyFont="1" applyFill="1" applyBorder="1" applyAlignment="1">
      <alignment horizontal="center" vertical="center" wrapText="1"/>
    </xf>
    <xf numFmtId="174" fontId="0" fillId="8" borderId="11" xfId="11" applyNumberFormat="1" applyFont="1" applyFill="1" applyBorder="1"/>
    <xf numFmtId="174" fontId="0" fillId="8" borderId="15" xfId="11" applyNumberFormat="1" applyFont="1" applyFill="1" applyBorder="1"/>
    <xf numFmtId="174" fontId="0" fillId="0" borderId="11" xfId="11" applyNumberFormat="1" applyFont="1" applyFill="1" applyBorder="1"/>
    <xf numFmtId="174" fontId="0" fillId="0" borderId="15" xfId="11" applyNumberFormat="1" applyFont="1" applyFill="1" applyBorder="1"/>
    <xf numFmtId="174" fontId="0" fillId="13" borderId="11" xfId="11" applyNumberFormat="1" applyFont="1" applyFill="1" applyBorder="1"/>
    <xf numFmtId="174" fontId="0" fillId="13" borderId="15" xfId="11" applyNumberFormat="1" applyFont="1" applyFill="1" applyBorder="1"/>
    <xf numFmtId="174" fontId="0" fillId="8" borderId="36" xfId="11" applyNumberFormat="1" applyFont="1" applyFill="1" applyBorder="1"/>
    <xf numFmtId="174" fontId="0" fillId="8" borderId="34" xfId="11" applyNumberFormat="1" applyFont="1" applyFill="1" applyBorder="1"/>
    <xf numFmtId="174" fontId="0" fillId="8" borderId="13" xfId="11" applyNumberFormat="1" applyFont="1" applyFill="1" applyBorder="1"/>
    <xf numFmtId="174" fontId="0" fillId="8" borderId="12" xfId="11" applyNumberFormat="1" applyFont="1" applyFill="1" applyBorder="1"/>
    <xf numFmtId="9" fontId="11" fillId="8" borderId="35" xfId="8" applyFont="1" applyFill="1" applyBorder="1"/>
    <xf numFmtId="9" fontId="11" fillId="8" borderId="5" xfId="8" applyFont="1" applyFill="1" applyBorder="1"/>
    <xf numFmtId="9" fontId="11" fillId="8" borderId="36" xfId="8" applyFont="1" applyFill="1" applyBorder="1"/>
    <xf numFmtId="9" fontId="11" fillId="13" borderId="5" xfId="8" applyFont="1" applyFill="1" applyBorder="1"/>
    <xf numFmtId="174" fontId="0" fillId="8" borderId="32" xfId="11" applyNumberFormat="1" applyFont="1" applyFill="1" applyBorder="1"/>
    <xf numFmtId="174" fontId="0" fillId="8" borderId="1" xfId="11" applyNumberFormat="1" applyFont="1" applyFill="1" applyBorder="1"/>
    <xf numFmtId="174" fontId="0" fillId="13" borderId="1" xfId="11" applyNumberFormat="1" applyFont="1" applyFill="1" applyBorder="1"/>
    <xf numFmtId="174" fontId="0" fillId="8" borderId="33" xfId="11" applyNumberFormat="1" applyFont="1" applyFill="1" applyBorder="1"/>
    <xf numFmtId="174" fontId="0" fillId="8" borderId="0" xfId="11" applyNumberFormat="1" applyFont="1" applyFill="1" applyBorder="1"/>
    <xf numFmtId="174" fontId="0" fillId="13" borderId="0" xfId="11" applyNumberFormat="1" applyFont="1" applyFill="1" applyBorder="1"/>
    <xf numFmtId="174" fontId="0" fillId="0" borderId="33" xfId="11" applyNumberFormat="1" applyFont="1" applyFill="1" applyBorder="1"/>
    <xf numFmtId="174" fontId="0" fillId="0" borderId="0" xfId="11" applyNumberFormat="1" applyFont="1" applyFill="1" applyBorder="1"/>
    <xf numFmtId="174" fontId="0" fillId="13" borderId="33" xfId="11" applyNumberFormat="1" applyFont="1" applyFill="1" applyBorder="1"/>
    <xf numFmtId="174" fontId="0" fillId="8" borderId="35" xfId="11" applyNumberFormat="1" applyFont="1" applyFill="1" applyBorder="1"/>
    <xf numFmtId="174" fontId="0" fillId="8" borderId="5" xfId="11" applyNumberFormat="1" applyFont="1" applyFill="1" applyBorder="1"/>
    <xf numFmtId="174" fontId="0" fillId="13" borderId="5" xfId="11" applyNumberFormat="1" applyFont="1" applyFill="1" applyBorder="1"/>
    <xf numFmtId="0" fontId="11" fillId="7" borderId="1" xfId="11" applyFont="1" applyFill="1" applyBorder="1" applyAlignment="1">
      <alignment horizontal="centerContinuous" vertical="center" wrapText="1"/>
    </xf>
    <xf numFmtId="0" fontId="0" fillId="0" borderId="1" xfId="0" applyBorder="1" applyAlignment="1">
      <alignment horizontal="centerContinuous"/>
    </xf>
    <xf numFmtId="0" fontId="11" fillId="7" borderId="13" xfId="11" applyFont="1" applyFill="1" applyBorder="1" applyAlignment="1">
      <alignment horizontal="centerContinuous" vertical="center" wrapText="1"/>
    </xf>
    <xf numFmtId="0" fontId="12" fillId="3" borderId="0" xfId="0" applyFont="1" applyFill="1" applyBorder="1" applyAlignment="1"/>
    <xf numFmtId="0" fontId="13" fillId="7" borderId="1" xfId="11" applyFont="1" applyFill="1" applyBorder="1" applyAlignment="1">
      <alignment horizontal="centerContinuous" vertical="center" wrapText="1"/>
    </xf>
    <xf numFmtId="0" fontId="13" fillId="7" borderId="32" xfId="11" applyFont="1" applyFill="1" applyBorder="1" applyAlignment="1">
      <alignment horizontal="centerContinuous" vertical="center" wrapText="1"/>
    </xf>
    <xf numFmtId="0" fontId="11" fillId="3" borderId="12" xfId="0" applyFont="1" applyFill="1" applyBorder="1" applyAlignment="1">
      <alignment horizontal="centerContinuous"/>
    </xf>
    <xf numFmtId="0" fontId="12" fillId="3" borderId="15" xfId="0" applyFont="1" applyFill="1" applyBorder="1" applyAlignment="1">
      <alignment horizontal="centerContinuous"/>
    </xf>
    <xf numFmtId="0" fontId="13" fillId="3" borderId="15" xfId="0" applyFont="1" applyFill="1" applyBorder="1" applyAlignment="1">
      <alignment horizontal="centerContinuous" vertical="center" wrapText="1"/>
    </xf>
    <xf numFmtId="0" fontId="47" fillId="3" borderId="15" xfId="0" applyFont="1" applyFill="1" applyBorder="1" applyAlignment="1">
      <alignment horizontal="centerContinuous"/>
    </xf>
    <xf numFmtId="0" fontId="13" fillId="3" borderId="34" xfId="0" applyFont="1" applyFill="1" applyBorder="1" applyAlignment="1">
      <alignment horizontal="centerContinuous" vertical="center" wrapText="1"/>
    </xf>
    <xf numFmtId="43" fontId="11" fillId="8" borderId="5" xfId="1" applyFont="1" applyFill="1" applyBorder="1"/>
    <xf numFmtId="43" fontId="11" fillId="8" borderId="36" xfId="1" applyFont="1" applyFill="1" applyBorder="1"/>
    <xf numFmtId="43" fontId="11" fillId="7" borderId="5" xfId="1" applyFont="1" applyFill="1" applyBorder="1"/>
    <xf numFmtId="43" fontId="11" fillId="0" borderId="5" xfId="1" applyFont="1" applyFill="1" applyBorder="1"/>
    <xf numFmtId="43" fontId="11" fillId="16" borderId="5" xfId="1" applyFont="1" applyFill="1" applyBorder="1"/>
    <xf numFmtId="43" fontId="11" fillId="7" borderId="35" xfId="1" applyFont="1" applyFill="1" applyBorder="1"/>
    <xf numFmtId="0" fontId="71" fillId="8" borderId="0" xfId="6" applyFont="1" applyFill="1"/>
    <xf numFmtId="0" fontId="61" fillId="7" borderId="12" xfId="11" applyFont="1" applyFill="1" applyBorder="1" applyAlignment="1">
      <alignment horizontal="center" vertical="center" wrapText="1"/>
    </xf>
    <xf numFmtId="174" fontId="61" fillId="8" borderId="15" xfId="11" applyNumberFormat="1" applyFont="1" applyFill="1" applyBorder="1"/>
    <xf numFmtId="174" fontId="61" fillId="0" borderId="15" xfId="11" applyNumberFormat="1" applyFont="1" applyFill="1" applyBorder="1"/>
    <xf numFmtId="174" fontId="61" fillId="13" borderId="15" xfId="11" applyNumberFormat="1" applyFont="1" applyFill="1" applyBorder="1"/>
    <xf numFmtId="174" fontId="61" fillId="8" borderId="34" xfId="11" applyNumberFormat="1" applyFont="1" applyFill="1" applyBorder="1"/>
    <xf numFmtId="0" fontId="61" fillId="7" borderId="13" xfId="11" applyFont="1" applyFill="1" applyBorder="1" applyAlignment="1">
      <alignment horizontal="center" vertical="center" wrapText="1"/>
    </xf>
    <xf numFmtId="174" fontId="61" fillId="8" borderId="11" xfId="11" applyNumberFormat="1" applyFont="1" applyFill="1" applyBorder="1"/>
    <xf numFmtId="174" fontId="61" fillId="0" borderId="11" xfId="11" applyNumberFormat="1" applyFont="1" applyFill="1" applyBorder="1"/>
    <xf numFmtId="174" fontId="61" fillId="13" borderId="11" xfId="11" applyNumberFormat="1" applyFont="1" applyFill="1" applyBorder="1"/>
    <xf numFmtId="174" fontId="61" fillId="8" borderId="36" xfId="11" applyNumberFormat="1" applyFont="1" applyFill="1" applyBorder="1"/>
    <xf numFmtId="174" fontId="61" fillId="8" borderId="13" xfId="11" applyNumberFormat="1" applyFont="1" applyFill="1" applyBorder="1"/>
    <xf numFmtId="174" fontId="61" fillId="8" borderId="12" xfId="11" applyNumberFormat="1" applyFont="1" applyFill="1" applyBorder="1"/>
    <xf numFmtId="172" fontId="54" fillId="8" borderId="36" xfId="11" applyNumberFormat="1" applyFont="1" applyFill="1" applyBorder="1"/>
    <xf numFmtId="172" fontId="54" fillId="8" borderId="34" xfId="11" applyNumberFormat="1" applyFont="1" applyFill="1" applyBorder="1"/>
    <xf numFmtId="43" fontId="11" fillId="8" borderId="33" xfId="1" applyFont="1" applyFill="1" applyBorder="1"/>
    <xf numFmtId="43" fontId="11" fillId="8" borderId="0" xfId="1" applyFont="1" applyFill="1" applyBorder="1"/>
    <xf numFmtId="0" fontId="13" fillId="7" borderId="32" xfId="11" applyFont="1" applyFill="1" applyBorder="1" applyAlignment="1">
      <alignment horizontal="centerContinuous" vertical="center"/>
    </xf>
    <xf numFmtId="0" fontId="11" fillId="7" borderId="33" xfId="11" applyFont="1" applyFill="1" applyBorder="1" applyAlignment="1">
      <alignment vertical="center" wrapText="1"/>
    </xf>
    <xf numFmtId="0" fontId="11" fillId="7" borderId="0" xfId="11" applyFont="1" applyFill="1" applyBorder="1" applyAlignment="1">
      <alignment vertical="center" wrapText="1"/>
    </xf>
    <xf numFmtId="174" fontId="0" fillId="15" borderId="0" xfId="11" applyNumberFormat="1" applyFont="1" applyFill="1" applyBorder="1"/>
    <xf numFmtId="0" fontId="13" fillId="12" borderId="0" xfId="0" applyFont="1" applyFill="1" applyBorder="1" applyAlignment="1">
      <alignment horizontal="centerContinuous" vertical="center" wrapText="1"/>
    </xf>
    <xf numFmtId="9" fontId="11" fillId="12" borderId="0" xfId="8" applyFont="1" applyFill="1" applyBorder="1"/>
    <xf numFmtId="43" fontId="12" fillId="3" borderId="0" xfId="1" applyFont="1" applyFill="1" applyBorder="1"/>
    <xf numFmtId="0" fontId="0" fillId="8" borderId="1" xfId="0" applyFill="1" applyBorder="1" applyAlignment="1">
      <alignment horizontal="centerContinuous"/>
    </xf>
    <xf numFmtId="43" fontId="11" fillId="7" borderId="36" xfId="1" applyFont="1" applyFill="1" applyBorder="1"/>
    <xf numFmtId="0" fontId="58" fillId="8" borderId="15" xfId="0" applyFont="1" applyFill="1" applyBorder="1" applyAlignment="1">
      <alignment vertical="center" wrapText="1"/>
    </xf>
    <xf numFmtId="0" fontId="70" fillId="8" borderId="52" xfId="0" applyFont="1" applyFill="1" applyBorder="1"/>
    <xf numFmtId="171" fontId="64" fillId="8" borderId="53" xfId="0" applyNumberFormat="1" applyFont="1" applyFill="1" applyBorder="1"/>
    <xf numFmtId="0" fontId="11" fillId="20" borderId="12" xfId="0" applyFont="1" applyFill="1" applyBorder="1"/>
    <xf numFmtId="0" fontId="13" fillId="20" borderId="55" xfId="0" applyFont="1" applyFill="1" applyBorder="1" applyAlignment="1">
      <alignment horizontal="centerContinuous" wrapText="1"/>
    </xf>
    <xf numFmtId="0" fontId="0" fillId="20" borderId="12" xfId="0" applyFill="1" applyBorder="1"/>
    <xf numFmtId="0" fontId="13" fillId="20" borderId="25" xfId="0" applyFont="1" applyFill="1" applyBorder="1" applyAlignment="1">
      <alignment horizontal="centerContinuous"/>
    </xf>
    <xf numFmtId="43" fontId="13" fillId="20" borderId="25" xfId="0" applyNumberFormat="1" applyFont="1" applyFill="1" applyBorder="1" applyAlignment="1">
      <alignment horizontal="centerContinuous"/>
    </xf>
    <xf numFmtId="167" fontId="0" fillId="15" borderId="0" xfId="0" applyNumberFormat="1" applyFill="1"/>
    <xf numFmtId="0" fontId="74" fillId="8" borderId="25" xfId="0" applyFont="1" applyFill="1" applyBorder="1" applyAlignment="1">
      <alignment vertical="center" wrapText="1"/>
    </xf>
    <xf numFmtId="3" fontId="65" fillId="8" borderId="56" xfId="0" applyNumberFormat="1" applyFont="1" applyFill="1" applyBorder="1"/>
    <xf numFmtId="171" fontId="65" fillId="8" borderId="24" xfId="0" applyNumberFormat="1" applyFont="1" applyFill="1" applyBorder="1"/>
    <xf numFmtId="0" fontId="11" fillId="8" borderId="31" xfId="0" applyFont="1" applyFill="1" applyBorder="1" applyAlignment="1">
      <alignment wrapText="1"/>
    </xf>
    <xf numFmtId="171" fontId="70" fillId="8" borderId="24" xfId="0" applyNumberFormat="1" applyFont="1" applyFill="1" applyBorder="1"/>
    <xf numFmtId="0" fontId="13" fillId="15" borderId="0" xfId="0" applyFont="1" applyFill="1"/>
    <xf numFmtId="38" fontId="11" fillId="13" borderId="15" xfId="1" applyNumberFormat="1" applyFont="1" applyFill="1" applyBorder="1"/>
    <xf numFmtId="38" fontId="0" fillId="13" borderId="15" xfId="1" applyNumberFormat="1" applyFont="1" applyFill="1" applyBorder="1"/>
    <xf numFmtId="0" fontId="75" fillId="15" borderId="15" xfId="0" applyFont="1" applyFill="1" applyBorder="1" applyAlignment="1">
      <alignment vertical="center" wrapText="1"/>
    </xf>
    <xf numFmtId="0" fontId="47" fillId="15" borderId="52" xfId="0" applyFont="1" applyFill="1" applyBorder="1" applyAlignment="1">
      <alignment horizontal="center" vertical="center" wrapText="1"/>
    </xf>
    <xf numFmtId="0" fontId="47" fillId="15" borderId="53" xfId="0" applyFont="1" applyFill="1" applyBorder="1" applyAlignment="1">
      <alignment horizontal="center" vertical="center" wrapText="1"/>
    </xf>
    <xf numFmtId="164" fontId="11" fillId="7" borderId="15" xfId="8" applyNumberFormat="1" applyFont="1" applyFill="1" applyBorder="1"/>
    <xf numFmtId="164" fontId="11" fillId="0" borderId="15" xfId="8" applyNumberFormat="1" applyFont="1" applyFill="1" applyBorder="1"/>
    <xf numFmtId="9" fontId="11" fillId="16" borderId="15" xfId="1" applyNumberFormat="1" applyFont="1" applyFill="1" applyBorder="1"/>
    <xf numFmtId="9" fontId="11" fillId="0" borderId="15" xfId="1" applyNumberFormat="1" applyFont="1" applyFill="1" applyBorder="1"/>
    <xf numFmtId="9" fontId="11" fillId="7" borderId="15" xfId="1" applyNumberFormat="1" applyFont="1" applyFill="1" applyBorder="1"/>
    <xf numFmtId="9" fontId="11" fillId="7" borderId="34" xfId="1" applyNumberFormat="1" applyFont="1" applyFill="1" applyBorder="1"/>
    <xf numFmtId="167" fontId="11" fillId="0" borderId="15" xfId="1" applyNumberFormat="1" applyFont="1" applyFill="1" applyBorder="1"/>
    <xf numFmtId="167" fontId="11" fillId="7" borderId="15" xfId="1" applyNumberFormat="1" applyFont="1" applyFill="1" applyBorder="1"/>
    <xf numFmtId="167" fontId="11" fillId="16" borderId="15" xfId="1" applyNumberFormat="1" applyFont="1" applyFill="1" applyBorder="1"/>
    <xf numFmtId="167" fontId="11" fillId="7" borderId="34" xfId="1" applyNumberFormat="1" applyFont="1" applyFill="1" applyBorder="1"/>
    <xf numFmtId="175" fontId="11" fillId="7" borderId="12" xfId="1" applyNumberFormat="1" applyFont="1" applyFill="1" applyBorder="1"/>
    <xf numFmtId="175" fontId="11" fillId="7" borderId="15" xfId="1" applyNumberFormat="1" applyFont="1" applyFill="1" applyBorder="1"/>
    <xf numFmtId="175" fontId="11" fillId="0" borderId="15" xfId="1" applyNumberFormat="1" applyFont="1" applyFill="1" applyBorder="1"/>
    <xf numFmtId="175" fontId="11" fillId="16" borderId="15" xfId="1" applyNumberFormat="1" applyFont="1" applyFill="1" applyBorder="1"/>
    <xf numFmtId="175" fontId="11" fillId="7" borderId="34" xfId="1" applyNumberFormat="1" applyFont="1" applyFill="1" applyBorder="1"/>
    <xf numFmtId="9" fontId="11" fillId="7" borderId="15" xfId="8" applyNumberFormat="1" applyFont="1" applyFill="1" applyBorder="1"/>
    <xf numFmtId="43" fontId="11" fillId="13" borderId="5" xfId="1" applyFont="1" applyFill="1" applyBorder="1"/>
    <xf numFmtId="9" fontId="11" fillId="7" borderId="33" xfId="8" applyFont="1" applyFill="1" applyBorder="1"/>
    <xf numFmtId="9" fontId="11" fillId="7" borderId="32" xfId="8" applyFont="1" applyFill="1" applyBorder="1"/>
    <xf numFmtId="9" fontId="11" fillId="0" borderId="33" xfId="8" applyFont="1" applyFill="1" applyBorder="1"/>
    <xf numFmtId="9" fontId="11" fillId="16" borderId="33" xfId="8" applyNumberFormat="1" applyFont="1" applyFill="1" applyBorder="1"/>
    <xf numFmtId="9" fontId="11" fillId="7" borderId="35" xfId="8" applyFont="1" applyFill="1" applyBorder="1"/>
    <xf numFmtId="172" fontId="11" fillId="7" borderId="34" xfId="11" applyNumberFormat="1" applyFont="1" applyFill="1" applyBorder="1" applyAlignment="1">
      <alignment horizontal="right" vertical="center"/>
    </xf>
    <xf numFmtId="164" fontId="11" fillId="7" borderId="33" xfId="8" applyNumberFormat="1" applyFont="1" applyFill="1" applyBorder="1"/>
    <xf numFmtId="6" fontId="0" fillId="8" borderId="32" xfId="11" applyNumberFormat="1" applyFont="1" applyFill="1" applyBorder="1"/>
    <xf numFmtId="6" fontId="0" fillId="8" borderId="1" xfId="11" applyNumberFormat="1" applyFont="1" applyFill="1" applyBorder="1"/>
    <xf numFmtId="6" fontId="0" fillId="13" borderId="1" xfId="11" applyNumberFormat="1" applyFont="1" applyFill="1" applyBorder="1"/>
    <xf numFmtId="6" fontId="0" fillId="8" borderId="13" xfId="11" applyNumberFormat="1" applyFont="1" applyFill="1" applyBorder="1"/>
    <xf numFmtId="6" fontId="0" fillId="8" borderId="33" xfId="11" applyNumberFormat="1" applyFont="1" applyFill="1" applyBorder="1"/>
    <xf numFmtId="6" fontId="0" fillId="8" borderId="0" xfId="11" applyNumberFormat="1" applyFont="1" applyFill="1" applyBorder="1"/>
    <xf numFmtId="6" fontId="0" fillId="13" borderId="0" xfId="11" applyNumberFormat="1" applyFont="1" applyFill="1" applyBorder="1"/>
    <xf numFmtId="6" fontId="0" fillId="8" borderId="11" xfId="11" applyNumberFormat="1" applyFont="1" applyFill="1" applyBorder="1"/>
    <xf numFmtId="6" fontId="0" fillId="0" borderId="33" xfId="11" applyNumberFormat="1" applyFont="1" applyFill="1" applyBorder="1"/>
    <xf numFmtId="6" fontId="0" fillId="0" borderId="0" xfId="11" applyNumberFormat="1" applyFont="1" applyFill="1" applyBorder="1"/>
    <xf numFmtId="6" fontId="0" fillId="0" borderId="11" xfId="11" applyNumberFormat="1" applyFont="1" applyFill="1" applyBorder="1"/>
    <xf numFmtId="6" fontId="0" fillId="13" borderId="33" xfId="11" applyNumberFormat="1" applyFont="1" applyFill="1" applyBorder="1"/>
    <xf numFmtId="6" fontId="0" fillId="13" borderId="11" xfId="11" applyNumberFormat="1" applyFont="1" applyFill="1" applyBorder="1"/>
    <xf numFmtId="6" fontId="0" fillId="8" borderId="35" xfId="11" applyNumberFormat="1" applyFont="1" applyFill="1" applyBorder="1"/>
    <xf numFmtId="6" fontId="0" fillId="8" borderId="5" xfId="11" applyNumberFormat="1" applyFont="1" applyFill="1" applyBorder="1"/>
    <xf numFmtId="6" fontId="0" fillId="13" borderId="5" xfId="11" applyNumberFormat="1" applyFont="1" applyFill="1" applyBorder="1"/>
    <xf numFmtId="6" fontId="0" fillId="8" borderId="36" xfId="11" applyNumberFormat="1" applyFont="1" applyFill="1" applyBorder="1"/>
    <xf numFmtId="43" fontId="49" fillId="12" borderId="0" xfId="6" applyNumberFormat="1" applyFont="1" applyFill="1" applyBorder="1"/>
    <xf numFmtId="0" fontId="13" fillId="4" borderId="0" xfId="6" applyFont="1" applyFill="1" applyBorder="1"/>
    <xf numFmtId="0" fontId="44" fillId="14" borderId="0" xfId="6" applyFont="1" applyFill="1" applyBorder="1" applyAlignment="1"/>
    <xf numFmtId="9" fontId="46" fillId="2" borderId="0" xfId="8" applyFont="1" applyFill="1" applyBorder="1" applyAlignment="1"/>
    <xf numFmtId="0" fontId="46" fillId="14" borderId="0" xfId="6" applyFont="1" applyFill="1" applyBorder="1" applyAlignment="1"/>
    <xf numFmtId="0" fontId="0" fillId="0" borderId="0" xfId="0"/>
    <xf numFmtId="0" fontId="11" fillId="2" borderId="0" xfId="0" applyFont="1" applyFill="1" applyBorder="1"/>
    <xf numFmtId="0" fontId="11" fillId="3" borderId="0" xfId="0" applyFont="1" applyFill="1" applyBorder="1"/>
    <xf numFmtId="0" fontId="11" fillId="2" borderId="0" xfId="0" applyFont="1" applyFill="1" applyBorder="1" applyAlignment="1"/>
    <xf numFmtId="9" fontId="11" fillId="2" borderId="0" xfId="0" applyNumberFormat="1" applyFont="1" applyFill="1" applyBorder="1" applyAlignment="1"/>
    <xf numFmtId="9" fontId="11" fillId="2" borderId="0" xfId="0" applyNumberFormat="1" applyFont="1" applyFill="1" applyBorder="1"/>
    <xf numFmtId="0" fontId="11" fillId="7" borderId="0" xfId="0" applyFont="1" applyFill="1" applyBorder="1"/>
    <xf numFmtId="9" fontId="11" fillId="7" borderId="12" xfId="8" applyFont="1" applyFill="1" applyBorder="1"/>
    <xf numFmtId="9" fontId="11" fillId="7" borderId="15" xfId="8" applyFont="1" applyFill="1" applyBorder="1"/>
    <xf numFmtId="9" fontId="11" fillId="0" borderId="15" xfId="8" applyFont="1" applyFill="1" applyBorder="1"/>
    <xf numFmtId="9" fontId="11" fillId="7" borderId="34" xfId="8" applyFont="1" applyFill="1" applyBorder="1"/>
    <xf numFmtId="9" fontId="70" fillId="2" borderId="0" xfId="0" applyNumberFormat="1" applyFont="1" applyFill="1" applyBorder="1" applyAlignment="1"/>
    <xf numFmtId="0" fontId="14" fillId="6" borderId="0" xfId="0" applyFont="1" applyFill="1" applyBorder="1" applyAlignment="1">
      <alignment horizontal="centerContinuous" wrapText="1"/>
    </xf>
    <xf numFmtId="0" fontId="11" fillId="7" borderId="0" xfId="0" applyFont="1" applyFill="1" applyBorder="1" applyAlignment="1">
      <alignment horizontal="centerContinuous"/>
    </xf>
    <xf numFmtId="9" fontId="11" fillId="16" borderId="15" xfId="8" applyNumberFormat="1" applyFont="1" applyFill="1" applyBorder="1"/>
    <xf numFmtId="167" fontId="49" fillId="4" borderId="1" xfId="6" applyNumberFormat="1" applyFont="1" applyFill="1" applyBorder="1"/>
    <xf numFmtId="167" fontId="46" fillId="4" borderId="0" xfId="6" applyNumberFormat="1" applyFont="1" applyFill="1" applyBorder="1"/>
    <xf numFmtId="167" fontId="49" fillId="4" borderId="1" xfId="2" applyNumberFormat="1" applyFont="1" applyFill="1" applyBorder="1"/>
    <xf numFmtId="167" fontId="49" fillId="4" borderId="2" xfId="6" applyNumberFormat="1" applyFont="1" applyFill="1" applyBorder="1"/>
    <xf numFmtId="167" fontId="49" fillId="7" borderId="1" xfId="6" applyNumberFormat="1" applyFont="1" applyFill="1" applyBorder="1"/>
    <xf numFmtId="167" fontId="49" fillId="4" borderId="0" xfId="6" applyNumberFormat="1" applyFont="1" applyFill="1" applyBorder="1"/>
    <xf numFmtId="167" fontId="46" fillId="4" borderId="5" xfId="2" applyNumberFormat="1" applyFont="1" applyFill="1" applyBorder="1"/>
    <xf numFmtId="167" fontId="49" fillId="7" borderId="2" xfId="6" applyNumberFormat="1" applyFont="1" applyFill="1" applyBorder="1"/>
    <xf numFmtId="167" fontId="47" fillId="7" borderId="2" xfId="6" applyNumberFormat="1" applyFont="1" applyFill="1" applyBorder="1"/>
    <xf numFmtId="9" fontId="46" fillId="4" borderId="0" xfId="6" applyNumberFormat="1" applyFont="1" applyFill="1" applyBorder="1"/>
    <xf numFmtId="43" fontId="33" fillId="7" borderId="5" xfId="6" applyNumberFormat="1" applyFont="1" applyFill="1" applyBorder="1"/>
    <xf numFmtId="167" fontId="11" fillId="7" borderId="35" xfId="1" applyNumberFormat="1" applyFont="1" applyFill="1" applyBorder="1"/>
    <xf numFmtId="167" fontId="11" fillId="7" borderId="5" xfId="1" applyNumberFormat="1" applyFont="1" applyFill="1" applyBorder="1"/>
    <xf numFmtId="167" fontId="11" fillId="0" borderId="5" xfId="1" applyNumberFormat="1" applyFont="1" applyFill="1" applyBorder="1"/>
    <xf numFmtId="167" fontId="11" fillId="16" borderId="5" xfId="1" applyNumberFormat="1" applyFont="1" applyFill="1" applyBorder="1"/>
    <xf numFmtId="167" fontId="11" fillId="8" borderId="36" xfId="1" applyNumberFormat="1" applyFont="1" applyFill="1" applyBorder="1"/>
    <xf numFmtId="9" fontId="11" fillId="3" borderId="0" xfId="6" applyNumberFormat="1" applyFont="1" applyFill="1" applyBorder="1"/>
    <xf numFmtId="9" fontId="46" fillId="3" borderId="0" xfId="6" applyNumberFormat="1" applyFont="1" applyFill="1" applyBorder="1"/>
    <xf numFmtId="0" fontId="11" fillId="2" borderId="0" xfId="0" applyFont="1" applyFill="1" applyBorder="1" applyAlignment="1"/>
    <xf numFmtId="0" fontId="11" fillId="7" borderId="0" xfId="0" applyFont="1" applyFill="1" applyBorder="1"/>
    <xf numFmtId="0" fontId="13" fillId="7" borderId="0" xfId="0" applyFont="1" applyFill="1" applyBorder="1"/>
    <xf numFmtId="0" fontId="0" fillId="8" borderId="0" xfId="0" applyFill="1"/>
    <xf numFmtId="0" fontId="11" fillId="6" borderId="0" xfId="0" applyFont="1" applyFill="1" applyBorder="1" applyAlignment="1"/>
    <xf numFmtId="0" fontId="0" fillId="15" borderId="0" xfId="0" applyFill="1"/>
    <xf numFmtId="0" fontId="64" fillId="8" borderId="40" xfId="0" applyFont="1" applyFill="1" applyBorder="1" applyAlignment="1">
      <alignment horizontal="center" vertical="center" wrapText="1"/>
    </xf>
    <xf numFmtId="0" fontId="65" fillId="8" borderId="41" xfId="0" applyFont="1" applyFill="1" applyBorder="1" applyAlignment="1">
      <alignment horizontal="center" vertical="center" wrapText="1"/>
    </xf>
    <xf numFmtId="0" fontId="64" fillId="8" borderId="42" xfId="0" applyFont="1" applyFill="1" applyBorder="1" applyAlignment="1">
      <alignment vertical="center" wrapText="1"/>
    </xf>
    <xf numFmtId="38" fontId="64" fillId="8" borderId="43" xfId="1" applyNumberFormat="1" applyFont="1" applyFill="1" applyBorder="1" applyAlignment="1">
      <alignment horizontal="center" vertical="center" wrapText="1"/>
    </xf>
    <xf numFmtId="0" fontId="13" fillId="8" borderId="0" xfId="0" applyFont="1" applyFill="1"/>
    <xf numFmtId="0" fontId="13" fillId="7" borderId="12" xfId="11" applyFont="1" applyFill="1" applyBorder="1" applyAlignment="1">
      <alignment horizontal="center" vertical="center" wrapText="1"/>
    </xf>
    <xf numFmtId="0" fontId="11" fillId="7" borderId="12" xfId="11" applyFont="1" applyFill="1" applyBorder="1" applyAlignment="1">
      <alignment horizontal="center" vertical="center" wrapText="1"/>
    </xf>
    <xf numFmtId="0" fontId="11" fillId="7" borderId="34" xfId="11" applyFont="1" applyFill="1" applyBorder="1"/>
    <xf numFmtId="43" fontId="11" fillId="7" borderId="15" xfId="1" applyFont="1" applyFill="1" applyBorder="1"/>
    <xf numFmtId="43" fontId="11" fillId="7" borderId="34" xfId="1" applyFont="1" applyFill="1" applyBorder="1"/>
    <xf numFmtId="174" fontId="0" fillId="8" borderId="33" xfId="11" applyNumberFormat="1" applyFont="1" applyFill="1" applyBorder="1"/>
    <xf numFmtId="174" fontId="0" fillId="8" borderId="0" xfId="11" applyNumberFormat="1" applyFont="1" applyFill="1" applyBorder="1"/>
    <xf numFmtId="43" fontId="11" fillId="8" borderId="5" xfId="1" applyFont="1" applyFill="1" applyBorder="1"/>
    <xf numFmtId="172" fontId="54" fillId="8" borderId="36" xfId="11" applyNumberFormat="1" applyFont="1" applyFill="1" applyBorder="1"/>
    <xf numFmtId="0" fontId="11" fillId="7" borderId="12" xfId="0" applyFont="1" applyFill="1" applyBorder="1" applyAlignment="1">
      <alignment horizontal="centerContinuous"/>
    </xf>
    <xf numFmtId="0" fontId="12" fillId="7" borderId="15" xfId="0" applyFont="1" applyFill="1" applyBorder="1" applyAlignment="1">
      <alignment horizontal="centerContinuous"/>
    </xf>
    <xf numFmtId="0" fontId="13" fillId="7" borderId="15" xfId="0" applyFont="1" applyFill="1" applyBorder="1" applyAlignment="1">
      <alignment horizontal="centerContinuous" vertical="center" wrapText="1"/>
    </xf>
    <xf numFmtId="0" fontId="47" fillId="7" borderId="15" xfId="0" applyFont="1" applyFill="1" applyBorder="1" applyAlignment="1">
      <alignment horizontal="centerContinuous"/>
    </xf>
    <xf numFmtId="0" fontId="13" fillId="7" borderId="34" xfId="0" applyFont="1" applyFill="1" applyBorder="1" applyAlignment="1">
      <alignment horizontal="centerContinuous" vertical="center" wrapText="1"/>
    </xf>
    <xf numFmtId="167" fontId="12" fillId="7" borderId="0" xfId="1" applyNumberFormat="1" applyFont="1" applyFill="1" applyBorder="1"/>
    <xf numFmtId="3" fontId="12" fillId="7" borderId="0" xfId="0" applyNumberFormat="1" applyFont="1" applyFill="1" applyBorder="1"/>
    <xf numFmtId="0" fontId="12" fillId="7" borderId="15" xfId="0" applyFont="1" applyFill="1" applyBorder="1" applyAlignment="1">
      <alignment horizontal="center"/>
    </xf>
    <xf numFmtId="6" fontId="11" fillId="8" borderId="34" xfId="11" applyNumberFormat="1" applyFont="1" applyFill="1" applyBorder="1"/>
    <xf numFmtId="43" fontId="11" fillId="8" borderId="15" xfId="1" applyFont="1" applyFill="1" applyBorder="1"/>
    <xf numFmtId="38" fontId="11" fillId="8" borderId="15" xfId="1" applyNumberFormat="1" applyFont="1" applyFill="1" applyBorder="1"/>
    <xf numFmtId="38" fontId="0" fillId="8" borderId="15" xfId="1" applyNumberFormat="1" applyFont="1" applyFill="1" applyBorder="1"/>
    <xf numFmtId="38" fontId="11" fillId="8" borderId="34" xfId="1" applyNumberFormat="1" applyFont="1" applyFill="1" applyBorder="1"/>
    <xf numFmtId="38" fontId="0" fillId="8" borderId="34" xfId="1" applyNumberFormat="1" applyFont="1" applyFill="1" applyBorder="1"/>
    <xf numFmtId="0" fontId="73" fillId="8" borderId="50" xfId="0" applyFont="1" applyFill="1" applyBorder="1" applyAlignment="1">
      <alignment horizontal="centerContinuous"/>
    </xf>
    <xf numFmtId="0" fontId="0" fillId="8" borderId="51" xfId="0" applyFill="1" applyBorder="1" applyAlignment="1">
      <alignment horizontal="centerContinuous"/>
    </xf>
    <xf numFmtId="0" fontId="0" fillId="8" borderId="52" xfId="0" applyFill="1" applyBorder="1" applyAlignment="1">
      <alignment horizontal="centerContinuous"/>
    </xf>
    <xf numFmtId="0" fontId="0" fillId="8" borderId="53" xfId="0" applyFill="1" applyBorder="1" applyAlignment="1">
      <alignment horizontal="centerContinuous"/>
    </xf>
    <xf numFmtId="0" fontId="66" fillId="8" borderId="37" xfId="7" applyFont="1" applyFill="1" applyBorder="1" applyAlignment="1">
      <alignment horizontal="left" vertical="center"/>
    </xf>
    <xf numFmtId="0" fontId="66" fillId="8" borderId="38" xfId="7" applyFont="1" applyFill="1" applyBorder="1" applyAlignment="1">
      <alignment horizontal="left" vertical="center" wrapText="1"/>
    </xf>
    <xf numFmtId="176" fontId="12" fillId="4" borderId="0" xfId="1" applyNumberFormat="1" applyFont="1" applyFill="1" applyBorder="1"/>
    <xf numFmtId="0" fontId="33" fillId="2" borderId="1" xfId="0" applyFont="1" applyFill="1" applyBorder="1" applyAlignment="1"/>
    <xf numFmtId="169" fontId="70" fillId="2" borderId="0" xfId="0" applyNumberFormat="1" applyFont="1" applyFill="1" applyBorder="1" applyAlignment="1"/>
    <xf numFmtId="169" fontId="64" fillId="2" borderId="0" xfId="0" applyNumberFormat="1" applyFont="1" applyFill="1" applyBorder="1" applyAlignment="1"/>
    <xf numFmtId="2" fontId="64" fillId="2" borderId="0" xfId="0" applyNumberFormat="1" applyFont="1" applyFill="1" applyBorder="1" applyAlignment="1"/>
    <xf numFmtId="2" fontId="70" fillId="8" borderId="0" xfId="0" applyNumberFormat="1" applyFont="1" applyFill="1" applyBorder="1" applyAlignment="1"/>
    <xf numFmtId="169" fontId="64" fillId="9" borderId="0" xfId="0" applyNumberFormat="1" applyFont="1" applyFill="1" applyBorder="1" applyAlignment="1"/>
    <xf numFmtId="174" fontId="11" fillId="8" borderId="11" xfId="11" applyNumberFormat="1" applyFont="1" applyFill="1" applyBorder="1"/>
    <xf numFmtId="177" fontId="64" fillId="9" borderId="0" xfId="6" applyNumberFormat="1" applyFont="1" applyFill="1" applyBorder="1" applyAlignment="1"/>
    <xf numFmtId="166" fontId="70" fillId="9" borderId="0" xfId="6" applyNumberFormat="1" applyFont="1" applyFill="1" applyBorder="1" applyAlignment="1"/>
    <xf numFmtId="39" fontId="64" fillId="6" borderId="0" xfId="6" applyNumberFormat="1" applyFont="1" applyFill="1" applyBorder="1" applyAlignment="1"/>
    <xf numFmtId="166" fontId="70" fillId="2" borderId="0" xfId="6" applyNumberFormat="1" applyFont="1" applyFill="1" applyBorder="1" applyAlignment="1"/>
    <xf numFmtId="43" fontId="70" fillId="2" borderId="0" xfId="6" applyNumberFormat="1" applyFont="1" applyFill="1" applyBorder="1" applyAlignment="1"/>
    <xf numFmtId="0" fontId="12" fillId="7" borderId="34" xfId="0" applyFont="1" applyFill="1" applyBorder="1" applyAlignment="1">
      <alignment horizontal="centerContinuous"/>
    </xf>
    <xf numFmtId="177" fontId="64" fillId="6" borderId="0" xfId="6" applyNumberFormat="1" applyFont="1" applyFill="1" applyBorder="1" applyAlignment="1"/>
    <xf numFmtId="2" fontId="70" fillId="2" borderId="0" xfId="6" applyNumberFormat="1" applyFont="1" applyFill="1" applyBorder="1" applyAlignment="1"/>
    <xf numFmtId="0" fontId="11" fillId="2" borderId="0" xfId="0" applyFont="1" applyFill="1" applyBorder="1"/>
    <xf numFmtId="0" fontId="11" fillId="2" borderId="0" xfId="0" applyFont="1" applyFill="1" applyBorder="1" applyAlignment="1"/>
    <xf numFmtId="2" fontId="11" fillId="2" borderId="0" xfId="0" applyNumberFormat="1" applyFont="1" applyFill="1" applyBorder="1"/>
    <xf numFmtId="2" fontId="11" fillId="2" borderId="0" xfId="0" applyNumberFormat="1" applyFont="1" applyFill="1" applyBorder="1" applyAlignment="1"/>
    <xf numFmtId="0" fontId="13" fillId="7" borderId="12" xfId="11" applyFont="1" applyFill="1" applyBorder="1" applyAlignment="1">
      <alignment horizontal="center" vertical="center" wrapText="1"/>
    </xf>
    <xf numFmtId="0" fontId="11" fillId="7" borderId="13" xfId="11" applyFont="1" applyFill="1" applyBorder="1" applyAlignment="1">
      <alignment horizontal="center" vertical="center" wrapText="1"/>
    </xf>
    <xf numFmtId="0" fontId="11" fillId="7" borderId="34" xfId="11" applyFont="1" applyFill="1" applyBorder="1"/>
    <xf numFmtId="9" fontId="11" fillId="7" borderId="15" xfId="8" applyFont="1" applyFill="1" applyBorder="1"/>
    <xf numFmtId="9" fontId="11" fillId="0" borderId="15" xfId="8" applyFont="1" applyFill="1" applyBorder="1"/>
    <xf numFmtId="9" fontId="11" fillId="7" borderId="34" xfId="8" applyFont="1" applyFill="1" applyBorder="1"/>
    <xf numFmtId="0" fontId="70" fillId="2" borderId="0" xfId="0" applyFont="1" applyFill="1" applyBorder="1" applyAlignment="1"/>
    <xf numFmtId="0" fontId="64" fillId="2" borderId="0" xfId="0" applyFont="1" applyFill="1" applyBorder="1" applyAlignment="1"/>
    <xf numFmtId="2" fontId="70" fillId="2" borderId="0" xfId="0" applyNumberFormat="1" applyFont="1" applyFill="1" applyBorder="1" applyAlignment="1"/>
    <xf numFmtId="9" fontId="11" fillId="16" borderId="15" xfId="8" applyFont="1" applyFill="1" applyBorder="1"/>
    <xf numFmtId="43" fontId="11" fillId="8" borderId="5" xfId="1" applyFont="1" applyFill="1" applyBorder="1"/>
    <xf numFmtId="43" fontId="11" fillId="7" borderId="5" xfId="1" applyFont="1" applyFill="1" applyBorder="1"/>
    <xf numFmtId="43" fontId="11" fillId="16" borderId="5" xfId="1" applyFont="1" applyFill="1" applyBorder="1"/>
    <xf numFmtId="43" fontId="11" fillId="7" borderId="35" xfId="1" applyFont="1" applyFill="1" applyBorder="1"/>
    <xf numFmtId="172" fontId="54" fillId="8" borderId="36" xfId="11" applyNumberFormat="1" applyFont="1" applyFill="1" applyBorder="1"/>
    <xf numFmtId="43" fontId="11" fillId="7" borderId="36" xfId="1" applyFont="1" applyFill="1" applyBorder="1"/>
    <xf numFmtId="0" fontId="11" fillId="7" borderId="12" xfId="0" applyFont="1" applyFill="1" applyBorder="1" applyAlignment="1">
      <alignment horizontal="centerContinuous"/>
    </xf>
    <xf numFmtId="0" fontId="13" fillId="7" borderId="15" xfId="0" applyFont="1" applyFill="1" applyBorder="1" applyAlignment="1">
      <alignment horizontal="centerContinuous" vertical="center" wrapText="1"/>
    </xf>
    <xf numFmtId="0" fontId="47" fillId="7" borderId="15" xfId="0" applyFont="1" applyFill="1" applyBorder="1" applyAlignment="1">
      <alignment horizontal="centerContinuous"/>
    </xf>
    <xf numFmtId="0" fontId="13" fillId="7" borderId="34" xfId="0" applyFont="1" applyFill="1" applyBorder="1" applyAlignment="1">
      <alignment horizontal="centerContinuous" vertical="center" wrapText="1"/>
    </xf>
    <xf numFmtId="174" fontId="11" fillId="8" borderId="15" xfId="11" applyNumberFormat="1" applyFont="1" applyFill="1" applyBorder="1"/>
    <xf numFmtId="174" fontId="11" fillId="0" borderId="11" xfId="11" applyNumberFormat="1" applyFont="1" applyFill="1" applyBorder="1"/>
    <xf numFmtId="174" fontId="11" fillId="0" borderId="15" xfId="11" applyNumberFormat="1" applyFont="1" applyFill="1" applyBorder="1"/>
    <xf numFmtId="174" fontId="11" fillId="13" borderId="11" xfId="11" applyNumberFormat="1" applyFont="1" applyFill="1" applyBorder="1"/>
    <xf numFmtId="174" fontId="11" fillId="13" borderId="15" xfId="11" applyNumberFormat="1" applyFont="1" applyFill="1" applyBorder="1"/>
    <xf numFmtId="174" fontId="11" fillId="8" borderId="36" xfId="11" applyNumberFormat="1" applyFont="1" applyFill="1" applyBorder="1"/>
    <xf numFmtId="174" fontId="11" fillId="8" borderId="34" xfId="11" applyNumberFormat="1" applyFont="1" applyFill="1" applyBorder="1"/>
    <xf numFmtId="0" fontId="2" fillId="0" borderId="30" xfId="25" applyFont="1" applyFill="1" applyBorder="1" applyAlignment="1">
      <alignment horizontal="left" vertical="center" wrapText="1"/>
    </xf>
    <xf numFmtId="0" fontId="47" fillId="7" borderId="34" xfId="0" applyFont="1" applyFill="1" applyBorder="1" applyAlignment="1">
      <alignment horizontal="centerContinuous"/>
    </xf>
    <xf numFmtId="43" fontId="49" fillId="7" borderId="1" xfId="1" applyNumberFormat="1" applyFont="1" applyFill="1" applyBorder="1"/>
    <xf numFmtId="9" fontId="11" fillId="8" borderId="15" xfId="8" applyFont="1" applyFill="1" applyBorder="1"/>
    <xf numFmtId="164" fontId="11" fillId="6" borderId="0" xfId="6" applyNumberFormat="1" applyFont="1" applyFill="1" applyBorder="1" applyAlignment="1"/>
    <xf numFmtId="1" fontId="64" fillId="8" borderId="0" xfId="6" applyNumberFormat="1" applyFont="1" applyFill="1" applyBorder="1" applyAlignment="1"/>
    <xf numFmtId="1" fontId="70" fillId="6" borderId="0" xfId="6" applyNumberFormat="1" applyFont="1" applyFill="1" applyBorder="1" applyAlignment="1"/>
    <xf numFmtId="0" fontId="13" fillId="6" borderId="0" xfId="6" applyFont="1" applyFill="1" applyBorder="1" applyAlignment="1"/>
    <xf numFmtId="166" fontId="70" fillId="2" borderId="0" xfId="6" applyNumberFormat="1" applyFont="1" applyFill="1" applyBorder="1"/>
    <xf numFmtId="9" fontId="70" fillId="2" borderId="0" xfId="6" applyNumberFormat="1" applyFont="1" applyFill="1" applyBorder="1"/>
    <xf numFmtId="9" fontId="64" fillId="8" borderId="0" xfId="6" applyNumberFormat="1" applyFont="1" applyFill="1"/>
    <xf numFmtId="0" fontId="64" fillId="8" borderId="0" xfId="6" applyFont="1" applyFill="1" applyBorder="1"/>
    <xf numFmtId="9" fontId="70" fillId="6" borderId="0" xfId="8" applyFont="1" applyFill="1" applyBorder="1" applyAlignment="1"/>
    <xf numFmtId="9" fontId="12" fillId="3" borderId="0" xfId="0" applyNumberFormat="1" applyFont="1" applyFill="1" applyBorder="1"/>
    <xf numFmtId="9" fontId="46" fillId="3" borderId="0" xfId="8" applyFont="1" applyFill="1" applyBorder="1"/>
    <xf numFmtId="0" fontId="1" fillId="8" borderId="39" xfId="25" applyFont="1" applyFill="1" applyBorder="1" applyAlignment="1">
      <alignment horizontal="left" vertical="center" wrapText="1"/>
    </xf>
    <xf numFmtId="0" fontId="66" fillId="8" borderId="47" xfId="7" applyFont="1" applyFill="1" applyBorder="1" applyAlignment="1">
      <alignment horizontal="center" vertical="center" wrapText="1"/>
    </xf>
    <xf numFmtId="0" fontId="66" fillId="8" borderId="48" xfId="7" applyFont="1" applyFill="1" applyBorder="1" applyAlignment="1">
      <alignment horizontal="center" vertical="center" wrapText="1"/>
    </xf>
    <xf numFmtId="0" fontId="66" fillId="8" borderId="49" xfId="7" applyFont="1" applyFill="1" applyBorder="1" applyAlignment="1">
      <alignment horizontal="center" vertical="center" wrapText="1"/>
    </xf>
    <xf numFmtId="0" fontId="46" fillId="8" borderId="33" xfId="0" applyFont="1" applyFill="1" applyBorder="1" applyAlignment="1">
      <alignment horizontal="left"/>
    </xf>
    <xf numFmtId="0" fontId="46" fillId="8" borderId="0" xfId="0" applyFont="1" applyFill="1" applyBorder="1" applyAlignment="1">
      <alignment horizontal="left"/>
    </xf>
    <xf numFmtId="0" fontId="11" fillId="8" borderId="35" xfId="0" applyFont="1" applyFill="1" applyBorder="1" applyAlignment="1">
      <alignment horizontal="left"/>
    </xf>
    <xf numFmtId="0" fontId="46" fillId="8" borderId="5" xfId="0" applyFont="1" applyFill="1" applyBorder="1" applyAlignment="1">
      <alignment horizontal="left"/>
    </xf>
    <xf numFmtId="0" fontId="64" fillId="8" borderId="44" xfId="0" applyFont="1" applyFill="1" applyBorder="1" applyAlignment="1">
      <alignment horizontal="left" vertical="center" wrapText="1"/>
    </xf>
    <xf numFmtId="0" fontId="64" fillId="8" borderId="41" xfId="0" applyFont="1" applyFill="1" applyBorder="1" applyAlignment="1">
      <alignment horizontal="left" vertical="center" wrapText="1"/>
    </xf>
    <xf numFmtId="0" fontId="59" fillId="8" borderId="31" xfId="0" applyFont="1" applyFill="1" applyBorder="1" applyAlignment="1">
      <alignment horizontal="left"/>
    </xf>
    <xf numFmtId="0" fontId="59" fillId="8" borderId="1" xfId="0" applyFont="1" applyFill="1" applyBorder="1" applyAlignment="1">
      <alignment horizontal="left"/>
    </xf>
    <xf numFmtId="0" fontId="59" fillId="8" borderId="13" xfId="0" applyFont="1" applyFill="1" applyBorder="1" applyAlignment="1">
      <alignment horizontal="left"/>
    </xf>
    <xf numFmtId="0" fontId="11" fillId="8" borderId="32" xfId="0" applyFont="1" applyFill="1" applyBorder="1" applyAlignment="1">
      <alignment horizontal="left"/>
    </xf>
    <xf numFmtId="0" fontId="11" fillId="8" borderId="1" xfId="0" applyFont="1" applyFill="1" applyBorder="1" applyAlignment="1">
      <alignment horizontal="left"/>
    </xf>
    <xf numFmtId="0" fontId="13" fillId="20" borderId="54" xfId="0" applyFont="1" applyFill="1" applyBorder="1" applyAlignment="1">
      <alignment horizontal="center" vertical="center" wrapText="1"/>
    </xf>
    <xf numFmtId="44" fontId="64" fillId="8" borderId="53" xfId="0" applyNumberFormat="1" applyFont="1" applyFill="1" applyBorder="1"/>
    <xf numFmtId="0" fontId="44" fillId="21" borderId="0" xfId="6" applyFont="1" applyFill="1" applyBorder="1"/>
    <xf numFmtId="0" fontId="46" fillId="21" borderId="0" xfId="6" applyFont="1" applyFill="1" applyBorder="1"/>
  </cellXfs>
  <cellStyles count="61">
    <cellStyle name="Comma" xfId="1" builtinId="3"/>
    <cellStyle name="Comma 2" xfId="2"/>
    <cellStyle name="Comma 2 2" xfId="10"/>
    <cellStyle name="Comma 3" xfId="15"/>
    <cellStyle name="Comma 3 2" xfId="22"/>
    <cellStyle name="Comma 3 2 2" xfId="34"/>
    <cellStyle name="Comma 3 2 2 2" xfId="58"/>
    <cellStyle name="Comma 3 2 3" xfId="46"/>
    <cellStyle name="Comma 3 3" xfId="28"/>
    <cellStyle name="Comma 3 3 2" xfId="52"/>
    <cellStyle name="Comma 3 4" xfId="40"/>
    <cellStyle name="Hyperlink" xfId="3" builtinId="8"/>
    <cellStyle name="Hyperlink 2" xfId="4"/>
    <cellStyle name="Normal" xfId="0" builtinId="0"/>
    <cellStyle name="Normal 2" xfId="5"/>
    <cellStyle name="Normal 2 2" xfId="6"/>
    <cellStyle name="Normal 2 2 2" xfId="11"/>
    <cellStyle name="Normal 2 3" xfId="17"/>
    <cellStyle name="Normal 3" xfId="7"/>
    <cellStyle name="Normal 3 2" xfId="12"/>
    <cellStyle name="Normal 3 2 2" xfId="20"/>
    <cellStyle name="Normal 3 2 2 2" xfId="32"/>
    <cellStyle name="Normal 3 2 2 2 2" xfId="56"/>
    <cellStyle name="Normal 3 2 2 3" xfId="44"/>
    <cellStyle name="Normal 3 2 3" xfId="26"/>
    <cellStyle name="Normal 3 2 3 2" xfId="50"/>
    <cellStyle name="Normal 3 2 4" xfId="38"/>
    <cellStyle name="Normal 3 3" xfId="18"/>
    <cellStyle name="Normal 3 3 2" xfId="24"/>
    <cellStyle name="Normal 3 3 2 2" xfId="36"/>
    <cellStyle name="Normal 3 3 2 2 2" xfId="60"/>
    <cellStyle name="Normal 3 3 2 3" xfId="48"/>
    <cellStyle name="Normal 3 3 3" xfId="30"/>
    <cellStyle name="Normal 3 3 3 2" xfId="54"/>
    <cellStyle name="Normal 3 3 4" xfId="42"/>
    <cellStyle name="Normal 3 4" xfId="19"/>
    <cellStyle name="Normal 3 4 2" xfId="31"/>
    <cellStyle name="Normal 3 4 2 2" xfId="55"/>
    <cellStyle name="Normal 3 4 3" xfId="43"/>
    <cellStyle name="Normal 3 5" xfId="25"/>
    <cellStyle name="Normal 3 5 2" xfId="49"/>
    <cellStyle name="Normal 3 6" xfId="37"/>
    <cellStyle name="Normal 4" xfId="14"/>
    <cellStyle name="Normal 4 2" xfId="21"/>
    <cellStyle name="Normal 4 2 2" xfId="33"/>
    <cellStyle name="Normal 4 2 2 2" xfId="57"/>
    <cellStyle name="Normal 4 2 3" xfId="45"/>
    <cellStyle name="Normal 4 3" xfId="27"/>
    <cellStyle name="Normal 4 3 2" xfId="51"/>
    <cellStyle name="Normal 4 4" xfId="39"/>
    <cellStyle name="Percent" xfId="8" builtinId="5"/>
    <cellStyle name="Percent 2" xfId="9"/>
    <cellStyle name="Percent 2 2" xfId="13"/>
    <cellStyle name="Percent 3" xfId="16"/>
    <cellStyle name="Percent 3 2" xfId="23"/>
    <cellStyle name="Percent 3 2 2" xfId="35"/>
    <cellStyle name="Percent 3 2 2 2" xfId="59"/>
    <cellStyle name="Percent 3 2 3" xfId="47"/>
    <cellStyle name="Percent 3 3" xfId="29"/>
    <cellStyle name="Percent 3 3 2" xfId="53"/>
    <cellStyle name="Percent 3 4" xfId="41"/>
  </cellStyles>
  <dxfs count="42">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rgb="FFFFFF99"/>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theme="6" tint="0.59996337778862885"/>
        </patternFill>
      </fill>
    </dxf>
    <dxf>
      <fill>
        <patternFill>
          <bgColor rgb="FFFFFF99"/>
        </patternFill>
      </fill>
    </dxf>
    <dxf>
      <fill>
        <patternFill>
          <bgColor rgb="FFFFFF99"/>
        </patternFill>
      </fill>
    </dxf>
    <dxf>
      <fill>
        <patternFill>
          <bgColor rgb="FFFFFF99"/>
        </patternFill>
      </fill>
    </dxf>
    <dxf>
      <fill>
        <patternFill>
          <bgColor theme="6" tint="0.59996337778862885"/>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3133725</xdr:colOff>
      <xdr:row>4</xdr:row>
      <xdr:rowOff>47625</xdr:rowOff>
    </xdr:to>
    <xdr:pic>
      <xdr:nvPicPr>
        <xdr:cNvPr id="18435" name="Picture 2" descr="http://smileprojectnigeria.crs.org/wp-content/uploads/2013/10/USAID-Nigeria-logo.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142" t="16261" r="3902" b="19511"/>
        <a:stretch>
          <a:fillRect/>
        </a:stretch>
      </xdr:blipFill>
      <xdr:spPr bwMode="auto">
        <a:xfrm>
          <a:off x="0" y="0"/>
          <a:ext cx="45434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1019175</xdr:colOff>
      <xdr:row>1</xdr:row>
      <xdr:rowOff>123825</xdr:rowOff>
    </xdr:to>
    <xdr:pic>
      <xdr:nvPicPr>
        <xdr:cNvPr id="16388" name="Picture 1" descr="http://smileprojectnigeria.crs.org/wp-content/uploads/2013/10/USAID-Nigeria-logo.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142" t="16261" r="3902" b="19511"/>
        <a:stretch>
          <a:fillRect/>
        </a:stretch>
      </xdr:blipFill>
      <xdr:spPr bwMode="auto">
        <a:xfrm>
          <a:off x="0" y="0"/>
          <a:ext cx="45339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2</xdr:col>
      <xdr:colOff>721659</xdr:colOff>
      <xdr:row>1</xdr:row>
      <xdr:rowOff>161925</xdr:rowOff>
    </xdr:to>
    <xdr:pic>
      <xdr:nvPicPr>
        <xdr:cNvPr id="12292" name="Picture 1" descr="http://smileprojectnigeria.crs.org/wp-content/uploads/2013/10/USAID-Nigeria-logo.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142" t="16261" r="3902" b="19511"/>
        <a:stretch>
          <a:fillRect/>
        </a:stretch>
      </xdr:blipFill>
      <xdr:spPr bwMode="auto">
        <a:xfrm>
          <a:off x="0" y="47625"/>
          <a:ext cx="436245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261097</xdr:colOff>
      <xdr:row>1</xdr:row>
      <xdr:rowOff>123825</xdr:rowOff>
    </xdr:to>
    <xdr:pic>
      <xdr:nvPicPr>
        <xdr:cNvPr id="3" name="Picture 1" descr="http://smileprojectnigeria.crs.org/wp-content/uploads/2013/10/USAID-Nigeria-logo.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142" t="16261" r="3902" b="19511"/>
        <a:stretch>
          <a:fillRect/>
        </a:stretch>
      </xdr:blipFill>
      <xdr:spPr bwMode="auto">
        <a:xfrm>
          <a:off x="0" y="0"/>
          <a:ext cx="4537822"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4</xdr:col>
      <xdr:colOff>118533</xdr:colOff>
      <xdr:row>4</xdr:row>
      <xdr:rowOff>47625</xdr:rowOff>
    </xdr:to>
    <xdr:pic>
      <xdr:nvPicPr>
        <xdr:cNvPr id="9220" name="Picture 1" descr="http://smileprojectnigeria.crs.org/wp-content/uploads/2013/10/USAID-Nigeria-logo.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142" t="16261" r="3902" b="19511"/>
        <a:stretch>
          <a:fillRect/>
        </a:stretch>
      </xdr:blipFill>
      <xdr:spPr bwMode="auto">
        <a:xfrm>
          <a:off x="38100" y="0"/>
          <a:ext cx="4543425"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1019175</xdr:colOff>
      <xdr:row>1</xdr:row>
      <xdr:rowOff>123825</xdr:rowOff>
    </xdr:to>
    <xdr:pic>
      <xdr:nvPicPr>
        <xdr:cNvPr id="13316" name="Picture 1" descr="http://smileprojectnigeria.crs.org/wp-content/uploads/2013/10/USAID-Nigeria-logo.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142" t="16261" r="3902" b="19511"/>
        <a:stretch>
          <a:fillRect/>
        </a:stretch>
      </xdr:blipFill>
      <xdr:spPr bwMode="auto">
        <a:xfrm>
          <a:off x="0" y="0"/>
          <a:ext cx="45339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1019175</xdr:colOff>
      <xdr:row>1</xdr:row>
      <xdr:rowOff>123825</xdr:rowOff>
    </xdr:to>
    <xdr:pic>
      <xdr:nvPicPr>
        <xdr:cNvPr id="2052" name="Picture 1" descr="http://smileprojectnigeria.crs.org/wp-content/uploads/2013/10/USAID-Nigeria-logo.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142" t="16261" r="3902" b="19511"/>
        <a:stretch>
          <a:fillRect/>
        </a:stretch>
      </xdr:blipFill>
      <xdr:spPr bwMode="auto">
        <a:xfrm>
          <a:off x="0" y="0"/>
          <a:ext cx="45339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1019175</xdr:colOff>
      <xdr:row>1</xdr:row>
      <xdr:rowOff>123825</xdr:rowOff>
    </xdr:to>
    <xdr:pic>
      <xdr:nvPicPr>
        <xdr:cNvPr id="3076" name="Picture 1" descr="http://smileprojectnigeria.crs.org/wp-content/uploads/2013/10/USAID-Nigeria-logo.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142" t="16261" r="3902" b="19511"/>
        <a:stretch>
          <a:fillRect/>
        </a:stretch>
      </xdr:blipFill>
      <xdr:spPr bwMode="auto">
        <a:xfrm>
          <a:off x="0" y="0"/>
          <a:ext cx="45339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5</xdr:col>
      <xdr:colOff>1019175</xdr:colOff>
      <xdr:row>1</xdr:row>
      <xdr:rowOff>142875</xdr:rowOff>
    </xdr:to>
    <xdr:pic>
      <xdr:nvPicPr>
        <xdr:cNvPr id="14340" name="Picture 1" descr="http://smileprojectnigeria.crs.org/wp-content/uploads/2013/10/USAID-Nigeria-logo.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142" t="16261" r="3902" b="19511"/>
        <a:stretch>
          <a:fillRect/>
        </a:stretch>
      </xdr:blipFill>
      <xdr:spPr bwMode="auto">
        <a:xfrm>
          <a:off x="0" y="9525"/>
          <a:ext cx="453390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1019175</xdr:colOff>
      <xdr:row>1</xdr:row>
      <xdr:rowOff>123825</xdr:rowOff>
    </xdr:to>
    <xdr:pic>
      <xdr:nvPicPr>
        <xdr:cNvPr id="5137" name="Picture 3" descr="http://smileprojectnigeria.crs.org/wp-content/uploads/2013/10/USAID-Nigeria-logo.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142" t="16261" r="3902" b="19511"/>
        <a:stretch>
          <a:fillRect/>
        </a:stretch>
      </xdr:blipFill>
      <xdr:spPr bwMode="auto">
        <a:xfrm>
          <a:off x="0" y="0"/>
          <a:ext cx="45339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1019175</xdr:colOff>
      <xdr:row>1</xdr:row>
      <xdr:rowOff>123825</xdr:rowOff>
    </xdr:to>
    <xdr:pic>
      <xdr:nvPicPr>
        <xdr:cNvPr id="11515" name="Picture 1" descr="http://smileprojectnigeria.crs.org/wp-content/uploads/2013/10/USAID-Nigeria-logo.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142" t="16261" r="3902" b="19511"/>
        <a:stretch>
          <a:fillRect/>
        </a:stretch>
      </xdr:blipFill>
      <xdr:spPr bwMode="auto">
        <a:xfrm>
          <a:off x="0" y="0"/>
          <a:ext cx="45339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1019175</xdr:colOff>
      <xdr:row>1</xdr:row>
      <xdr:rowOff>123825</xdr:rowOff>
    </xdr:to>
    <xdr:pic>
      <xdr:nvPicPr>
        <xdr:cNvPr id="15364" name="Picture 1" descr="http://smileprojectnigeria.crs.org/wp-content/uploads/2013/10/USAID-Nigeria-logo.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142" t="16261" r="3902" b="19511"/>
        <a:stretch>
          <a:fillRect/>
        </a:stretch>
      </xdr:blipFill>
      <xdr:spPr bwMode="auto">
        <a:xfrm>
          <a:off x="0" y="0"/>
          <a:ext cx="4533900" cy="69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10.xml"/><Relationship Id="rId4" Type="http://schemas.openxmlformats.org/officeDocument/2006/relationships/printerSettings" Target="../printerSettings/printerSettings32.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drawing" Target="../drawings/drawing11.xml"/><Relationship Id="rId5" Type="http://schemas.openxmlformats.org/officeDocument/2006/relationships/printerSettings" Target="../printerSettings/printerSettings36.bin"/><Relationship Id="rId4" Type="http://schemas.openxmlformats.org/officeDocument/2006/relationships/hyperlink" Target="http://ideas.repec.org/a/emc/ecomex/v21y2012i2p373-390.html"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3.xm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drawing" Target="../drawings/drawing4.xml"/><Relationship Id="rId4" Type="http://schemas.openxmlformats.org/officeDocument/2006/relationships/printerSettings" Target="../printerSettings/printerSettings8.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drawing" Target="../drawings/drawing5.xml"/><Relationship Id="rId4"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drawing" Target="../drawings/drawing6.xml"/><Relationship Id="rId4"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5" Type="http://schemas.openxmlformats.org/officeDocument/2006/relationships/drawing" Target="../drawings/drawing7.xml"/><Relationship Id="rId4" Type="http://schemas.openxmlformats.org/officeDocument/2006/relationships/printerSettings" Target="../printerSettings/printerSettings20.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drawing" Target="../drawings/drawing8.xml"/><Relationship Id="rId4"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5" Type="http://schemas.openxmlformats.org/officeDocument/2006/relationships/drawing" Target="../drawings/drawing9.xml"/><Relationship Id="rId4" Type="http://schemas.openxmlformats.org/officeDocument/2006/relationships/printerSettings" Target="../printerSettings/printerSettings2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1"/>
  <sheetViews>
    <sheetView topLeftCell="A10" workbookViewId="0">
      <selection activeCell="B19" sqref="B19"/>
    </sheetView>
  </sheetViews>
  <sheetFormatPr defaultRowHeight="15" x14ac:dyDescent="0.25"/>
  <cols>
    <col min="1" max="1" width="21.140625" style="324" customWidth="1"/>
    <col min="2" max="2" width="193.85546875" style="324" customWidth="1"/>
    <col min="3" max="16384" width="9.140625" style="324"/>
  </cols>
  <sheetData>
    <row r="1" spans="1:26" s="241" customFormat="1" ht="12.75" x14ac:dyDescent="0.2">
      <c r="A1" s="57"/>
      <c r="B1" s="57"/>
    </row>
    <row r="2" spans="1:26" s="241" customFormat="1" ht="12.75" x14ac:dyDescent="0.2">
      <c r="A2" s="57"/>
      <c r="B2" s="57"/>
    </row>
    <row r="3" spans="1:26" s="241" customFormat="1" ht="12.75" x14ac:dyDescent="0.2">
      <c r="A3" s="57"/>
      <c r="B3" s="57"/>
    </row>
    <row r="4" spans="1:26" s="241" customFormat="1" ht="12.75" x14ac:dyDescent="0.2">
      <c r="A4" s="57"/>
      <c r="B4" s="57"/>
    </row>
    <row r="5" spans="1:26" s="159" customFormat="1" ht="28.5" customHeight="1" x14ac:dyDescent="0.2">
      <c r="A5" s="328" t="s">
        <v>712</v>
      </c>
      <c r="B5" s="150"/>
      <c r="C5" s="158"/>
      <c r="D5" s="158"/>
      <c r="E5" s="158"/>
      <c r="F5" s="158"/>
      <c r="G5" s="158"/>
      <c r="H5" s="158"/>
      <c r="I5" s="158"/>
      <c r="J5" s="158"/>
      <c r="K5" s="158"/>
      <c r="L5" s="158"/>
      <c r="M5" s="158"/>
      <c r="N5" s="158"/>
      <c r="O5" s="158"/>
      <c r="P5" s="158"/>
      <c r="Q5" s="158"/>
      <c r="R5" s="158"/>
      <c r="S5" s="158"/>
      <c r="T5" s="158"/>
      <c r="U5" s="158"/>
      <c r="V5" s="158"/>
      <c r="W5" s="158"/>
      <c r="X5" s="158"/>
      <c r="Y5" s="158"/>
      <c r="Z5" s="158"/>
    </row>
    <row r="6" spans="1:26" s="241" customFormat="1" ht="13.5" thickBot="1" x14ac:dyDescent="0.25">
      <c r="A6" s="312" t="s">
        <v>716</v>
      </c>
      <c r="B6" s="321">
        <v>42067</v>
      </c>
      <c r="C6" s="322"/>
      <c r="D6" s="323"/>
    </row>
    <row r="7" spans="1:26" ht="260.25" customHeight="1" thickTop="1" x14ac:dyDescent="0.25">
      <c r="A7" s="819" t="s">
        <v>723</v>
      </c>
      <c r="B7" s="883" t="s">
        <v>1045</v>
      </c>
      <c r="C7" s="325"/>
      <c r="D7" s="325"/>
      <c r="E7" s="325"/>
      <c r="F7" s="325"/>
      <c r="G7" s="325"/>
      <c r="H7" s="325"/>
      <c r="I7" s="325"/>
      <c r="J7" s="325"/>
    </row>
    <row r="8" spans="1:26" ht="210.75" thickBot="1" x14ac:dyDescent="0.3">
      <c r="A8" s="820" t="s">
        <v>724</v>
      </c>
      <c r="B8" s="868" t="s">
        <v>1046</v>
      </c>
      <c r="C8" s="327"/>
      <c r="D8" s="327"/>
      <c r="E8" s="327"/>
      <c r="F8" s="327"/>
      <c r="G8" s="327"/>
      <c r="H8" s="327"/>
      <c r="I8" s="327"/>
      <c r="J8" s="327"/>
    </row>
    <row r="9" spans="1:26" x14ac:dyDescent="0.25">
      <c r="A9" s="884" t="s">
        <v>897</v>
      </c>
      <c r="B9" s="589" t="s">
        <v>906</v>
      </c>
      <c r="C9" s="326"/>
      <c r="D9" s="326"/>
      <c r="E9" s="326"/>
      <c r="F9" s="326"/>
      <c r="G9" s="326"/>
      <c r="H9" s="326"/>
      <c r="I9" s="326"/>
      <c r="J9" s="326"/>
    </row>
    <row r="10" spans="1:26" x14ac:dyDescent="0.25">
      <c r="A10" s="885"/>
      <c r="B10" s="590" t="s">
        <v>898</v>
      </c>
    </row>
    <row r="11" spans="1:26" x14ac:dyDescent="0.25">
      <c r="A11" s="885"/>
      <c r="B11" s="590" t="s">
        <v>899</v>
      </c>
    </row>
    <row r="12" spans="1:26" x14ac:dyDescent="0.25">
      <c r="A12" s="885"/>
      <c r="B12" s="590" t="s">
        <v>900</v>
      </c>
    </row>
    <row r="13" spans="1:26" x14ac:dyDescent="0.25">
      <c r="A13" s="885"/>
      <c r="B13" s="590" t="s">
        <v>901</v>
      </c>
    </row>
    <row r="14" spans="1:26" x14ac:dyDescent="0.25">
      <c r="A14" s="885"/>
      <c r="B14" s="590" t="s">
        <v>902</v>
      </c>
    </row>
    <row r="15" spans="1:26" x14ac:dyDescent="0.25">
      <c r="A15" s="885"/>
      <c r="B15" s="590" t="s">
        <v>903</v>
      </c>
    </row>
    <row r="16" spans="1:26" x14ac:dyDescent="0.25">
      <c r="A16" s="885"/>
      <c r="B16" s="590" t="s">
        <v>904</v>
      </c>
    </row>
    <row r="17" spans="1:2" x14ac:dyDescent="0.25">
      <c r="A17" s="885"/>
      <c r="B17" s="590" t="s">
        <v>905</v>
      </c>
    </row>
    <row r="18" spans="1:2" x14ac:dyDescent="0.25">
      <c r="A18" s="885"/>
      <c r="B18" s="590" t="s">
        <v>907</v>
      </c>
    </row>
    <row r="19" spans="1:2" ht="15.75" thickBot="1" x14ac:dyDescent="0.3">
      <c r="A19" s="886"/>
      <c r="B19" s="591" t="s">
        <v>908</v>
      </c>
    </row>
    <row r="20" spans="1:2" x14ac:dyDescent="0.25">
      <c r="B20" s="588"/>
    </row>
    <row r="21" spans="1:2" x14ac:dyDescent="0.25">
      <c r="B21" s="588"/>
    </row>
  </sheetData>
  <customSheetViews>
    <customSheetView guid="{1474D8E2-8801-474F-99A3-0D3DFA4B5FB3}" state="hidden">
      <selection activeCell="E9" sqref="E9"/>
      <pageMargins left="0.7" right="0.7" top="0.75" bottom="0.75" header="0.3" footer="0.3"/>
    </customSheetView>
    <customSheetView guid="{0270675F-18D5-4C83-B813-43237B4A5065}" state="hidden">
      <selection activeCell="E9" sqref="E9"/>
      <pageMargins left="0.7" right="0.7" top="0.75" bottom="0.75" header="0.3" footer="0.3"/>
    </customSheetView>
    <customSheetView guid="{68E4D3DD-37C5-4451-9CB1-FD36A6953DAF}" state="hidden">
      <selection activeCell="E9" sqref="E9"/>
      <pageMargins left="0.7" right="0.7" top="0.75" bottom="0.75" header="0.3" footer="0.3"/>
    </customSheetView>
  </customSheetViews>
  <mergeCells count="1">
    <mergeCell ref="A9:A19"/>
  </mergeCells>
  <hyperlinks>
    <hyperlink ref="B9" location="'Summary of Results'!A1" display="Summary of Results"/>
    <hyperlink ref="B10" location="Aquaculture!A1" display="Aquaculture Financial and Economic Analysis"/>
    <hyperlink ref="B11" location="Cassava!A1" display="Cassava Financial and Economic Analysis"/>
    <hyperlink ref="B12" location="Cocoa!A1" display="Cocoa Financial and Economic Analysis"/>
    <hyperlink ref="B13" location="Maize!A1" display="Maize Financial and Economic Analysis"/>
    <hyperlink ref="B14" location="'Rice - Rainfed'!A1" display="Rice - Rainfed Financial and Economic Analysis"/>
    <hyperlink ref="B15" location="'Rice - Irrigated'!A1" display="Rice - Irrigated Financial and Economic Analysis"/>
    <hyperlink ref="B16" location="Sorghum!A1" display="Sorghum Financial and Economic Analysis"/>
    <hyperlink ref="B17" location="Soybean!A1" display="Soybean Financial and Economic Analysis"/>
    <hyperlink ref="B18" location="CFs!A1" display="Conversion Factors"/>
    <hyperlink ref="B19" location="'Total Beneficiaries and Funding'!A1" display="Total Beneficiaries, by value chain, and assumptions for cost, by value chain"/>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35"/>
  <sheetViews>
    <sheetView zoomScale="85" zoomScaleNormal="85" workbookViewId="0">
      <selection activeCell="C399" sqref="C399"/>
    </sheetView>
  </sheetViews>
  <sheetFormatPr defaultColWidth="14.42578125" defaultRowHeight="15.75" customHeight="1" x14ac:dyDescent="0.2"/>
  <cols>
    <col min="1" max="1" width="3.85546875" style="226" customWidth="1"/>
    <col min="2" max="2" width="4.7109375" style="226" customWidth="1"/>
    <col min="3" max="3" width="15.28515625" style="226" customWidth="1"/>
    <col min="4" max="5" width="14.42578125" style="226"/>
    <col min="6" max="6" width="16.7109375" style="226" bestFit="1" customWidth="1"/>
    <col min="7" max="16384" width="14.42578125" style="226"/>
  </cols>
  <sheetData>
    <row r="1" spans="1:26" ht="45" customHeight="1" x14ac:dyDescent="0.3">
      <c r="A1" s="142"/>
      <c r="B1" s="119"/>
      <c r="C1" s="119"/>
      <c r="D1" s="119"/>
      <c r="E1" s="119"/>
      <c r="F1" s="119"/>
      <c r="G1" s="119"/>
      <c r="H1" s="119"/>
      <c r="I1" s="119"/>
      <c r="J1" s="119"/>
      <c r="K1" s="119"/>
      <c r="L1" s="119"/>
      <c r="M1" s="119"/>
      <c r="N1" s="119"/>
      <c r="O1" s="119"/>
      <c r="P1" s="119"/>
      <c r="Q1" s="119"/>
      <c r="R1" s="119"/>
      <c r="S1" s="119"/>
      <c r="T1" s="119"/>
      <c r="U1" s="119"/>
      <c r="V1" s="119"/>
      <c r="W1" s="119"/>
      <c r="X1" s="119"/>
      <c r="Y1" s="119"/>
      <c r="Z1" s="119"/>
    </row>
    <row r="2" spans="1:26" ht="28.5" customHeight="1" x14ac:dyDescent="0.2">
      <c r="A2" s="144" t="s">
        <v>510</v>
      </c>
      <c r="B2" s="119"/>
      <c r="C2" s="119"/>
      <c r="D2" s="119"/>
      <c r="E2" s="119"/>
      <c r="F2" s="119"/>
      <c r="G2" s="119"/>
      <c r="H2" s="119"/>
      <c r="I2" s="119"/>
      <c r="J2" s="119"/>
      <c r="K2" s="119"/>
      <c r="L2" s="119"/>
      <c r="M2" s="119"/>
      <c r="N2" s="119"/>
      <c r="O2" s="119"/>
      <c r="P2" s="119"/>
      <c r="Q2" s="119"/>
      <c r="R2" s="119"/>
      <c r="S2" s="119"/>
      <c r="T2" s="119"/>
      <c r="U2" s="119"/>
      <c r="V2" s="119"/>
      <c r="W2" s="119"/>
      <c r="X2" s="119"/>
      <c r="Y2" s="119"/>
      <c r="Z2" s="119"/>
    </row>
    <row r="3" spans="1:26" ht="15.75" customHeight="1" x14ac:dyDescent="0.2">
      <c r="A3" s="122"/>
      <c r="B3" s="122"/>
      <c r="C3" s="122"/>
      <c r="D3" s="122"/>
      <c r="E3" s="122"/>
      <c r="F3" s="122"/>
      <c r="G3" s="122"/>
      <c r="H3" s="122"/>
      <c r="I3" s="122"/>
      <c r="J3" s="238"/>
      <c r="K3" s="239"/>
      <c r="L3" s="122"/>
      <c r="M3" s="122"/>
      <c r="N3" s="122"/>
      <c r="O3" s="122"/>
      <c r="P3" s="122"/>
      <c r="Q3" s="122"/>
      <c r="R3" s="122"/>
      <c r="S3" s="122"/>
      <c r="T3" s="122"/>
      <c r="U3" s="122"/>
      <c r="V3" s="122"/>
      <c r="W3" s="122"/>
      <c r="X3" s="122"/>
      <c r="Y3" s="122"/>
      <c r="Z3" s="122"/>
    </row>
    <row r="4" spans="1:26" ht="15.75" customHeight="1" x14ac:dyDescent="0.2">
      <c r="A4" s="145" t="s">
        <v>356</v>
      </c>
      <c r="B4" s="119"/>
      <c r="C4" s="119"/>
      <c r="D4" s="119"/>
      <c r="F4" s="152" t="s">
        <v>595</v>
      </c>
      <c r="G4" s="146"/>
      <c r="H4" s="146"/>
      <c r="I4" s="146"/>
      <c r="J4" s="146"/>
      <c r="K4" s="119"/>
      <c r="L4" s="119"/>
      <c r="M4" s="119"/>
      <c r="N4" s="119"/>
      <c r="O4" s="119"/>
      <c r="P4" s="119"/>
      <c r="Q4" s="119"/>
      <c r="R4" s="119"/>
      <c r="S4" s="119"/>
      <c r="T4" s="119"/>
      <c r="U4" s="119"/>
      <c r="V4" s="119"/>
      <c r="W4" s="119"/>
      <c r="X4" s="119"/>
      <c r="Y4" s="119"/>
      <c r="Z4" s="119"/>
    </row>
    <row r="5" spans="1:26" ht="15.75" customHeight="1" x14ac:dyDescent="0.2">
      <c r="A5" s="147"/>
      <c r="B5" s="122"/>
      <c r="C5" s="122"/>
      <c r="D5" s="122"/>
      <c r="E5" s="122"/>
      <c r="F5" s="148"/>
      <c r="G5" s="148"/>
      <c r="H5" s="148"/>
      <c r="I5" s="148"/>
      <c r="J5" s="148"/>
      <c r="K5" s="122"/>
      <c r="L5" s="122"/>
      <c r="M5" s="122"/>
      <c r="N5" s="122"/>
      <c r="O5" s="122"/>
      <c r="P5" s="122"/>
      <c r="Q5" s="122"/>
      <c r="R5" s="122"/>
      <c r="S5" s="122"/>
      <c r="T5" s="122"/>
      <c r="U5" s="122"/>
      <c r="V5" s="122"/>
      <c r="W5" s="122"/>
      <c r="X5" s="122"/>
      <c r="Y5" s="122"/>
      <c r="Z5" s="122"/>
    </row>
    <row r="6" spans="1:26" ht="15.75" customHeight="1" x14ac:dyDescent="0.2">
      <c r="A6" s="145" t="s">
        <v>25</v>
      </c>
      <c r="B6" s="119"/>
      <c r="C6" s="119"/>
      <c r="D6" s="119"/>
      <c r="E6" s="119"/>
      <c r="F6" s="146" t="s">
        <v>0</v>
      </c>
      <c r="G6" s="146" t="s">
        <v>1</v>
      </c>
      <c r="H6" s="146" t="s">
        <v>2</v>
      </c>
      <c r="I6" s="146"/>
      <c r="J6" s="146"/>
      <c r="L6" s="119"/>
      <c r="M6" s="119"/>
      <c r="N6" s="119"/>
      <c r="O6" s="119"/>
      <c r="P6" s="119"/>
      <c r="Q6" s="119"/>
      <c r="R6" s="119"/>
      <c r="S6" s="119"/>
      <c r="T6" s="119"/>
      <c r="U6" s="119"/>
      <c r="V6" s="119"/>
      <c r="W6" s="119"/>
      <c r="X6" s="119"/>
      <c r="Y6" s="119"/>
      <c r="Z6" s="119"/>
    </row>
    <row r="7" spans="1:26" ht="15.75" customHeight="1" x14ac:dyDescent="0.2">
      <c r="A7" s="122"/>
      <c r="B7" s="340" t="s">
        <v>3</v>
      </c>
      <c r="C7" s="405"/>
      <c r="D7" s="405"/>
      <c r="E7" s="405"/>
      <c r="F7" s="405"/>
      <c r="G7" s="405"/>
      <c r="H7" s="405"/>
      <c r="I7" s="412"/>
      <c r="J7" s="412"/>
      <c r="K7" s="412"/>
      <c r="L7" s="412"/>
      <c r="M7" s="412"/>
      <c r="N7" s="412"/>
      <c r="O7" s="412"/>
      <c r="P7" s="122"/>
      <c r="Q7" s="122"/>
      <c r="R7" s="122"/>
      <c r="S7" s="122"/>
      <c r="T7" s="122"/>
      <c r="U7" s="122"/>
      <c r="V7" s="122"/>
      <c r="W7" s="122"/>
      <c r="X7" s="122"/>
      <c r="Y7" s="122"/>
      <c r="Z7" s="122"/>
    </row>
    <row r="8" spans="1:26" ht="15.75" customHeight="1" x14ac:dyDescent="0.2">
      <c r="A8" s="122"/>
      <c r="B8" s="405"/>
      <c r="C8" s="395" t="s">
        <v>4</v>
      </c>
      <c r="D8" s="405"/>
      <c r="E8" s="405"/>
      <c r="F8" s="406">
        <v>7.9000000000000001E-2</v>
      </c>
      <c r="G8" s="405" t="s">
        <v>5</v>
      </c>
      <c r="H8" s="405" t="s">
        <v>6</v>
      </c>
      <c r="I8" s="412"/>
      <c r="J8" s="412"/>
      <c r="K8" s="412"/>
      <c r="L8" s="412"/>
      <c r="M8" s="412"/>
      <c r="N8" s="412"/>
      <c r="O8" s="412"/>
      <c r="P8" s="122"/>
      <c r="Q8" s="122"/>
      <c r="R8" s="122"/>
      <c r="S8" s="122"/>
      <c r="T8" s="122"/>
      <c r="U8" s="122"/>
      <c r="V8" s="122"/>
      <c r="W8" s="122"/>
      <c r="X8" s="122"/>
      <c r="Y8" s="122"/>
      <c r="Z8" s="122"/>
    </row>
    <row r="9" spans="1:26" ht="15.75" customHeight="1" x14ac:dyDescent="0.2">
      <c r="A9" s="122"/>
      <c r="B9" s="405"/>
      <c r="C9" s="395" t="s">
        <v>7</v>
      </c>
      <c r="D9" s="405"/>
      <c r="E9" s="405"/>
      <c r="F9" s="406">
        <v>2.5000000000000001E-2</v>
      </c>
      <c r="G9" s="405" t="s">
        <v>5</v>
      </c>
      <c r="H9" s="405"/>
      <c r="I9" s="412"/>
      <c r="J9" s="412"/>
      <c r="K9" s="412"/>
      <c r="L9" s="412"/>
      <c r="M9" s="412"/>
      <c r="N9" s="412"/>
      <c r="O9" s="412"/>
      <c r="P9" s="122"/>
      <c r="Q9" s="122"/>
      <c r="R9" s="122"/>
      <c r="S9" s="122"/>
      <c r="T9" s="122"/>
      <c r="U9" s="122"/>
      <c r="V9" s="122"/>
      <c r="W9" s="122"/>
      <c r="X9" s="122"/>
      <c r="Y9" s="122"/>
      <c r="Z9" s="122"/>
    </row>
    <row r="10" spans="1:26" ht="15.75" customHeight="1" x14ac:dyDescent="0.2">
      <c r="A10" s="122"/>
      <c r="B10" s="405"/>
      <c r="C10" s="395" t="s">
        <v>8</v>
      </c>
      <c r="D10" s="405"/>
      <c r="E10" s="405"/>
      <c r="F10" s="416">
        <v>157.54</v>
      </c>
      <c r="G10" s="405" t="s">
        <v>9</v>
      </c>
      <c r="H10" s="405" t="s">
        <v>10</v>
      </c>
      <c r="I10" s="412"/>
      <c r="J10" s="412"/>
      <c r="K10" s="412"/>
      <c r="L10" s="412"/>
      <c r="M10" s="412"/>
      <c r="N10" s="412"/>
      <c r="O10" s="412"/>
      <c r="P10" s="122"/>
      <c r="Q10" s="122"/>
      <c r="R10" s="122"/>
      <c r="S10" s="122"/>
      <c r="T10" s="122"/>
      <c r="U10" s="122"/>
      <c r="V10" s="122"/>
      <c r="W10" s="122"/>
      <c r="X10" s="122"/>
      <c r="Y10" s="122"/>
      <c r="Z10" s="122"/>
    </row>
    <row r="11" spans="1:26" ht="15.75" customHeight="1" x14ac:dyDescent="0.2">
      <c r="A11" s="122"/>
      <c r="B11" s="405"/>
      <c r="C11" s="395" t="s">
        <v>11</v>
      </c>
      <c r="D11" s="405"/>
      <c r="E11" s="405"/>
      <c r="F11" s="408">
        <v>0</v>
      </c>
      <c r="G11" s="405" t="s">
        <v>5</v>
      </c>
      <c r="H11" s="405" t="s">
        <v>12</v>
      </c>
      <c r="I11" s="412"/>
      <c r="J11" s="412"/>
      <c r="K11" s="412"/>
      <c r="L11" s="412"/>
      <c r="M11" s="412"/>
      <c r="N11" s="412"/>
      <c r="O11" s="412"/>
      <c r="P11" s="122"/>
      <c r="Q11" s="122"/>
      <c r="R11" s="122"/>
      <c r="S11" s="122"/>
      <c r="T11" s="122"/>
      <c r="U11" s="122"/>
      <c r="V11" s="122"/>
      <c r="W11" s="122"/>
      <c r="X11" s="122"/>
      <c r="Y11" s="122"/>
      <c r="Z11" s="122"/>
    </row>
    <row r="12" spans="1:26" ht="15.75" customHeight="1" x14ac:dyDescent="0.2">
      <c r="A12" s="122"/>
      <c r="B12" s="405"/>
      <c r="C12" s="395" t="s">
        <v>13</v>
      </c>
      <c r="D12" s="405"/>
      <c r="E12" s="405"/>
      <c r="F12" s="406">
        <v>0.10199999999999999</v>
      </c>
      <c r="G12" s="405" t="s">
        <v>5</v>
      </c>
      <c r="H12" s="405" t="s">
        <v>14</v>
      </c>
      <c r="I12" s="412"/>
      <c r="J12" s="412"/>
      <c r="K12" s="412"/>
      <c r="L12" s="412"/>
      <c r="M12" s="412"/>
      <c r="N12" s="412"/>
      <c r="O12" s="412"/>
      <c r="P12" s="122"/>
      <c r="Q12" s="122"/>
      <c r="R12" s="122"/>
      <c r="S12" s="122"/>
      <c r="T12" s="122"/>
      <c r="U12" s="122"/>
      <c r="V12" s="122"/>
      <c r="W12" s="122"/>
      <c r="X12" s="122"/>
      <c r="Y12" s="122"/>
      <c r="Z12" s="122"/>
    </row>
    <row r="13" spans="1:26" ht="15.75" customHeight="1" x14ac:dyDescent="0.2">
      <c r="A13" s="122"/>
      <c r="B13" s="405"/>
      <c r="C13" s="395" t="s">
        <v>15</v>
      </c>
      <c r="D13" s="405"/>
      <c r="E13" s="405"/>
      <c r="F13" s="409">
        <v>173.60908000000001</v>
      </c>
      <c r="G13" s="405" t="s">
        <v>9</v>
      </c>
      <c r="H13" s="405"/>
      <c r="I13" s="412"/>
      <c r="J13" s="412"/>
      <c r="K13" s="412"/>
      <c r="L13" s="412"/>
      <c r="M13" s="412"/>
      <c r="N13" s="412"/>
      <c r="O13" s="412"/>
      <c r="P13" s="122"/>
      <c r="Q13" s="122"/>
      <c r="R13" s="122"/>
      <c r="S13" s="122"/>
      <c r="T13" s="122"/>
      <c r="U13" s="122"/>
      <c r="V13" s="122"/>
      <c r="W13" s="122"/>
      <c r="X13" s="122"/>
      <c r="Y13" s="122"/>
      <c r="Z13" s="122"/>
    </row>
    <row r="14" spans="1:26" ht="15.75" customHeight="1" x14ac:dyDescent="0.2">
      <c r="A14" s="122"/>
      <c r="B14" s="405"/>
      <c r="C14" s="395" t="s">
        <v>16</v>
      </c>
      <c r="D14" s="405"/>
      <c r="E14" s="405"/>
      <c r="F14" s="406">
        <v>8.4000000000000005E-2</v>
      </c>
      <c r="G14" s="405" t="s">
        <v>5</v>
      </c>
      <c r="H14" s="405" t="s">
        <v>1073</v>
      </c>
      <c r="I14" s="412"/>
      <c r="J14" s="412"/>
      <c r="K14" s="412"/>
      <c r="L14" s="412"/>
      <c r="M14" s="412"/>
      <c r="N14" s="412"/>
      <c r="O14" s="412"/>
      <c r="P14" s="122"/>
      <c r="Q14" s="122"/>
      <c r="R14" s="122"/>
      <c r="S14" s="122"/>
      <c r="T14" s="122"/>
      <c r="U14" s="122"/>
      <c r="V14" s="122"/>
      <c r="W14" s="122"/>
      <c r="X14" s="122"/>
      <c r="Y14" s="122"/>
      <c r="Z14" s="122"/>
    </row>
    <row r="15" spans="1:26" ht="15.75" customHeight="1" x14ac:dyDescent="0.2">
      <c r="A15" s="122"/>
      <c r="B15" s="405"/>
      <c r="C15" s="395" t="s">
        <v>17</v>
      </c>
      <c r="D15" s="405"/>
      <c r="E15" s="405"/>
      <c r="F15" s="406">
        <v>0.23977099999999996</v>
      </c>
      <c r="G15" s="405" t="s">
        <v>5</v>
      </c>
      <c r="H15" s="405"/>
      <c r="I15" s="412"/>
      <c r="J15" s="412"/>
      <c r="K15" s="412"/>
      <c r="L15" s="412"/>
      <c r="M15" s="412"/>
      <c r="N15" s="412"/>
      <c r="O15" s="412"/>
      <c r="P15" s="122"/>
      <c r="Q15" s="122"/>
      <c r="R15" s="122"/>
      <c r="S15" s="122"/>
      <c r="T15" s="122"/>
      <c r="U15" s="122"/>
      <c r="V15" s="122"/>
      <c r="W15" s="122"/>
      <c r="X15" s="122"/>
      <c r="Y15" s="122"/>
      <c r="Z15" s="122"/>
    </row>
    <row r="16" spans="1:26" ht="15.75" customHeight="1" x14ac:dyDescent="0.2">
      <c r="A16" s="122"/>
      <c r="B16" s="405"/>
      <c r="C16" s="395" t="s">
        <v>18</v>
      </c>
      <c r="D16" s="405"/>
      <c r="E16" s="405"/>
      <c r="F16" s="406">
        <v>0.14899999999999999</v>
      </c>
      <c r="G16" s="405" t="s">
        <v>5</v>
      </c>
      <c r="H16" s="405" t="s">
        <v>19</v>
      </c>
      <c r="I16" s="412"/>
      <c r="J16" s="412"/>
      <c r="K16" s="412"/>
      <c r="L16" s="412"/>
      <c r="M16" s="412"/>
      <c r="N16" s="412"/>
      <c r="O16" s="412"/>
      <c r="P16" s="122"/>
      <c r="Q16" s="122"/>
      <c r="R16" s="122"/>
      <c r="S16" s="122"/>
      <c r="T16" s="122"/>
      <c r="U16" s="122"/>
      <c r="V16" s="122"/>
      <c r="W16" s="122"/>
      <c r="X16" s="122"/>
      <c r="Y16" s="122"/>
      <c r="Z16" s="122"/>
    </row>
    <row r="17" spans="1:26" ht="15.75" customHeight="1" x14ac:dyDescent="0.2">
      <c r="A17" s="122"/>
      <c r="B17" s="410"/>
      <c r="C17" s="411"/>
      <c r="D17" s="412"/>
      <c r="E17" s="412"/>
      <c r="F17" s="412"/>
      <c r="G17" s="412"/>
      <c r="H17" s="412"/>
      <c r="I17" s="412"/>
      <c r="J17" s="412"/>
      <c r="K17" s="412"/>
      <c r="L17" s="412"/>
      <c r="M17" s="412"/>
      <c r="N17" s="412"/>
      <c r="O17" s="412"/>
      <c r="P17" s="122"/>
      <c r="Q17" s="122"/>
      <c r="R17" s="122"/>
      <c r="S17" s="122"/>
      <c r="T17" s="122"/>
      <c r="U17" s="122"/>
      <c r="V17" s="122"/>
      <c r="W17" s="122"/>
      <c r="X17" s="122"/>
      <c r="Y17" s="122"/>
      <c r="Z17" s="122"/>
    </row>
    <row r="18" spans="1:26" ht="15.75" customHeight="1" x14ac:dyDescent="0.2">
      <c r="A18" s="122"/>
      <c r="B18" s="340" t="s">
        <v>20</v>
      </c>
      <c r="C18" s="395"/>
      <c r="D18" s="405"/>
      <c r="E18" s="405"/>
      <c r="F18" s="405"/>
      <c r="G18" s="405"/>
      <c r="H18" s="405"/>
      <c r="I18" s="412"/>
      <c r="J18" s="412"/>
      <c r="K18" s="412"/>
      <c r="L18" s="412"/>
      <c r="M18" s="412"/>
      <c r="N18" s="412"/>
      <c r="O18" s="412"/>
      <c r="P18" s="122"/>
      <c r="Q18" s="122"/>
      <c r="R18" s="122"/>
      <c r="S18" s="122"/>
      <c r="T18" s="122"/>
      <c r="U18" s="122"/>
      <c r="V18" s="122"/>
      <c r="W18" s="122"/>
      <c r="X18" s="122"/>
      <c r="Y18" s="122"/>
      <c r="Z18" s="122"/>
    </row>
    <row r="19" spans="1:26" ht="15.75" customHeight="1" x14ac:dyDescent="0.2">
      <c r="A19" s="122"/>
      <c r="B19" s="405"/>
      <c r="C19" s="395" t="s">
        <v>21</v>
      </c>
      <c r="D19" s="405"/>
      <c r="E19" s="405"/>
      <c r="F19" s="406">
        <v>0.16800000000000001</v>
      </c>
      <c r="G19" s="395" t="s">
        <v>5</v>
      </c>
      <c r="H19" s="405" t="s">
        <v>22</v>
      </c>
      <c r="I19" s="412"/>
      <c r="J19" s="412"/>
      <c r="K19" s="412"/>
      <c r="L19" s="412"/>
      <c r="M19" s="412"/>
      <c r="N19" s="412"/>
      <c r="O19" s="412"/>
      <c r="P19" s="122"/>
      <c r="Q19" s="122"/>
      <c r="R19" s="122"/>
      <c r="S19" s="122"/>
      <c r="T19" s="122"/>
      <c r="U19" s="122"/>
      <c r="V19" s="122"/>
      <c r="W19" s="122"/>
      <c r="X19" s="122"/>
      <c r="Y19" s="122"/>
      <c r="Z19" s="122"/>
    </row>
    <row r="20" spans="1:26" ht="15.75" customHeight="1" x14ac:dyDescent="0.2">
      <c r="A20" s="122"/>
      <c r="B20" s="405"/>
      <c r="C20" s="395" t="s">
        <v>23</v>
      </c>
      <c r="D20" s="405"/>
      <c r="E20" s="405"/>
      <c r="F20" s="413">
        <v>0.12</v>
      </c>
      <c r="G20" s="395" t="s">
        <v>5</v>
      </c>
      <c r="H20" s="405"/>
      <c r="I20" s="412"/>
      <c r="J20" s="412"/>
      <c r="K20" s="412"/>
      <c r="L20" s="412"/>
      <c r="M20" s="412"/>
      <c r="N20" s="412"/>
      <c r="O20" s="412"/>
      <c r="P20" s="122"/>
      <c r="Q20" s="122"/>
      <c r="R20" s="122"/>
      <c r="S20" s="122"/>
      <c r="T20" s="122"/>
      <c r="U20" s="122"/>
      <c r="V20" s="122"/>
      <c r="W20" s="122"/>
      <c r="X20" s="122"/>
      <c r="Y20" s="122"/>
      <c r="Z20" s="122"/>
    </row>
    <row r="21" spans="1:26" customFormat="1" ht="15.75" customHeight="1" x14ac:dyDescent="0.2">
      <c r="A21" s="3"/>
      <c r="B21" s="447"/>
      <c r="C21" s="447"/>
      <c r="D21" s="447"/>
      <c r="E21" s="447"/>
      <c r="F21" s="447"/>
      <c r="G21" s="447"/>
      <c r="H21" s="447"/>
      <c r="I21" s="447"/>
      <c r="J21" s="447"/>
      <c r="K21" s="447"/>
      <c r="L21" s="447"/>
      <c r="M21" s="447"/>
      <c r="N21" s="447"/>
      <c r="O21" s="447"/>
      <c r="P21" s="3"/>
      <c r="Q21" s="3"/>
      <c r="R21" s="3"/>
      <c r="S21" s="3"/>
      <c r="T21" s="3"/>
      <c r="U21" s="3"/>
      <c r="V21" s="3"/>
      <c r="W21" s="3"/>
      <c r="X21" s="3"/>
      <c r="Y21" s="3"/>
      <c r="Z21" s="3"/>
    </row>
    <row r="22" spans="1:26" customFormat="1" ht="15.75" customHeight="1" x14ac:dyDescent="0.2">
      <c r="A22" s="3"/>
      <c r="B22" s="447"/>
      <c r="C22" s="447"/>
      <c r="D22" s="447"/>
      <c r="E22" s="447"/>
      <c r="F22" s="578" t="s">
        <v>44</v>
      </c>
      <c r="G22" s="579"/>
      <c r="H22" s="480"/>
      <c r="I22" s="578" t="s">
        <v>351</v>
      </c>
      <c r="J22" s="579"/>
      <c r="K22" s="579"/>
      <c r="L22" s="3"/>
      <c r="M22" s="3"/>
      <c r="N22" s="3"/>
      <c r="O22" s="3"/>
      <c r="P22" s="3"/>
      <c r="Q22" s="3"/>
      <c r="R22" s="3"/>
      <c r="S22" s="3"/>
      <c r="T22" s="3"/>
      <c r="U22" s="3"/>
      <c r="V22" s="3"/>
      <c r="W22" s="3"/>
      <c r="X22" s="3"/>
      <c r="Y22" s="3"/>
      <c r="Z22" s="3"/>
    </row>
    <row r="23" spans="1:26" customFormat="1" ht="18" customHeight="1" x14ac:dyDescent="0.2">
      <c r="A23" s="3"/>
      <c r="B23" s="452"/>
      <c r="C23" s="447"/>
      <c r="D23" s="447"/>
      <c r="E23" s="447"/>
      <c r="F23" s="414" t="s">
        <v>0</v>
      </c>
      <c r="G23" s="5" t="s">
        <v>1</v>
      </c>
      <c r="H23" s="2"/>
      <c r="I23" s="414" t="s">
        <v>0</v>
      </c>
      <c r="J23" s="5" t="s">
        <v>1</v>
      </c>
      <c r="K23" s="5" t="s">
        <v>2</v>
      </c>
      <c r="L23" s="3"/>
      <c r="M23" s="3"/>
      <c r="N23" s="3"/>
      <c r="O23" s="3"/>
      <c r="P23" s="3"/>
      <c r="Q23" s="3"/>
      <c r="R23" s="3"/>
      <c r="S23" s="3"/>
      <c r="T23" s="3"/>
      <c r="U23" s="3"/>
      <c r="V23" s="3"/>
      <c r="W23" s="3"/>
      <c r="X23" s="3"/>
      <c r="Y23" s="3"/>
      <c r="Z23" s="3"/>
    </row>
    <row r="24" spans="1:26" ht="15.75" customHeight="1" x14ac:dyDescent="0.2">
      <c r="A24" s="122"/>
      <c r="B24" s="340" t="s">
        <v>46</v>
      </c>
      <c r="C24" s="405"/>
      <c r="D24" s="405"/>
      <c r="E24" s="405"/>
      <c r="F24" s="405"/>
      <c r="G24" s="405"/>
      <c r="H24" s="405"/>
      <c r="I24" s="405"/>
      <c r="J24" s="405"/>
      <c r="K24" s="405"/>
      <c r="L24" s="122"/>
      <c r="M24" s="122"/>
      <c r="N24" s="122"/>
      <c r="O24" s="122"/>
      <c r="P24" s="122"/>
      <c r="Q24" s="122"/>
      <c r="R24" s="122"/>
      <c r="S24" s="122"/>
      <c r="T24" s="122"/>
      <c r="U24" s="122"/>
      <c r="V24" s="122"/>
      <c r="W24" s="122"/>
      <c r="X24" s="122"/>
      <c r="Y24" s="122"/>
      <c r="Z24" s="122"/>
    </row>
    <row r="25" spans="1:26" ht="15.75" customHeight="1" x14ac:dyDescent="0.2">
      <c r="A25" s="122"/>
      <c r="B25" s="405"/>
      <c r="C25" s="395" t="s">
        <v>47</v>
      </c>
      <c r="D25" s="405"/>
      <c r="E25" s="405"/>
      <c r="F25" s="417">
        <v>1.36</v>
      </c>
      <c r="G25" s="395" t="s">
        <v>48</v>
      </c>
      <c r="H25" s="405" t="s">
        <v>357</v>
      </c>
      <c r="I25" s="503">
        <f>F25</f>
        <v>1.36</v>
      </c>
      <c r="J25" s="395" t="s">
        <v>48</v>
      </c>
      <c r="K25" s="405" t="s">
        <v>12</v>
      </c>
      <c r="L25" s="122"/>
      <c r="M25" s="122"/>
      <c r="N25" s="122"/>
      <c r="O25" s="122"/>
      <c r="P25" s="122"/>
      <c r="Q25" s="122"/>
      <c r="R25" s="122"/>
      <c r="S25" s="122"/>
      <c r="T25" s="122"/>
      <c r="U25" s="122"/>
      <c r="V25" s="122"/>
      <c r="W25" s="122"/>
      <c r="X25" s="122"/>
      <c r="Y25" s="122"/>
      <c r="Z25" s="122"/>
    </row>
    <row r="26" spans="1:26" ht="15.75" customHeight="1" x14ac:dyDescent="0.2">
      <c r="A26" s="122"/>
      <c r="B26" s="405"/>
      <c r="C26" s="395" t="s">
        <v>53</v>
      </c>
      <c r="D26" s="405"/>
      <c r="E26" s="405"/>
      <c r="F26" s="417">
        <v>6.7</v>
      </c>
      <c r="G26" s="395" t="s">
        <v>54</v>
      </c>
      <c r="H26" s="405" t="s">
        <v>358</v>
      </c>
      <c r="I26" s="503">
        <f>F26</f>
        <v>6.7</v>
      </c>
      <c r="J26" s="395" t="s">
        <v>54</v>
      </c>
      <c r="K26" s="582"/>
      <c r="L26" s="122"/>
      <c r="M26" s="122"/>
      <c r="N26" s="122"/>
      <c r="O26" s="122"/>
      <c r="P26" s="122"/>
      <c r="Q26" s="122"/>
      <c r="R26" s="122"/>
      <c r="S26" s="122"/>
      <c r="T26" s="122"/>
      <c r="U26" s="122"/>
      <c r="V26" s="122"/>
      <c r="W26" s="122"/>
      <c r="X26" s="122"/>
      <c r="Y26" s="122"/>
      <c r="Z26" s="122"/>
    </row>
    <row r="27" spans="1:26" ht="15.75" customHeight="1" x14ac:dyDescent="0.2">
      <c r="A27" s="122"/>
      <c r="B27" s="405"/>
      <c r="C27" s="391" t="s">
        <v>359</v>
      </c>
      <c r="D27" s="405"/>
      <c r="E27" s="405"/>
      <c r="F27" s="504">
        <v>159</v>
      </c>
      <c r="G27" s="395" t="s">
        <v>57</v>
      </c>
      <c r="H27" s="405" t="s">
        <v>357</v>
      </c>
      <c r="I27" s="505">
        <f>F27*1.2</f>
        <v>190.79999999999998</v>
      </c>
      <c r="J27" s="395" t="s">
        <v>57</v>
      </c>
      <c r="K27" s="405" t="s">
        <v>360</v>
      </c>
      <c r="L27" s="122"/>
      <c r="M27" s="122"/>
      <c r="N27" s="122"/>
      <c r="O27" s="122"/>
      <c r="P27" s="122"/>
      <c r="Q27" s="122"/>
      <c r="R27" s="122"/>
      <c r="S27" s="122"/>
      <c r="T27" s="122"/>
      <c r="U27" s="122"/>
      <c r="V27" s="122"/>
      <c r="W27" s="122"/>
      <c r="X27" s="122"/>
      <c r="Y27" s="122"/>
      <c r="Z27" s="122"/>
    </row>
    <row r="28" spans="1:26" ht="15.75" customHeight="1" x14ac:dyDescent="0.2">
      <c r="A28" s="122"/>
      <c r="B28" s="412"/>
      <c r="C28" s="412"/>
      <c r="D28" s="412"/>
      <c r="E28" s="412"/>
      <c r="F28" s="412"/>
      <c r="G28" s="412"/>
      <c r="H28" s="412"/>
      <c r="I28" s="412"/>
      <c r="J28" s="412"/>
      <c r="K28" s="412"/>
      <c r="L28" s="122"/>
      <c r="M28" s="122"/>
      <c r="N28" s="122"/>
      <c r="O28" s="122"/>
      <c r="P28" s="122"/>
      <c r="Q28" s="122"/>
      <c r="R28" s="122"/>
      <c r="S28" s="122"/>
      <c r="T28" s="122"/>
      <c r="U28" s="122"/>
      <c r="V28" s="122"/>
      <c r="W28" s="122"/>
      <c r="X28" s="122"/>
      <c r="Y28" s="122"/>
      <c r="Z28" s="122"/>
    </row>
    <row r="29" spans="1:26" ht="15.75" customHeight="1" x14ac:dyDescent="0.2">
      <c r="A29" s="122"/>
      <c r="B29" s="875" t="s">
        <v>361</v>
      </c>
      <c r="C29" s="422"/>
      <c r="D29" s="422"/>
      <c r="E29" s="422"/>
      <c r="F29" s="422"/>
      <c r="G29" s="422"/>
      <c r="H29" s="422"/>
      <c r="I29" s="422"/>
      <c r="J29" s="422"/>
      <c r="K29" s="422"/>
      <c r="L29" s="122"/>
      <c r="M29" s="122"/>
      <c r="N29" s="122"/>
      <c r="O29" s="122"/>
      <c r="P29" s="122"/>
      <c r="Q29" s="122"/>
      <c r="R29" s="122"/>
      <c r="S29" s="122"/>
      <c r="T29" s="122"/>
      <c r="U29" s="122"/>
      <c r="V29" s="122"/>
      <c r="W29" s="122"/>
      <c r="X29" s="122"/>
      <c r="Y29" s="122"/>
      <c r="Z29" s="122"/>
    </row>
    <row r="30" spans="1:26" ht="15.75" customHeight="1" x14ac:dyDescent="0.2">
      <c r="A30" s="122"/>
      <c r="B30" s="405"/>
      <c r="C30" s="395" t="s">
        <v>60</v>
      </c>
      <c r="D30" s="405"/>
      <c r="E30" s="405"/>
      <c r="F30" s="417">
        <v>0.77</v>
      </c>
      <c r="G30" s="395" t="s">
        <v>61</v>
      </c>
      <c r="H30" s="405" t="s">
        <v>357</v>
      </c>
      <c r="I30" s="418">
        <v>1.6</v>
      </c>
      <c r="J30" s="395" t="s">
        <v>61</v>
      </c>
      <c r="K30" s="405" t="s">
        <v>362</v>
      </c>
      <c r="L30" s="122"/>
      <c r="M30" s="122"/>
      <c r="N30" s="122"/>
      <c r="O30" s="122"/>
      <c r="P30" s="122"/>
      <c r="Q30" s="122"/>
      <c r="R30" s="122"/>
      <c r="S30" s="122"/>
      <c r="T30" s="122"/>
      <c r="U30" s="122"/>
      <c r="V30" s="122"/>
      <c r="W30" s="122"/>
      <c r="X30" s="122"/>
      <c r="Y30" s="122"/>
      <c r="Z30" s="122"/>
    </row>
    <row r="31" spans="1:26" ht="15.75" customHeight="1" x14ac:dyDescent="0.2">
      <c r="A31" s="122"/>
      <c r="B31" s="405"/>
      <c r="C31" s="395" t="s">
        <v>63</v>
      </c>
      <c r="D31" s="405"/>
      <c r="E31" s="405"/>
      <c r="F31" s="395"/>
      <c r="G31" s="395"/>
      <c r="H31" s="405"/>
      <c r="I31" s="423">
        <v>2.4</v>
      </c>
      <c r="J31" s="395" t="s">
        <v>61</v>
      </c>
      <c r="K31" s="405" t="s">
        <v>362</v>
      </c>
      <c r="L31" s="122"/>
      <c r="M31" s="122"/>
      <c r="N31" s="122"/>
      <c r="O31" s="122"/>
      <c r="P31" s="122"/>
      <c r="Q31" s="122"/>
      <c r="R31" s="122"/>
      <c r="S31" s="122"/>
      <c r="T31" s="122"/>
      <c r="U31" s="122"/>
      <c r="V31" s="122"/>
      <c r="W31" s="122"/>
      <c r="X31" s="122"/>
      <c r="Y31" s="122"/>
      <c r="Z31" s="122"/>
    </row>
    <row r="32" spans="1:26" ht="15.75" customHeight="1" x14ac:dyDescent="0.2">
      <c r="A32" s="122"/>
      <c r="B32" s="405"/>
      <c r="C32" s="395" t="s">
        <v>65</v>
      </c>
      <c r="D32" s="405"/>
      <c r="E32" s="405"/>
      <c r="F32" s="417">
        <v>0</v>
      </c>
      <c r="G32" s="395" t="s">
        <v>66</v>
      </c>
      <c r="H32" s="405"/>
      <c r="I32" s="417">
        <v>1</v>
      </c>
      <c r="J32" s="395" t="s">
        <v>66</v>
      </c>
      <c r="K32" s="405"/>
      <c r="L32" s="122"/>
      <c r="M32" s="122"/>
      <c r="N32" s="122"/>
      <c r="O32" s="122"/>
      <c r="P32" s="122"/>
      <c r="Q32" s="122"/>
      <c r="R32" s="122"/>
      <c r="S32" s="122"/>
      <c r="T32" s="122"/>
      <c r="U32" s="122"/>
      <c r="V32" s="122"/>
      <c r="W32" s="122"/>
      <c r="X32" s="122"/>
      <c r="Y32" s="122"/>
      <c r="Z32" s="122"/>
    </row>
    <row r="33" spans="1:26" ht="15.75" customHeight="1" x14ac:dyDescent="0.2">
      <c r="A33" s="122"/>
      <c r="B33" s="405"/>
      <c r="C33" s="395" t="s">
        <v>67</v>
      </c>
      <c r="D33" s="405"/>
      <c r="E33" s="405"/>
      <c r="F33" s="395"/>
      <c r="G33" s="395" t="s">
        <v>66</v>
      </c>
      <c r="H33" s="405"/>
      <c r="I33" s="436">
        <v>1</v>
      </c>
      <c r="J33" s="395" t="s">
        <v>66</v>
      </c>
      <c r="K33" s="405"/>
      <c r="L33" s="122"/>
      <c r="M33" s="122"/>
      <c r="N33" s="122"/>
      <c r="O33" s="122"/>
      <c r="P33" s="122"/>
      <c r="Q33" s="122"/>
      <c r="R33" s="122"/>
      <c r="S33" s="122"/>
      <c r="T33" s="122"/>
      <c r="U33" s="122"/>
      <c r="V33" s="122"/>
      <c r="W33" s="122"/>
      <c r="X33" s="122"/>
      <c r="Y33" s="122"/>
      <c r="Z33" s="122"/>
    </row>
    <row r="34" spans="1:26" ht="15.75" customHeight="1" x14ac:dyDescent="0.2">
      <c r="A34" s="122"/>
      <c r="B34" s="405"/>
      <c r="C34" s="395" t="s">
        <v>411</v>
      </c>
      <c r="D34" s="405"/>
      <c r="E34" s="405"/>
      <c r="F34" s="419">
        <v>1.7999999999999999E-2</v>
      </c>
      <c r="G34" s="395" t="s">
        <v>69</v>
      </c>
      <c r="H34" s="405" t="s">
        <v>364</v>
      </c>
      <c r="I34" s="508"/>
      <c r="J34" s="395"/>
      <c r="K34" s="405"/>
      <c r="L34" s="122"/>
      <c r="M34" s="122"/>
      <c r="N34" s="122"/>
      <c r="O34" s="122"/>
      <c r="P34" s="122"/>
      <c r="Q34" s="122"/>
      <c r="R34" s="122"/>
      <c r="S34" s="122"/>
      <c r="T34" s="122"/>
      <c r="U34" s="122"/>
      <c r="V34" s="122"/>
      <c r="W34" s="122"/>
      <c r="X34" s="122"/>
      <c r="Y34" s="122"/>
      <c r="Z34" s="122"/>
    </row>
    <row r="35" spans="1:26" ht="15.75" customHeight="1" x14ac:dyDescent="0.2">
      <c r="A35" s="122"/>
      <c r="B35" s="405"/>
      <c r="C35" s="395" t="s">
        <v>412</v>
      </c>
      <c r="D35" s="405"/>
      <c r="E35" s="405"/>
      <c r="F35" s="509"/>
      <c r="G35" s="395"/>
      <c r="H35" s="405"/>
      <c r="I35" s="538">
        <v>0.14000000000000001</v>
      </c>
      <c r="J35" s="395" t="s">
        <v>69</v>
      </c>
      <c r="K35" s="405" t="s">
        <v>1043</v>
      </c>
      <c r="L35" s="122"/>
      <c r="M35" s="122"/>
      <c r="N35" s="122"/>
      <c r="O35" s="122"/>
      <c r="P35" s="122"/>
      <c r="Q35" s="122"/>
      <c r="R35" s="122"/>
      <c r="S35" s="122"/>
      <c r="T35" s="122"/>
      <c r="U35" s="122"/>
      <c r="V35" s="122"/>
      <c r="W35" s="122"/>
      <c r="X35" s="122"/>
      <c r="Y35" s="122"/>
      <c r="Z35" s="122"/>
    </row>
    <row r="36" spans="1:26" ht="15.75" customHeight="1" x14ac:dyDescent="0.2">
      <c r="A36" s="122"/>
      <c r="B36" s="405"/>
      <c r="C36" s="395" t="s">
        <v>413</v>
      </c>
      <c r="D36" s="405"/>
      <c r="E36" s="405"/>
      <c r="F36" s="542">
        <f>0.6*I36</f>
        <v>0.156</v>
      </c>
      <c r="G36" s="395"/>
      <c r="H36" s="405" t="s">
        <v>414</v>
      </c>
      <c r="I36" s="419">
        <v>0.26</v>
      </c>
      <c r="J36" s="395"/>
      <c r="K36" s="405" t="s">
        <v>415</v>
      </c>
      <c r="L36" s="122"/>
      <c r="M36" s="122"/>
      <c r="N36" s="122"/>
      <c r="O36" s="122"/>
      <c r="P36" s="122"/>
      <c r="Q36" s="122"/>
      <c r="R36" s="122"/>
      <c r="S36" s="122"/>
      <c r="T36" s="122"/>
      <c r="U36" s="122"/>
      <c r="V36" s="122"/>
      <c r="W36" s="122"/>
      <c r="X36" s="122"/>
      <c r="Y36" s="122"/>
      <c r="Z36" s="122"/>
    </row>
    <row r="37" spans="1:26" ht="15.75" customHeight="1" x14ac:dyDescent="0.2">
      <c r="A37" s="122"/>
      <c r="B37" s="405"/>
      <c r="C37" s="395" t="s">
        <v>73</v>
      </c>
      <c r="D37" s="405"/>
      <c r="E37" s="405"/>
      <c r="F37" s="420">
        <v>0.10299999999999999</v>
      </c>
      <c r="G37" s="395" t="s">
        <v>69</v>
      </c>
      <c r="H37" s="405" t="s">
        <v>416</v>
      </c>
      <c r="I37" s="511">
        <f>F37</f>
        <v>0.10299999999999999</v>
      </c>
      <c r="J37" s="395" t="s">
        <v>69</v>
      </c>
      <c r="K37" s="405"/>
      <c r="L37" s="122"/>
      <c r="M37" s="122"/>
      <c r="N37" s="122"/>
      <c r="O37" s="122"/>
      <c r="P37" s="122"/>
      <c r="Q37" s="122"/>
      <c r="R37" s="122"/>
      <c r="S37" s="122"/>
      <c r="T37" s="122"/>
      <c r="U37" s="122"/>
      <c r="V37" s="122"/>
      <c r="W37" s="122"/>
      <c r="X37" s="122"/>
      <c r="Y37" s="122"/>
      <c r="Z37" s="122"/>
    </row>
    <row r="38" spans="1:26" ht="15.75" customHeight="1" x14ac:dyDescent="0.2">
      <c r="A38" s="122"/>
      <c r="B38" s="412"/>
      <c r="C38" s="411"/>
      <c r="D38" s="412"/>
      <c r="E38" s="412"/>
      <c r="F38" s="412"/>
      <c r="G38" s="412"/>
      <c r="H38" s="412"/>
      <c r="I38" s="412"/>
      <c r="J38" s="412"/>
      <c r="K38" s="412"/>
      <c r="L38" s="122"/>
      <c r="M38" s="122"/>
      <c r="N38" s="122"/>
      <c r="O38" s="122"/>
      <c r="P38" s="122"/>
      <c r="Q38" s="122"/>
      <c r="R38" s="122"/>
      <c r="S38" s="122"/>
      <c r="T38" s="122"/>
      <c r="U38" s="122"/>
      <c r="V38" s="122"/>
      <c r="W38" s="122"/>
      <c r="X38" s="122"/>
      <c r="Y38" s="122"/>
      <c r="Z38" s="122"/>
    </row>
    <row r="39" spans="1:26" ht="15.75" customHeight="1" x14ac:dyDescent="0.2">
      <c r="A39" s="122"/>
      <c r="B39" s="340" t="s">
        <v>76</v>
      </c>
      <c r="C39" s="395"/>
      <c r="D39" s="405"/>
      <c r="E39" s="405"/>
      <c r="F39" s="405"/>
      <c r="G39" s="405"/>
      <c r="H39" s="405"/>
      <c r="I39" s="405"/>
      <c r="J39" s="405"/>
      <c r="K39" s="405"/>
      <c r="L39" s="122"/>
      <c r="M39" s="122"/>
      <c r="N39" s="122"/>
      <c r="O39" s="122"/>
      <c r="P39" s="122"/>
      <c r="Q39" s="122"/>
      <c r="R39" s="122"/>
      <c r="S39" s="122"/>
      <c r="T39" s="122"/>
      <c r="U39" s="122"/>
      <c r="V39" s="122"/>
      <c r="W39" s="122"/>
      <c r="X39" s="122"/>
      <c r="Y39" s="122"/>
      <c r="Z39" s="122"/>
    </row>
    <row r="40" spans="1:26" ht="15.75" customHeight="1" x14ac:dyDescent="0.2">
      <c r="A40" s="122"/>
      <c r="B40" s="405"/>
      <c r="C40" s="395" t="s">
        <v>272</v>
      </c>
      <c r="D40" s="405"/>
      <c r="E40" s="405"/>
      <c r="F40" s="436">
        <v>5.8</v>
      </c>
      <c r="G40" s="395" t="s">
        <v>77</v>
      </c>
      <c r="H40" s="405" t="s">
        <v>357</v>
      </c>
      <c r="I40" s="507">
        <f>F40*1.5</f>
        <v>8.6999999999999993</v>
      </c>
      <c r="J40" s="395" t="s">
        <v>77</v>
      </c>
      <c r="K40" s="405" t="s">
        <v>368</v>
      </c>
      <c r="L40" s="122"/>
      <c r="M40" s="122"/>
      <c r="N40" s="122"/>
      <c r="O40" s="122"/>
      <c r="P40" s="122"/>
      <c r="Q40" s="122"/>
      <c r="R40" s="122"/>
      <c r="S40" s="122"/>
      <c r="T40" s="122"/>
      <c r="U40" s="122"/>
      <c r="V40" s="122"/>
      <c r="W40" s="122"/>
      <c r="X40" s="122"/>
      <c r="Y40" s="122"/>
      <c r="Z40" s="122"/>
    </row>
    <row r="41" spans="1:26" ht="15.75" customHeight="1" x14ac:dyDescent="0.2">
      <c r="A41" s="122"/>
      <c r="B41" s="405"/>
      <c r="C41" s="395" t="s">
        <v>273</v>
      </c>
      <c r="D41" s="405"/>
      <c r="E41" s="405"/>
      <c r="F41" s="442">
        <v>5</v>
      </c>
      <c r="G41" s="395" t="s">
        <v>77</v>
      </c>
      <c r="H41" s="405" t="s">
        <v>357</v>
      </c>
      <c r="I41" s="507">
        <f>F41*2</f>
        <v>10</v>
      </c>
      <c r="J41" s="395" t="s">
        <v>77</v>
      </c>
      <c r="K41" s="405"/>
      <c r="L41" s="122"/>
      <c r="M41" s="122"/>
      <c r="N41" s="122"/>
      <c r="O41" s="122"/>
      <c r="P41" s="122"/>
      <c r="Q41" s="122"/>
      <c r="R41" s="122"/>
      <c r="S41" s="122"/>
      <c r="T41" s="122"/>
      <c r="U41" s="122"/>
      <c r="V41" s="122"/>
      <c r="W41" s="122"/>
      <c r="X41" s="122"/>
      <c r="Y41" s="122"/>
      <c r="Z41" s="122"/>
    </row>
    <row r="42" spans="1:26" ht="12.75" x14ac:dyDescent="0.2">
      <c r="A42" s="122"/>
      <c r="B42" s="405"/>
      <c r="C42" s="395" t="s">
        <v>274</v>
      </c>
      <c r="D42" s="405"/>
      <c r="E42" s="405"/>
      <c r="F42" s="442">
        <v>3</v>
      </c>
      <c r="G42" s="395" t="s">
        <v>77</v>
      </c>
      <c r="H42" s="405" t="s">
        <v>357</v>
      </c>
      <c r="I42" s="507">
        <f>F42*2</f>
        <v>6</v>
      </c>
      <c r="J42" s="395" t="s">
        <v>77</v>
      </c>
      <c r="K42" s="405" t="s">
        <v>369</v>
      </c>
      <c r="L42" s="122"/>
      <c r="M42" s="122"/>
      <c r="N42" s="122"/>
      <c r="O42" s="122"/>
      <c r="P42" s="122"/>
      <c r="Q42" s="122"/>
      <c r="R42" s="122"/>
      <c r="S42" s="122"/>
      <c r="T42" s="122"/>
      <c r="U42" s="122"/>
      <c r="V42" s="122"/>
      <c r="W42" s="122"/>
      <c r="X42" s="122"/>
      <c r="Y42" s="122"/>
      <c r="Z42" s="122"/>
    </row>
    <row r="43" spans="1:26" ht="12.75" x14ac:dyDescent="0.2">
      <c r="A43" s="122"/>
      <c r="B43" s="405"/>
      <c r="C43" s="395" t="s">
        <v>275</v>
      </c>
      <c r="D43" s="405"/>
      <c r="E43" s="405"/>
      <c r="F43" s="543">
        <v>5.0999999999999996</v>
      </c>
      <c r="G43" s="395" t="s">
        <v>77</v>
      </c>
      <c r="H43" s="405" t="s">
        <v>357</v>
      </c>
      <c r="I43" s="513">
        <f>F43*(I30/F30)</f>
        <v>10.597402597402597</v>
      </c>
      <c r="J43" s="395" t="s">
        <v>77</v>
      </c>
      <c r="K43" s="405"/>
      <c r="L43" s="122"/>
      <c r="M43" s="122"/>
      <c r="N43" s="122"/>
      <c r="O43" s="122"/>
      <c r="P43" s="122"/>
      <c r="Q43" s="122"/>
      <c r="R43" s="122"/>
      <c r="S43" s="122"/>
      <c r="T43" s="122"/>
      <c r="U43" s="122"/>
      <c r="V43" s="122"/>
      <c r="W43" s="122"/>
      <c r="X43" s="122"/>
      <c r="Y43" s="122"/>
      <c r="Z43" s="122"/>
    </row>
    <row r="44" spans="1:26" ht="12.75" x14ac:dyDescent="0.2">
      <c r="A44" s="122"/>
      <c r="B44" s="405"/>
      <c r="C44" s="391" t="s">
        <v>290</v>
      </c>
      <c r="D44" s="405"/>
      <c r="E44" s="405"/>
      <c r="F44" s="543">
        <v>4</v>
      </c>
      <c r="G44" s="395" t="s">
        <v>77</v>
      </c>
      <c r="H44" s="405" t="s">
        <v>357</v>
      </c>
      <c r="I44" s="513">
        <f>F44*1.5</f>
        <v>6</v>
      </c>
      <c r="J44" s="395"/>
      <c r="K44" s="405"/>
      <c r="L44" s="122"/>
      <c r="M44" s="122"/>
      <c r="N44" s="122"/>
      <c r="O44" s="122"/>
      <c r="P44" s="122"/>
      <c r="Q44" s="122"/>
      <c r="R44" s="122"/>
      <c r="S44" s="122"/>
      <c r="T44" s="122"/>
      <c r="U44" s="122"/>
      <c r="V44" s="122"/>
      <c r="W44" s="122"/>
      <c r="X44" s="122"/>
      <c r="Y44" s="122"/>
      <c r="Z44" s="122"/>
    </row>
    <row r="45" spans="1:26" ht="12.75" x14ac:dyDescent="0.2">
      <c r="A45" s="122"/>
      <c r="B45" s="405"/>
      <c r="C45" s="391" t="s">
        <v>277</v>
      </c>
      <c r="D45" s="405"/>
      <c r="E45" s="405"/>
      <c r="F45" s="438">
        <v>42.5</v>
      </c>
      <c r="G45" s="395" t="s">
        <v>77</v>
      </c>
      <c r="H45" s="405" t="s">
        <v>357</v>
      </c>
      <c r="I45" s="513">
        <f>F45</f>
        <v>42.5</v>
      </c>
      <c r="J45" s="395" t="s">
        <v>77</v>
      </c>
      <c r="K45" s="405"/>
      <c r="L45" s="122"/>
      <c r="M45" s="122"/>
      <c r="N45" s="122"/>
      <c r="O45" s="122"/>
      <c r="P45" s="122"/>
      <c r="Q45" s="122"/>
      <c r="R45" s="122"/>
      <c r="S45" s="122"/>
      <c r="T45" s="122"/>
      <c r="U45" s="122"/>
      <c r="V45" s="122"/>
      <c r="W45" s="122"/>
      <c r="X45" s="122"/>
      <c r="Y45" s="122"/>
      <c r="Z45" s="122"/>
    </row>
    <row r="46" spans="1:26" ht="12.75" x14ac:dyDescent="0.2">
      <c r="A46" s="122"/>
      <c r="B46" s="405"/>
      <c r="C46" s="391" t="s">
        <v>276</v>
      </c>
      <c r="D46" s="405"/>
      <c r="E46" s="405"/>
      <c r="F46" s="417">
        <v>0</v>
      </c>
      <c r="G46" s="393" t="s">
        <v>86</v>
      </c>
      <c r="H46" s="405"/>
      <c r="I46" s="436">
        <v>20</v>
      </c>
      <c r="J46" s="395" t="s">
        <v>86</v>
      </c>
      <c r="K46" s="405" t="s">
        <v>370</v>
      </c>
      <c r="L46" s="122"/>
      <c r="M46" s="122"/>
      <c r="N46" s="122"/>
      <c r="O46" s="122"/>
      <c r="P46" s="122"/>
      <c r="Q46" s="122"/>
      <c r="R46" s="122"/>
      <c r="S46" s="122"/>
      <c r="T46" s="122"/>
      <c r="U46" s="122"/>
      <c r="V46" s="122"/>
      <c r="W46" s="122"/>
      <c r="X46" s="122"/>
      <c r="Y46" s="122"/>
      <c r="Z46" s="122"/>
    </row>
    <row r="47" spans="1:26" ht="12.75" x14ac:dyDescent="0.2">
      <c r="A47" s="122"/>
      <c r="B47" s="405"/>
      <c r="C47" s="391" t="s">
        <v>757</v>
      </c>
      <c r="D47" s="405"/>
      <c r="E47" s="405"/>
      <c r="F47" s="417">
        <v>0</v>
      </c>
      <c r="G47" s="395" t="s">
        <v>487</v>
      </c>
      <c r="H47" s="405"/>
      <c r="I47" s="436">
        <v>4</v>
      </c>
      <c r="J47" s="395" t="s">
        <v>487</v>
      </c>
      <c r="K47" s="405"/>
      <c r="L47" s="122"/>
      <c r="M47" s="122"/>
      <c r="N47" s="122"/>
      <c r="O47" s="122"/>
      <c r="P47" s="122"/>
      <c r="Q47" s="122"/>
      <c r="R47" s="122"/>
      <c r="S47" s="122"/>
      <c r="T47" s="122"/>
      <c r="U47" s="122"/>
      <c r="V47" s="122"/>
      <c r="W47" s="122"/>
      <c r="X47" s="122"/>
      <c r="Y47" s="122"/>
      <c r="Z47" s="122"/>
    </row>
    <row r="48" spans="1:26" ht="12.75" x14ac:dyDescent="0.2">
      <c r="A48" s="122"/>
      <c r="B48" s="405"/>
      <c r="C48" s="391" t="s">
        <v>206</v>
      </c>
      <c r="D48" s="405"/>
      <c r="E48" s="405"/>
      <c r="F48" s="438">
        <v>785</v>
      </c>
      <c r="G48" s="395" t="s">
        <v>87</v>
      </c>
      <c r="H48" s="405" t="s">
        <v>357</v>
      </c>
      <c r="I48" s="514">
        <f t="shared" ref="I48:I53" si="0">F48</f>
        <v>785</v>
      </c>
      <c r="J48" s="395" t="s">
        <v>87</v>
      </c>
      <c r="K48" s="405"/>
      <c r="L48" s="122"/>
      <c r="M48" s="122"/>
      <c r="N48" s="122"/>
      <c r="O48" s="122"/>
      <c r="P48" s="122"/>
      <c r="Q48" s="122"/>
      <c r="R48" s="122"/>
      <c r="S48" s="122"/>
      <c r="T48" s="122"/>
      <c r="U48" s="122"/>
      <c r="V48" s="122"/>
      <c r="W48" s="122"/>
      <c r="X48" s="122"/>
      <c r="Y48" s="122"/>
      <c r="Z48" s="122"/>
    </row>
    <row r="49" spans="1:26" ht="12.75" x14ac:dyDescent="0.2">
      <c r="A49" s="122"/>
      <c r="B49" s="405"/>
      <c r="C49" s="391" t="s">
        <v>205</v>
      </c>
      <c r="D49" s="405"/>
      <c r="E49" s="405"/>
      <c r="F49" s="438">
        <v>645</v>
      </c>
      <c r="G49" s="395" t="s">
        <v>87</v>
      </c>
      <c r="H49" s="405" t="s">
        <v>357</v>
      </c>
      <c r="I49" s="514">
        <f t="shared" si="0"/>
        <v>645</v>
      </c>
      <c r="J49" s="395" t="s">
        <v>87</v>
      </c>
      <c r="K49" s="405"/>
      <c r="L49" s="122"/>
      <c r="M49" s="122"/>
      <c r="N49" s="122"/>
      <c r="O49" s="122"/>
      <c r="P49" s="122"/>
      <c r="Q49" s="122"/>
      <c r="R49" s="122"/>
      <c r="S49" s="122"/>
      <c r="T49" s="122"/>
      <c r="U49" s="122"/>
      <c r="V49" s="122"/>
      <c r="W49" s="122"/>
      <c r="X49" s="122"/>
      <c r="Y49" s="122"/>
      <c r="Z49" s="122"/>
    </row>
    <row r="50" spans="1:26" ht="12.75" x14ac:dyDescent="0.2">
      <c r="A50" s="122"/>
      <c r="B50" s="405"/>
      <c r="C50" s="391" t="s">
        <v>203</v>
      </c>
      <c r="D50" s="405"/>
      <c r="E50" s="405"/>
      <c r="F50" s="438">
        <v>760</v>
      </c>
      <c r="G50" s="395" t="s">
        <v>87</v>
      </c>
      <c r="H50" s="405" t="s">
        <v>357</v>
      </c>
      <c r="I50" s="514">
        <f t="shared" si="0"/>
        <v>760</v>
      </c>
      <c r="J50" s="395" t="s">
        <v>87</v>
      </c>
      <c r="K50" s="405"/>
      <c r="L50" s="122"/>
      <c r="M50" s="122"/>
      <c r="N50" s="122"/>
      <c r="O50" s="122"/>
      <c r="P50" s="122"/>
      <c r="Q50" s="122"/>
      <c r="R50" s="122"/>
      <c r="S50" s="122"/>
      <c r="T50" s="122"/>
      <c r="U50" s="122"/>
      <c r="V50" s="122"/>
      <c r="W50" s="122"/>
      <c r="X50" s="122"/>
      <c r="Y50" s="122"/>
      <c r="Z50" s="122"/>
    </row>
    <row r="51" spans="1:26" ht="12.75" x14ac:dyDescent="0.2">
      <c r="A51" s="122"/>
      <c r="B51" s="405"/>
      <c r="C51" s="391" t="s">
        <v>204</v>
      </c>
      <c r="D51" s="405"/>
      <c r="E51" s="405"/>
      <c r="F51" s="438">
        <v>618</v>
      </c>
      <c r="G51" s="395" t="s">
        <v>87</v>
      </c>
      <c r="H51" s="405" t="s">
        <v>357</v>
      </c>
      <c r="I51" s="514">
        <f t="shared" si="0"/>
        <v>618</v>
      </c>
      <c r="J51" s="395" t="s">
        <v>87</v>
      </c>
      <c r="K51" s="405"/>
      <c r="L51" s="122"/>
      <c r="M51" s="122"/>
      <c r="N51" s="122"/>
      <c r="O51" s="122"/>
      <c r="P51" s="122"/>
      <c r="Q51" s="122"/>
      <c r="R51" s="122"/>
      <c r="S51" s="122"/>
      <c r="T51" s="122"/>
      <c r="U51" s="122"/>
      <c r="V51" s="122"/>
      <c r="W51" s="122"/>
      <c r="X51" s="122"/>
      <c r="Y51" s="122"/>
      <c r="Z51" s="122"/>
    </row>
    <row r="52" spans="1:26" ht="12.75" x14ac:dyDescent="0.2">
      <c r="A52" s="122"/>
      <c r="B52" s="405"/>
      <c r="C52" s="391" t="s">
        <v>291</v>
      </c>
      <c r="D52" s="405"/>
      <c r="E52" s="405"/>
      <c r="F52" s="438">
        <v>1105</v>
      </c>
      <c r="G52" s="395" t="s">
        <v>87</v>
      </c>
      <c r="H52" s="405" t="s">
        <v>357</v>
      </c>
      <c r="I52" s="514">
        <f t="shared" si="0"/>
        <v>1105</v>
      </c>
      <c r="J52" s="395" t="s">
        <v>87</v>
      </c>
      <c r="K52" s="405"/>
      <c r="L52" s="122"/>
      <c r="M52" s="122"/>
      <c r="N52" s="122"/>
      <c r="O52" s="122"/>
      <c r="P52" s="122"/>
      <c r="Q52" s="122"/>
      <c r="R52" s="122"/>
      <c r="S52" s="122"/>
      <c r="T52" s="122"/>
      <c r="U52" s="122"/>
      <c r="V52" s="122"/>
      <c r="W52" s="122"/>
      <c r="X52" s="122"/>
      <c r="Y52" s="122"/>
      <c r="Z52" s="122"/>
    </row>
    <row r="53" spans="1:26" ht="12.75" x14ac:dyDescent="0.2">
      <c r="A53" s="122"/>
      <c r="B53" s="405"/>
      <c r="C53" s="391" t="s">
        <v>271</v>
      </c>
      <c r="D53" s="405"/>
      <c r="E53" s="405"/>
      <c r="F53" s="438">
        <v>543</v>
      </c>
      <c r="G53" s="395" t="s">
        <v>87</v>
      </c>
      <c r="H53" s="405" t="s">
        <v>357</v>
      </c>
      <c r="I53" s="514">
        <f t="shared" si="0"/>
        <v>543</v>
      </c>
      <c r="J53" s="395" t="s">
        <v>87</v>
      </c>
      <c r="K53" s="405"/>
      <c r="L53" s="122"/>
      <c r="M53" s="122"/>
      <c r="N53" s="122"/>
      <c r="O53" s="122"/>
      <c r="P53" s="122"/>
      <c r="Q53" s="122"/>
      <c r="R53" s="122"/>
      <c r="S53" s="122"/>
      <c r="T53" s="122"/>
      <c r="U53" s="122"/>
      <c r="V53" s="122"/>
      <c r="W53" s="122"/>
      <c r="X53" s="122"/>
      <c r="Y53" s="122"/>
      <c r="Z53" s="122"/>
    </row>
    <row r="54" spans="1:26" ht="12.75" x14ac:dyDescent="0.2">
      <c r="A54" s="122"/>
      <c r="B54" s="405"/>
      <c r="C54" s="395" t="s">
        <v>89</v>
      </c>
      <c r="D54" s="405"/>
      <c r="E54" s="405"/>
      <c r="F54" s="431">
        <v>0</v>
      </c>
      <c r="G54" s="429" t="s">
        <v>69</v>
      </c>
      <c r="H54" s="430"/>
      <c r="I54" s="429"/>
      <c r="J54" s="429"/>
      <c r="K54" s="430"/>
      <c r="L54" s="122"/>
      <c r="M54" s="122"/>
      <c r="N54" s="122"/>
      <c r="O54" s="122"/>
      <c r="P54" s="122"/>
      <c r="Q54" s="122"/>
      <c r="R54" s="122"/>
      <c r="S54" s="122"/>
      <c r="T54" s="122"/>
      <c r="U54" s="122"/>
      <c r="V54" s="122"/>
      <c r="W54" s="122"/>
      <c r="X54" s="122"/>
      <c r="Y54" s="122"/>
      <c r="Z54" s="122"/>
    </row>
    <row r="55" spans="1:26" ht="12.75" x14ac:dyDescent="0.2">
      <c r="A55" s="122"/>
      <c r="B55" s="412"/>
      <c r="C55" s="412"/>
      <c r="D55" s="412"/>
      <c r="E55" s="412"/>
      <c r="F55" s="412"/>
      <c r="G55" s="412"/>
      <c r="H55" s="412"/>
      <c r="I55" s="412"/>
      <c r="J55" s="412"/>
      <c r="K55" s="412"/>
      <c r="L55" s="122"/>
      <c r="M55" s="122"/>
      <c r="N55" s="122"/>
      <c r="O55" s="122"/>
      <c r="P55" s="122"/>
      <c r="Q55" s="122"/>
      <c r="R55" s="122"/>
      <c r="S55" s="122"/>
      <c r="T55" s="122"/>
      <c r="U55" s="122"/>
      <c r="V55" s="122"/>
      <c r="W55" s="122"/>
      <c r="X55" s="122"/>
      <c r="Y55" s="122"/>
      <c r="Z55" s="122"/>
    </row>
    <row r="56" spans="1:26" ht="12.75" x14ac:dyDescent="0.2">
      <c r="A56" s="122"/>
      <c r="B56" s="389" t="s">
        <v>215</v>
      </c>
      <c r="C56" s="432"/>
      <c r="D56" s="432"/>
      <c r="E56" s="432"/>
      <c r="F56" s="432"/>
      <c r="G56" s="432"/>
      <c r="H56" s="432"/>
      <c r="I56" s="432"/>
      <c r="J56" s="432"/>
      <c r="K56" s="432"/>
      <c r="L56" s="122"/>
      <c r="M56" s="122"/>
      <c r="N56" s="122"/>
      <c r="O56" s="122"/>
      <c r="P56" s="122"/>
      <c r="Q56" s="122"/>
      <c r="R56" s="122"/>
      <c r="S56" s="122"/>
      <c r="T56" s="122"/>
      <c r="U56" s="122"/>
      <c r="V56" s="122"/>
      <c r="W56" s="122"/>
      <c r="X56" s="122"/>
      <c r="Y56" s="122"/>
      <c r="Z56" s="122"/>
    </row>
    <row r="57" spans="1:26" ht="12.75" x14ac:dyDescent="0.2">
      <c r="A57" s="122"/>
      <c r="B57" s="422"/>
      <c r="C57" s="395" t="s">
        <v>110</v>
      </c>
      <c r="D57" s="405"/>
      <c r="E57" s="405"/>
      <c r="F57" s="426">
        <v>1750</v>
      </c>
      <c r="G57" s="395" t="s">
        <v>111</v>
      </c>
      <c r="H57" s="405" t="s">
        <v>417</v>
      </c>
      <c r="I57" s="518">
        <f>F57</f>
        <v>1750</v>
      </c>
      <c r="J57" s="395" t="s">
        <v>111</v>
      </c>
      <c r="K57" s="405"/>
      <c r="L57" s="122"/>
      <c r="M57" s="122"/>
      <c r="N57" s="122"/>
      <c r="O57" s="122"/>
      <c r="P57" s="122"/>
      <c r="Q57" s="122"/>
      <c r="R57" s="122"/>
      <c r="S57" s="122"/>
      <c r="T57" s="122"/>
      <c r="U57" s="122"/>
      <c r="V57" s="122"/>
      <c r="W57" s="122"/>
      <c r="X57" s="122"/>
      <c r="Y57" s="122"/>
      <c r="Z57" s="122"/>
    </row>
    <row r="58" spans="1:26" ht="12.75" x14ac:dyDescent="0.2">
      <c r="A58" s="122"/>
      <c r="B58" s="390"/>
      <c r="C58" s="391" t="s">
        <v>286</v>
      </c>
      <c r="D58" s="333"/>
      <c r="E58" s="333"/>
      <c r="F58" s="434">
        <v>0.5</v>
      </c>
      <c r="G58" s="333" t="s">
        <v>759</v>
      </c>
      <c r="H58" s="333" t="s">
        <v>760</v>
      </c>
      <c r="I58" s="333"/>
      <c r="J58" s="333"/>
      <c r="K58" s="333"/>
      <c r="L58" s="122"/>
      <c r="M58" s="122"/>
      <c r="N58" s="122"/>
      <c r="O58" s="122"/>
      <c r="P58" s="122"/>
      <c r="Q58" s="122"/>
      <c r="R58" s="122"/>
      <c r="S58" s="122"/>
      <c r="T58" s="122"/>
      <c r="U58" s="122"/>
      <c r="V58" s="122"/>
      <c r="W58" s="122"/>
      <c r="X58" s="122"/>
      <c r="Y58" s="122"/>
      <c r="Z58" s="122"/>
    </row>
    <row r="59" spans="1:26" ht="12.75" x14ac:dyDescent="0.2">
      <c r="A59" s="122"/>
      <c r="B59" s="390"/>
      <c r="C59" s="432" t="s">
        <v>283</v>
      </c>
      <c r="D59" s="390"/>
      <c r="E59" s="390"/>
      <c r="F59" s="435">
        <v>2128</v>
      </c>
      <c r="G59" s="390" t="s">
        <v>758</v>
      </c>
      <c r="H59" s="405" t="s">
        <v>357</v>
      </c>
      <c r="I59" s="390"/>
      <c r="J59" s="390"/>
      <c r="K59" s="405"/>
      <c r="L59" s="122"/>
      <c r="M59" s="122"/>
      <c r="N59" s="122"/>
      <c r="O59" s="122"/>
      <c r="P59" s="122"/>
      <c r="Q59" s="122"/>
      <c r="R59" s="122"/>
      <c r="S59" s="122"/>
      <c r="T59" s="122"/>
      <c r="U59" s="122"/>
      <c r="V59" s="122"/>
      <c r="W59" s="122"/>
      <c r="X59" s="122"/>
      <c r="Y59" s="122"/>
      <c r="Z59" s="122"/>
    </row>
    <row r="60" spans="1:26" ht="12.75" x14ac:dyDescent="0.2">
      <c r="A60" s="122"/>
      <c r="B60" s="412"/>
      <c r="C60" s="412"/>
      <c r="D60" s="412"/>
      <c r="E60" s="412"/>
      <c r="F60" s="412"/>
      <c r="G60" s="412"/>
      <c r="H60" s="412"/>
      <c r="I60" s="412"/>
      <c r="J60" s="412"/>
      <c r="K60" s="412"/>
      <c r="L60" s="122"/>
      <c r="M60" s="122"/>
      <c r="N60" s="122"/>
      <c r="O60" s="122"/>
      <c r="P60" s="122"/>
      <c r="Q60" s="122"/>
      <c r="R60" s="122"/>
      <c r="S60" s="122"/>
      <c r="T60" s="122"/>
      <c r="U60" s="122"/>
      <c r="V60" s="122"/>
      <c r="W60" s="122"/>
      <c r="X60" s="122"/>
      <c r="Y60" s="122"/>
      <c r="Z60" s="122"/>
    </row>
    <row r="61" spans="1:26" ht="12.75" x14ac:dyDescent="0.2">
      <c r="A61" s="122"/>
      <c r="B61" s="340" t="s">
        <v>91</v>
      </c>
      <c r="C61" s="405"/>
      <c r="D61" s="405"/>
      <c r="E61" s="405"/>
      <c r="F61" s="405"/>
      <c r="G61" s="405"/>
      <c r="H61" s="405"/>
      <c r="I61" s="405"/>
      <c r="J61" s="405"/>
      <c r="K61" s="405"/>
      <c r="L61" s="122"/>
      <c r="M61" s="122"/>
      <c r="N61" s="122"/>
      <c r="O61" s="122"/>
      <c r="P61" s="122"/>
      <c r="Q61" s="122"/>
      <c r="R61" s="122"/>
      <c r="S61" s="122"/>
      <c r="T61" s="122"/>
      <c r="U61" s="122"/>
      <c r="V61" s="122"/>
      <c r="W61" s="122"/>
      <c r="X61" s="122"/>
      <c r="Y61" s="122"/>
      <c r="Z61" s="122"/>
    </row>
    <row r="62" spans="1:26" ht="12.75" x14ac:dyDescent="0.2">
      <c r="A62" s="122"/>
      <c r="B62" s="405"/>
      <c r="C62" s="395" t="s">
        <v>92</v>
      </c>
      <c r="D62" s="405"/>
      <c r="E62" s="405"/>
      <c r="F62" s="417">
        <v>50</v>
      </c>
      <c r="G62" s="395" t="s">
        <v>93</v>
      </c>
      <c r="H62" s="405" t="s">
        <v>357</v>
      </c>
      <c r="I62" s="436">
        <v>25</v>
      </c>
      <c r="J62" s="395" t="s">
        <v>93</v>
      </c>
      <c r="K62" s="405" t="s">
        <v>371</v>
      </c>
      <c r="L62" s="122"/>
      <c r="M62" s="122"/>
      <c r="N62" s="122"/>
      <c r="O62" s="122"/>
      <c r="P62" s="122"/>
      <c r="Q62" s="122"/>
      <c r="R62" s="122"/>
      <c r="S62" s="122"/>
      <c r="T62" s="122"/>
      <c r="U62" s="122"/>
      <c r="V62" s="122"/>
      <c r="W62" s="122"/>
      <c r="X62" s="122"/>
      <c r="Y62" s="122"/>
      <c r="Z62" s="122"/>
    </row>
    <row r="63" spans="1:26" ht="12.75" x14ac:dyDescent="0.2">
      <c r="A63" s="122"/>
      <c r="B63" s="405"/>
      <c r="C63" s="395" t="s">
        <v>96</v>
      </c>
      <c r="D63" s="405"/>
      <c r="E63" s="405"/>
      <c r="F63" s="519">
        <v>4.3</v>
      </c>
      <c r="G63" s="395" t="s">
        <v>93</v>
      </c>
      <c r="H63" s="405" t="s">
        <v>357</v>
      </c>
      <c r="I63" s="436">
        <v>50</v>
      </c>
      <c r="J63" s="395" t="s">
        <v>93</v>
      </c>
      <c r="K63" s="405" t="s">
        <v>372</v>
      </c>
      <c r="L63" s="122"/>
      <c r="M63" s="122"/>
      <c r="N63" s="122"/>
      <c r="O63" s="122"/>
      <c r="P63" s="122"/>
      <c r="Q63" s="122"/>
      <c r="R63" s="122"/>
      <c r="S63" s="122"/>
      <c r="T63" s="122"/>
      <c r="U63" s="122"/>
      <c r="V63" s="122"/>
      <c r="W63" s="122"/>
      <c r="X63" s="122"/>
      <c r="Y63" s="122"/>
      <c r="Z63" s="122"/>
    </row>
    <row r="64" spans="1:26" ht="12.75" x14ac:dyDescent="0.2">
      <c r="A64" s="122"/>
      <c r="B64" s="405"/>
      <c r="C64" s="395" t="s">
        <v>99</v>
      </c>
      <c r="D64" s="405"/>
      <c r="E64" s="405"/>
      <c r="F64" s="421">
        <v>14</v>
      </c>
      <c r="G64" s="395" t="s">
        <v>93</v>
      </c>
      <c r="H64" s="405" t="s">
        <v>357</v>
      </c>
      <c r="I64" s="436">
        <v>50</v>
      </c>
      <c r="J64" s="395" t="s">
        <v>93</v>
      </c>
      <c r="K64" s="405" t="s">
        <v>372</v>
      </c>
      <c r="L64" s="122"/>
      <c r="M64" s="122"/>
      <c r="N64" s="122"/>
      <c r="O64" s="122"/>
      <c r="P64" s="122"/>
      <c r="Q64" s="122"/>
      <c r="R64" s="122"/>
      <c r="S64" s="122"/>
      <c r="T64" s="122"/>
      <c r="U64" s="122"/>
      <c r="V64" s="122"/>
      <c r="W64" s="122"/>
      <c r="X64" s="122"/>
      <c r="Y64" s="122"/>
      <c r="Z64" s="122"/>
    </row>
    <row r="65" spans="1:26" ht="12.75" x14ac:dyDescent="0.2">
      <c r="A65" s="122"/>
      <c r="B65" s="422"/>
      <c r="C65" s="391" t="s">
        <v>102</v>
      </c>
      <c r="D65" s="422"/>
      <c r="E65" s="422"/>
      <c r="F65" s="421">
        <v>60</v>
      </c>
      <c r="G65" s="391" t="s">
        <v>93</v>
      </c>
      <c r="H65" s="422" t="s">
        <v>357</v>
      </c>
      <c r="I65" s="436">
        <v>100</v>
      </c>
      <c r="J65" s="391" t="s">
        <v>93</v>
      </c>
      <c r="K65" s="422" t="s">
        <v>372</v>
      </c>
      <c r="L65" s="122"/>
      <c r="M65" s="122"/>
      <c r="N65" s="122"/>
      <c r="O65" s="122"/>
      <c r="P65" s="122"/>
      <c r="Q65" s="122"/>
      <c r="R65" s="122"/>
      <c r="S65" s="122"/>
      <c r="T65" s="122"/>
      <c r="U65" s="122"/>
      <c r="V65" s="122"/>
      <c r="W65" s="122"/>
      <c r="X65" s="122"/>
      <c r="Y65" s="122"/>
      <c r="Z65" s="122"/>
    </row>
    <row r="66" spans="1:26" ht="12.75" x14ac:dyDescent="0.2">
      <c r="A66" s="122"/>
      <c r="B66" s="405"/>
      <c r="C66" s="391" t="s">
        <v>418</v>
      </c>
      <c r="D66" s="405"/>
      <c r="E66" s="405"/>
      <c r="F66" s="423">
        <v>30</v>
      </c>
      <c r="G66" s="395" t="s">
        <v>93</v>
      </c>
      <c r="H66" s="405" t="s">
        <v>357</v>
      </c>
      <c r="I66" s="436">
        <v>150</v>
      </c>
      <c r="J66" s="395"/>
      <c r="K66" s="405"/>
      <c r="L66" s="122"/>
      <c r="M66" s="122"/>
      <c r="N66" s="122"/>
      <c r="O66" s="122"/>
      <c r="P66" s="122"/>
      <c r="Q66" s="122"/>
      <c r="R66" s="122"/>
      <c r="S66" s="122"/>
      <c r="T66" s="122"/>
      <c r="U66" s="122"/>
      <c r="V66" s="122"/>
      <c r="W66" s="122"/>
      <c r="X66" s="122"/>
      <c r="Y66" s="122"/>
      <c r="Z66" s="122"/>
    </row>
    <row r="67" spans="1:26" ht="12.75" x14ac:dyDescent="0.2">
      <c r="A67" s="122"/>
      <c r="B67" s="405"/>
      <c r="C67" s="395" t="s">
        <v>105</v>
      </c>
      <c r="D67" s="405"/>
      <c r="E67" s="405"/>
      <c r="F67" s="417">
        <v>4.0999999999999996</v>
      </c>
      <c r="G67" s="395" t="s">
        <v>106</v>
      </c>
      <c r="H67" s="405" t="s">
        <v>357</v>
      </c>
      <c r="I67" s="423">
        <v>4</v>
      </c>
      <c r="J67" s="395" t="s">
        <v>106</v>
      </c>
      <c r="K67" s="405" t="s">
        <v>372</v>
      </c>
      <c r="L67" s="122"/>
      <c r="M67" s="122"/>
      <c r="N67" s="122"/>
      <c r="O67" s="122"/>
      <c r="P67" s="122"/>
      <c r="Q67" s="122"/>
      <c r="R67" s="122"/>
      <c r="S67" s="122"/>
      <c r="T67" s="122"/>
      <c r="U67" s="122"/>
      <c r="V67" s="122"/>
      <c r="W67" s="122"/>
      <c r="X67" s="122"/>
      <c r="Y67" s="122"/>
      <c r="Z67" s="122"/>
    </row>
    <row r="68" spans="1:26" ht="12.75" x14ac:dyDescent="0.2">
      <c r="A68" s="122"/>
      <c r="B68" s="405"/>
      <c r="C68" s="395" t="s">
        <v>108</v>
      </c>
      <c r="D68" s="405"/>
      <c r="E68" s="405"/>
      <c r="F68" s="417">
        <v>50</v>
      </c>
      <c r="G68" s="395" t="s">
        <v>311</v>
      </c>
      <c r="H68" s="405"/>
      <c r="I68" s="520"/>
      <c r="J68" s="395"/>
      <c r="K68" s="405"/>
      <c r="L68" s="122"/>
      <c r="M68" s="122"/>
      <c r="N68" s="122"/>
      <c r="O68" s="122"/>
      <c r="P68" s="122"/>
      <c r="Q68" s="122"/>
      <c r="R68" s="122"/>
      <c r="S68" s="122"/>
      <c r="T68" s="122"/>
      <c r="U68" s="122"/>
      <c r="V68" s="122"/>
      <c r="W68" s="122"/>
      <c r="X68" s="122"/>
      <c r="Y68" s="122"/>
      <c r="Z68" s="122"/>
    </row>
    <row r="69" spans="1:26" ht="12.75" x14ac:dyDescent="0.2">
      <c r="A69" s="122"/>
      <c r="B69" s="412"/>
      <c r="C69" s="412"/>
      <c r="D69" s="412"/>
      <c r="E69" s="412"/>
      <c r="F69" s="412"/>
      <c r="G69" s="412"/>
      <c r="H69" s="412"/>
      <c r="I69" s="412"/>
      <c r="J69" s="412"/>
      <c r="K69" s="412"/>
      <c r="L69" s="122"/>
      <c r="M69" s="122"/>
      <c r="N69" s="122"/>
      <c r="O69" s="122"/>
      <c r="P69" s="122"/>
      <c r="Q69" s="122"/>
      <c r="R69" s="122"/>
      <c r="S69" s="122"/>
      <c r="T69" s="122"/>
      <c r="U69" s="122"/>
      <c r="V69" s="122"/>
      <c r="W69" s="122"/>
      <c r="X69" s="122"/>
      <c r="Y69" s="122"/>
      <c r="Z69" s="122"/>
    </row>
    <row r="70" spans="1:26" ht="12.75" x14ac:dyDescent="0.2">
      <c r="A70" s="122"/>
      <c r="B70" s="340" t="s">
        <v>109</v>
      </c>
      <c r="C70" s="405"/>
      <c r="D70" s="405"/>
      <c r="E70" s="405"/>
      <c r="F70" s="405"/>
      <c r="G70" s="405"/>
      <c r="H70" s="405"/>
      <c r="I70" s="405"/>
      <c r="J70" s="405"/>
      <c r="K70" s="405"/>
      <c r="L70" s="122"/>
      <c r="M70" s="122"/>
      <c r="N70" s="122"/>
      <c r="O70" s="122"/>
      <c r="P70" s="122"/>
      <c r="Q70" s="122"/>
      <c r="R70" s="122"/>
      <c r="S70" s="122"/>
      <c r="T70" s="122"/>
      <c r="U70" s="122"/>
      <c r="V70" s="122"/>
      <c r="W70" s="122"/>
      <c r="X70" s="122"/>
      <c r="Y70" s="122"/>
      <c r="Z70" s="122"/>
    </row>
    <row r="71" spans="1:26" ht="12.75" x14ac:dyDescent="0.2">
      <c r="A71" s="122"/>
      <c r="B71" s="405"/>
      <c r="C71" s="391" t="s">
        <v>92</v>
      </c>
      <c r="D71" s="405"/>
      <c r="E71" s="405"/>
      <c r="F71" s="545">
        <f>F92</f>
        <v>73</v>
      </c>
      <c r="G71" s="395" t="s">
        <v>113</v>
      </c>
      <c r="H71" s="405"/>
      <c r="I71" s="516">
        <f>I92</f>
        <v>70</v>
      </c>
      <c r="J71" s="395" t="s">
        <v>113</v>
      </c>
      <c r="K71" s="405"/>
      <c r="L71" s="122"/>
      <c r="M71" s="122"/>
      <c r="N71" s="122"/>
      <c r="O71" s="122"/>
      <c r="P71" s="122"/>
      <c r="Q71" s="122"/>
      <c r="R71" s="122"/>
      <c r="S71" s="122"/>
      <c r="T71" s="122"/>
      <c r="U71" s="122"/>
      <c r="V71" s="122"/>
      <c r="W71" s="122"/>
      <c r="X71" s="122"/>
      <c r="Y71" s="122"/>
      <c r="Z71" s="122"/>
    </row>
    <row r="72" spans="1:26" ht="12.75" x14ac:dyDescent="0.2">
      <c r="A72" s="122"/>
      <c r="B72" s="405"/>
      <c r="C72" s="395" t="s">
        <v>96</v>
      </c>
      <c r="D72" s="405"/>
      <c r="E72" s="405"/>
      <c r="F72" s="519">
        <v>109</v>
      </c>
      <c r="G72" s="395" t="s">
        <v>113</v>
      </c>
      <c r="H72" s="405" t="s">
        <v>357</v>
      </c>
      <c r="I72" s="515">
        <f t="shared" ref="I72:I77" si="1">F72</f>
        <v>109</v>
      </c>
      <c r="J72" s="395" t="s">
        <v>113</v>
      </c>
      <c r="K72" s="405"/>
      <c r="L72" s="122"/>
      <c r="M72" s="122"/>
      <c r="N72" s="122"/>
      <c r="O72" s="122"/>
      <c r="P72" s="122"/>
      <c r="Q72" s="122"/>
      <c r="R72" s="122"/>
      <c r="S72" s="122"/>
      <c r="T72" s="122"/>
      <c r="U72" s="122"/>
      <c r="V72" s="122"/>
      <c r="W72" s="122"/>
      <c r="X72" s="122"/>
      <c r="Y72" s="122"/>
      <c r="Z72" s="122"/>
    </row>
    <row r="73" spans="1:26" ht="12.75" x14ac:dyDescent="0.2">
      <c r="A73" s="122"/>
      <c r="B73" s="405"/>
      <c r="C73" s="395" t="s">
        <v>99</v>
      </c>
      <c r="D73" s="405"/>
      <c r="E73" s="405"/>
      <c r="F73" s="849">
        <v>0.60399999999999998</v>
      </c>
      <c r="G73" s="840" t="s">
        <v>1038</v>
      </c>
      <c r="H73" s="839"/>
      <c r="I73" s="825">
        <f>F73</f>
        <v>0.60399999999999998</v>
      </c>
      <c r="J73" s="838" t="s">
        <v>1038</v>
      </c>
      <c r="K73" s="405"/>
      <c r="L73" s="122"/>
      <c r="M73" s="122"/>
      <c r="N73" s="122"/>
      <c r="O73" s="122"/>
      <c r="P73" s="122"/>
      <c r="Q73" s="122"/>
      <c r="R73" s="122"/>
      <c r="S73" s="122"/>
      <c r="T73" s="122"/>
      <c r="U73" s="122"/>
      <c r="V73" s="122"/>
      <c r="W73" s="122"/>
      <c r="X73" s="122"/>
      <c r="Y73" s="122"/>
      <c r="Z73" s="122"/>
    </row>
    <row r="74" spans="1:26" ht="12.75" x14ac:dyDescent="0.2">
      <c r="A74" s="122"/>
      <c r="B74" s="405"/>
      <c r="C74" s="395" t="s">
        <v>102</v>
      </c>
      <c r="D74" s="405"/>
      <c r="E74" s="405"/>
      <c r="F74" s="849">
        <v>0.60899999999999999</v>
      </c>
      <c r="G74" s="840" t="s">
        <v>1038</v>
      </c>
      <c r="H74" s="839"/>
      <c r="I74" s="825">
        <f>F74</f>
        <v>0.60899999999999999</v>
      </c>
      <c r="J74" s="838" t="s">
        <v>1038</v>
      </c>
      <c r="K74" s="405"/>
      <c r="L74" s="122"/>
      <c r="M74" s="122"/>
      <c r="N74" s="122"/>
      <c r="O74" s="122"/>
      <c r="P74" s="122"/>
      <c r="Q74" s="122"/>
      <c r="R74" s="122"/>
      <c r="S74" s="122"/>
      <c r="T74" s="122"/>
      <c r="U74" s="122"/>
      <c r="V74" s="122"/>
      <c r="W74" s="122"/>
      <c r="X74" s="122"/>
      <c r="Y74" s="122"/>
      <c r="Z74" s="122"/>
    </row>
    <row r="75" spans="1:26" ht="12.75" x14ac:dyDescent="0.2">
      <c r="A75" s="122"/>
      <c r="B75" s="405"/>
      <c r="C75" s="391" t="s">
        <v>418</v>
      </c>
      <c r="D75" s="405"/>
      <c r="E75" s="405"/>
      <c r="F75" s="830">
        <v>0.59032626634505525</v>
      </c>
      <c r="G75" s="395" t="s">
        <v>1038</v>
      </c>
      <c r="H75" s="405" t="s">
        <v>357</v>
      </c>
      <c r="I75" s="829">
        <f t="shared" si="1"/>
        <v>0.59032626634505525</v>
      </c>
      <c r="J75" s="395" t="s">
        <v>1038</v>
      </c>
      <c r="K75" s="405"/>
      <c r="L75" s="122"/>
      <c r="M75" s="122"/>
      <c r="N75" s="122"/>
      <c r="O75" s="122"/>
      <c r="P75" s="122"/>
      <c r="Q75" s="122"/>
      <c r="R75" s="122"/>
      <c r="S75" s="122"/>
      <c r="T75" s="122"/>
      <c r="U75" s="122"/>
      <c r="V75" s="122"/>
      <c r="W75" s="122"/>
      <c r="X75" s="122"/>
      <c r="Y75" s="122"/>
      <c r="Z75" s="122"/>
    </row>
    <row r="76" spans="1:26" ht="12.75" x14ac:dyDescent="0.2">
      <c r="A76" s="122"/>
      <c r="B76" s="405"/>
      <c r="C76" s="395" t="s">
        <v>105</v>
      </c>
      <c r="D76" s="405"/>
      <c r="E76" s="405"/>
      <c r="F76" s="832">
        <v>2.6215564301129874</v>
      </c>
      <c r="G76" s="395" t="s">
        <v>1039</v>
      </c>
      <c r="H76" s="405" t="s">
        <v>357</v>
      </c>
      <c r="I76" s="835">
        <f t="shared" si="1"/>
        <v>2.6215564301129874</v>
      </c>
      <c r="J76" s="395" t="s">
        <v>1039</v>
      </c>
      <c r="K76" s="405"/>
      <c r="L76" s="122"/>
      <c r="M76" s="122"/>
      <c r="N76" s="122"/>
      <c r="O76" s="122"/>
      <c r="P76" s="122"/>
      <c r="Q76" s="122"/>
      <c r="R76" s="122"/>
      <c r="S76" s="122"/>
      <c r="T76" s="122"/>
      <c r="U76" s="122"/>
      <c r="V76" s="122"/>
      <c r="W76" s="122"/>
      <c r="X76" s="122"/>
      <c r="Y76" s="122"/>
      <c r="Z76" s="122"/>
    </row>
    <row r="77" spans="1:26" ht="12.75" x14ac:dyDescent="0.2">
      <c r="A77" s="122"/>
      <c r="B77" s="405"/>
      <c r="C77" s="395" t="s">
        <v>108</v>
      </c>
      <c r="D77" s="405"/>
      <c r="E77" s="405"/>
      <c r="F77" s="442">
        <v>100</v>
      </c>
      <c r="G77" s="395" t="s">
        <v>124</v>
      </c>
      <c r="H77" s="422" t="s">
        <v>126</v>
      </c>
      <c r="I77" s="516">
        <f t="shared" si="1"/>
        <v>100</v>
      </c>
      <c r="J77" s="395" t="s">
        <v>124</v>
      </c>
      <c r="K77" s="582"/>
      <c r="L77" s="122"/>
      <c r="M77" s="122"/>
      <c r="N77" s="122"/>
      <c r="O77" s="122"/>
      <c r="P77" s="122"/>
      <c r="Q77" s="122"/>
      <c r="R77" s="122"/>
      <c r="S77" s="122"/>
      <c r="T77" s="122"/>
      <c r="U77" s="122"/>
      <c r="V77" s="122"/>
      <c r="W77" s="122"/>
      <c r="X77" s="122"/>
      <c r="Y77" s="122"/>
      <c r="Z77" s="122"/>
    </row>
    <row r="78" spans="1:26" ht="12.75" x14ac:dyDescent="0.2">
      <c r="A78" s="122"/>
      <c r="B78" s="405"/>
      <c r="C78" s="395" t="s">
        <v>263</v>
      </c>
      <c r="D78" s="405"/>
      <c r="E78" s="405"/>
      <c r="F78" s="431">
        <v>0</v>
      </c>
      <c r="G78" s="429" t="s">
        <v>69</v>
      </c>
      <c r="H78" s="430"/>
      <c r="I78" s="429"/>
      <c r="J78" s="429"/>
      <c r="K78" s="430"/>
      <c r="L78" s="122"/>
      <c r="M78" s="122"/>
      <c r="N78" s="122"/>
      <c r="O78" s="122"/>
      <c r="P78" s="122"/>
      <c r="Q78" s="122"/>
      <c r="R78" s="122"/>
      <c r="S78" s="122"/>
      <c r="T78" s="122"/>
      <c r="U78" s="122"/>
      <c r="V78" s="122"/>
      <c r="W78" s="122"/>
      <c r="X78" s="122"/>
      <c r="Y78" s="122"/>
      <c r="Z78" s="122"/>
    </row>
    <row r="79" spans="1:26" customFormat="1" ht="12.75" x14ac:dyDescent="0.2">
      <c r="A79" s="3"/>
      <c r="B79" s="2"/>
      <c r="C79" s="393" t="s">
        <v>911</v>
      </c>
      <c r="D79" s="2"/>
      <c r="E79" s="2"/>
      <c r="F79" s="478">
        <v>0</v>
      </c>
      <c r="G79" s="475" t="s">
        <v>5</v>
      </c>
      <c r="H79" s="473"/>
      <c r="I79" s="475"/>
      <c r="J79" s="475"/>
      <c r="K79" s="473" t="s">
        <v>912</v>
      </c>
      <c r="L79" s="3"/>
      <c r="M79" s="3"/>
      <c r="N79" s="3"/>
      <c r="O79" s="3"/>
      <c r="P79" s="3"/>
      <c r="Q79" s="3"/>
      <c r="R79" s="3"/>
      <c r="S79" s="3"/>
      <c r="T79" s="3"/>
      <c r="U79" s="3"/>
      <c r="V79" s="3"/>
      <c r="W79" s="3"/>
      <c r="X79" s="3"/>
      <c r="Y79" s="3"/>
      <c r="Z79" s="3"/>
    </row>
    <row r="80" spans="1:26" ht="12.75" x14ac:dyDescent="0.2">
      <c r="A80" s="122"/>
      <c r="B80" s="412"/>
      <c r="C80" s="412"/>
      <c r="D80" s="412"/>
      <c r="E80" s="412"/>
      <c r="F80" s="412"/>
      <c r="G80" s="412"/>
      <c r="H80" s="412"/>
      <c r="I80" s="412"/>
      <c r="J80" s="412"/>
      <c r="K80" s="412"/>
      <c r="L80" s="122"/>
      <c r="M80" s="122"/>
      <c r="N80" s="122"/>
      <c r="O80" s="122"/>
      <c r="P80" s="122"/>
      <c r="Q80" s="122"/>
      <c r="R80" s="122"/>
      <c r="S80" s="122"/>
      <c r="T80" s="122"/>
      <c r="U80" s="122"/>
      <c r="V80" s="122"/>
      <c r="W80" s="122"/>
      <c r="X80" s="122"/>
      <c r="Y80" s="122"/>
      <c r="Z80" s="122"/>
    </row>
    <row r="81" spans="1:26" ht="12.75" x14ac:dyDescent="0.2">
      <c r="A81" s="122"/>
      <c r="B81" s="340" t="s">
        <v>130</v>
      </c>
      <c r="C81" s="522"/>
      <c r="D81" s="405"/>
      <c r="E81" s="405"/>
      <c r="F81" s="405"/>
      <c r="G81" s="395"/>
      <c r="H81" s="405"/>
      <c r="I81" s="405"/>
      <c r="J81" s="395"/>
      <c r="K81" s="405"/>
      <c r="L81" s="122"/>
      <c r="M81" s="122"/>
      <c r="N81" s="122"/>
      <c r="O81" s="122"/>
      <c r="P81" s="122"/>
      <c r="Q81" s="122"/>
      <c r="R81" s="122"/>
      <c r="S81" s="122"/>
      <c r="T81" s="122"/>
      <c r="U81" s="122"/>
      <c r="V81" s="122"/>
      <c r="W81" s="122"/>
      <c r="X81" s="122"/>
      <c r="Y81" s="122"/>
      <c r="Z81" s="122"/>
    </row>
    <row r="82" spans="1:26" ht="12.75" x14ac:dyDescent="0.2">
      <c r="A82" s="122"/>
      <c r="B82" s="405"/>
      <c r="C82" s="395" t="s">
        <v>373</v>
      </c>
      <c r="D82" s="405"/>
      <c r="E82" s="405"/>
      <c r="F82" s="523"/>
      <c r="G82" s="391"/>
      <c r="H82" s="422"/>
      <c r="I82" s="523"/>
      <c r="J82" s="391"/>
      <c r="K82" s="422"/>
      <c r="L82" s="122"/>
      <c r="M82" s="122"/>
      <c r="N82" s="122"/>
      <c r="O82" s="122"/>
      <c r="P82" s="122"/>
      <c r="Q82" s="122"/>
      <c r="R82" s="122"/>
      <c r="S82" s="122"/>
      <c r="T82" s="122"/>
      <c r="U82" s="122"/>
      <c r="V82" s="122"/>
      <c r="W82" s="122"/>
      <c r="X82" s="122"/>
      <c r="Y82" s="122"/>
      <c r="Z82" s="122"/>
    </row>
    <row r="83" spans="1:26" ht="12.75" x14ac:dyDescent="0.2">
      <c r="A83" s="122"/>
      <c r="B83" s="405"/>
      <c r="C83" s="395" t="s">
        <v>374</v>
      </c>
      <c r="D83" s="405"/>
      <c r="E83" s="405"/>
      <c r="F83" s="523"/>
      <c r="G83" s="391"/>
      <c r="H83" s="422"/>
      <c r="I83" s="523"/>
      <c r="J83" s="391"/>
      <c r="K83" s="422"/>
      <c r="L83" s="122"/>
      <c r="M83" s="122"/>
      <c r="N83" s="122"/>
      <c r="O83" s="122"/>
      <c r="P83" s="122"/>
      <c r="Q83" s="122"/>
      <c r="R83" s="122"/>
      <c r="S83" s="122"/>
      <c r="T83" s="122"/>
      <c r="U83" s="122"/>
      <c r="V83" s="122"/>
      <c r="W83" s="122"/>
      <c r="X83" s="122"/>
      <c r="Y83" s="122"/>
      <c r="Z83" s="122"/>
    </row>
    <row r="84" spans="1:26" ht="12.75" x14ac:dyDescent="0.2">
      <c r="A84" s="122"/>
      <c r="B84" s="412"/>
      <c r="C84" s="412"/>
      <c r="D84" s="412"/>
      <c r="E84" s="412"/>
      <c r="F84" s="412"/>
      <c r="G84" s="412"/>
      <c r="H84" s="412"/>
      <c r="I84" s="412"/>
      <c r="J84" s="412"/>
      <c r="K84" s="412"/>
      <c r="L84" s="122"/>
      <c r="M84" s="122"/>
      <c r="N84" s="122"/>
      <c r="O84" s="122"/>
      <c r="P84" s="122"/>
      <c r="Q84" s="122"/>
      <c r="R84" s="122"/>
      <c r="S84" s="122"/>
      <c r="T84" s="122"/>
      <c r="U84" s="122"/>
      <c r="V84" s="122"/>
      <c r="W84" s="122"/>
      <c r="X84" s="122"/>
      <c r="Y84" s="122"/>
      <c r="Z84" s="122"/>
    </row>
    <row r="85" spans="1:26" ht="12.75" x14ac:dyDescent="0.2">
      <c r="A85" s="122"/>
      <c r="B85" s="439" t="s">
        <v>287</v>
      </c>
      <c r="C85" s="390"/>
      <c r="D85" s="390"/>
      <c r="E85" s="390"/>
      <c r="F85" s="390"/>
      <c r="G85" s="390"/>
      <c r="H85" s="390"/>
      <c r="I85" s="390"/>
      <c r="J85" s="390"/>
      <c r="K85" s="390"/>
      <c r="L85" s="122"/>
      <c r="M85" s="122"/>
      <c r="N85" s="122"/>
      <c r="O85" s="122"/>
      <c r="P85" s="122"/>
      <c r="Q85" s="122"/>
      <c r="R85" s="122"/>
      <c r="S85" s="122"/>
      <c r="T85" s="122"/>
      <c r="U85" s="122"/>
      <c r="V85" s="122"/>
      <c r="W85" s="122"/>
      <c r="X85" s="122"/>
      <c r="Y85" s="122"/>
      <c r="Z85" s="122"/>
    </row>
    <row r="86" spans="1:26" ht="12.75" x14ac:dyDescent="0.2">
      <c r="A86" s="122"/>
      <c r="B86" s="390"/>
      <c r="C86" s="432" t="s">
        <v>375</v>
      </c>
      <c r="D86" s="390"/>
      <c r="E86" s="390"/>
      <c r="F86" s="440">
        <f>1459/F30</f>
        <v>1894.8051948051948</v>
      </c>
      <c r="G86" s="390" t="s">
        <v>288</v>
      </c>
      <c r="H86" s="422" t="s">
        <v>357</v>
      </c>
      <c r="I86" s="440">
        <f>F86*I30/F30</f>
        <v>3937.2575476471579</v>
      </c>
      <c r="J86" s="390" t="s">
        <v>288</v>
      </c>
      <c r="K86" s="422"/>
      <c r="L86" s="122"/>
      <c r="M86" s="122"/>
      <c r="N86" s="122"/>
      <c r="O86" s="122"/>
      <c r="P86" s="122"/>
      <c r="Q86" s="122"/>
      <c r="R86" s="122"/>
      <c r="S86" s="122"/>
      <c r="T86" s="122"/>
      <c r="U86" s="122"/>
      <c r="V86" s="122"/>
      <c r="W86" s="122"/>
      <c r="X86" s="122"/>
      <c r="Y86" s="122"/>
      <c r="Z86" s="122"/>
    </row>
    <row r="87" spans="1:26" ht="12.75" x14ac:dyDescent="0.2">
      <c r="A87" s="122"/>
      <c r="B87" s="390"/>
      <c r="C87" s="432" t="s">
        <v>284</v>
      </c>
      <c r="D87" s="390"/>
      <c r="E87" s="390"/>
      <c r="F87" s="440">
        <f>986/F30</f>
        <v>1280.5194805194806</v>
      </c>
      <c r="G87" s="390" t="s">
        <v>288</v>
      </c>
      <c r="H87" s="422" t="s">
        <v>357</v>
      </c>
      <c r="I87" s="440">
        <f>F87*I30/F30</f>
        <v>2660.819699780739</v>
      </c>
      <c r="J87" s="390" t="s">
        <v>288</v>
      </c>
      <c r="K87" s="422"/>
      <c r="L87" s="122"/>
      <c r="M87" s="122"/>
      <c r="N87" s="122"/>
      <c r="O87" s="122"/>
      <c r="P87" s="122"/>
      <c r="Q87" s="122"/>
      <c r="R87" s="122"/>
      <c r="S87" s="122"/>
      <c r="T87" s="122"/>
      <c r="U87" s="122"/>
      <c r="V87" s="122"/>
      <c r="W87" s="122"/>
      <c r="X87" s="122"/>
      <c r="Y87" s="122"/>
      <c r="Z87" s="122"/>
    </row>
    <row r="88" spans="1:26" ht="12.75" x14ac:dyDescent="0.2">
      <c r="A88" s="122"/>
      <c r="B88" s="412"/>
      <c r="C88" s="412"/>
      <c r="D88" s="412"/>
      <c r="E88" s="412"/>
      <c r="F88" s="412"/>
      <c r="G88" s="412"/>
      <c r="H88" s="412"/>
      <c r="I88" s="412"/>
      <c r="J88" s="412"/>
      <c r="K88" s="412"/>
      <c r="L88" s="122"/>
      <c r="M88" s="122"/>
      <c r="N88" s="122"/>
      <c r="O88" s="122"/>
      <c r="P88" s="122"/>
      <c r="Q88" s="122"/>
      <c r="R88" s="122"/>
      <c r="S88" s="122"/>
      <c r="T88" s="122"/>
      <c r="U88" s="122"/>
      <c r="V88" s="122"/>
      <c r="W88" s="122"/>
      <c r="X88" s="122"/>
      <c r="Y88" s="122"/>
      <c r="Z88" s="122"/>
    </row>
    <row r="89" spans="1:26" ht="12.75" x14ac:dyDescent="0.2">
      <c r="A89" s="122"/>
      <c r="B89" s="340" t="s">
        <v>131</v>
      </c>
      <c r="C89" s="405"/>
      <c r="D89" s="405"/>
      <c r="E89" s="405"/>
      <c r="F89" s="395"/>
      <c r="G89" s="405"/>
      <c r="H89" s="405"/>
      <c r="I89" s="405"/>
      <c r="J89" s="405"/>
      <c r="K89" s="405"/>
      <c r="L89" s="122"/>
      <c r="M89" s="122"/>
      <c r="N89" s="122"/>
      <c r="O89" s="122"/>
      <c r="P89" s="122"/>
      <c r="Q89" s="122"/>
      <c r="R89" s="122"/>
      <c r="S89" s="122"/>
      <c r="T89" s="122"/>
      <c r="U89" s="122"/>
      <c r="V89" s="122"/>
      <c r="W89" s="122"/>
      <c r="X89" s="122"/>
      <c r="Y89" s="122"/>
      <c r="Z89" s="122"/>
    </row>
    <row r="90" spans="1:26" ht="12.75" x14ac:dyDescent="0.2">
      <c r="A90" s="122"/>
      <c r="B90" s="405"/>
      <c r="C90" s="395" t="s">
        <v>419</v>
      </c>
      <c r="D90" s="405"/>
      <c r="E90" s="405"/>
      <c r="F90" s="546">
        <v>75</v>
      </c>
      <c r="G90" s="395" t="s">
        <v>113</v>
      </c>
      <c r="H90" s="405" t="s">
        <v>420</v>
      </c>
      <c r="I90" s="505">
        <f>F90</f>
        <v>75</v>
      </c>
      <c r="J90" s="395" t="s">
        <v>113</v>
      </c>
      <c r="K90" s="405"/>
      <c r="L90" s="122"/>
      <c r="M90" s="122"/>
      <c r="N90" s="122"/>
      <c r="O90" s="122"/>
      <c r="P90" s="122"/>
      <c r="Q90" s="122"/>
      <c r="R90" s="122"/>
      <c r="S90" s="122"/>
      <c r="T90" s="122"/>
      <c r="U90" s="122"/>
      <c r="V90" s="122"/>
      <c r="W90" s="122"/>
      <c r="X90" s="122"/>
      <c r="Y90" s="122"/>
      <c r="Z90" s="122"/>
    </row>
    <row r="91" spans="1:26" ht="12.75" x14ac:dyDescent="0.2">
      <c r="A91" s="122"/>
      <c r="B91" s="405"/>
      <c r="C91" s="432" t="s">
        <v>133</v>
      </c>
      <c r="D91" s="390"/>
      <c r="E91" s="390"/>
      <c r="F91" s="440">
        <f>100/50</f>
        <v>2</v>
      </c>
      <c r="G91" s="390" t="s">
        <v>113</v>
      </c>
      <c r="H91" s="422" t="s">
        <v>134</v>
      </c>
      <c r="I91" s="440">
        <f>250/50</f>
        <v>5</v>
      </c>
      <c r="J91" s="390" t="s">
        <v>113</v>
      </c>
      <c r="K91" s="422"/>
      <c r="L91" s="122"/>
      <c r="M91" s="122"/>
      <c r="N91" s="122"/>
      <c r="O91" s="122"/>
      <c r="P91" s="122"/>
      <c r="Q91" s="122"/>
      <c r="R91" s="122"/>
      <c r="S91" s="122"/>
      <c r="T91" s="122"/>
      <c r="U91" s="122"/>
      <c r="V91" s="122"/>
      <c r="W91" s="122"/>
      <c r="X91" s="122"/>
      <c r="Y91" s="122"/>
      <c r="Z91" s="122"/>
    </row>
    <row r="92" spans="1:26" ht="12.75" x14ac:dyDescent="0.2">
      <c r="A92" s="122"/>
      <c r="B92" s="405"/>
      <c r="C92" s="432" t="s">
        <v>421</v>
      </c>
      <c r="D92" s="390"/>
      <c r="E92" s="390"/>
      <c r="F92" s="440">
        <f>F90-F91</f>
        <v>73</v>
      </c>
      <c r="G92" s="390" t="s">
        <v>113</v>
      </c>
      <c r="H92" s="422"/>
      <c r="I92" s="440">
        <f>I90-I91</f>
        <v>70</v>
      </c>
      <c r="J92" s="390" t="s">
        <v>113</v>
      </c>
      <c r="K92" s="422"/>
      <c r="L92" s="122"/>
      <c r="M92" s="122"/>
      <c r="N92" s="122"/>
      <c r="O92" s="122"/>
      <c r="P92" s="122"/>
      <c r="Q92" s="122"/>
      <c r="R92" s="122"/>
      <c r="S92" s="122"/>
      <c r="T92" s="122"/>
      <c r="U92" s="122"/>
      <c r="V92" s="122"/>
      <c r="W92" s="122"/>
      <c r="X92" s="122"/>
      <c r="Y92" s="122"/>
      <c r="Z92" s="122"/>
    </row>
    <row r="93" spans="1:26" ht="12.75" x14ac:dyDescent="0.2">
      <c r="A93" s="122"/>
      <c r="B93" s="405"/>
      <c r="C93" s="395" t="s">
        <v>138</v>
      </c>
      <c r="D93" s="405"/>
      <c r="E93" s="405"/>
      <c r="F93" s="417">
        <v>0</v>
      </c>
      <c r="G93" s="395" t="s">
        <v>139</v>
      </c>
      <c r="H93" s="405"/>
      <c r="I93" s="417">
        <v>0</v>
      </c>
      <c r="J93" s="395" t="s">
        <v>139</v>
      </c>
      <c r="K93" s="405"/>
      <c r="L93" s="122"/>
      <c r="M93" s="122"/>
      <c r="N93" s="122"/>
      <c r="O93" s="122"/>
      <c r="P93" s="122"/>
      <c r="Q93" s="122"/>
      <c r="R93" s="122"/>
      <c r="S93" s="122"/>
      <c r="T93" s="122"/>
      <c r="U93" s="122"/>
      <c r="V93" s="122"/>
      <c r="W93" s="122"/>
      <c r="X93" s="122"/>
      <c r="Y93" s="122"/>
      <c r="Z93" s="122"/>
    </row>
    <row r="94" spans="1:26" ht="12.75" x14ac:dyDescent="0.2">
      <c r="A94" s="122"/>
      <c r="B94" s="405"/>
      <c r="C94" s="395" t="s">
        <v>422</v>
      </c>
      <c r="D94" s="405"/>
      <c r="E94" s="405"/>
      <c r="F94" s="431">
        <v>0</v>
      </c>
      <c r="G94" s="395" t="s">
        <v>5</v>
      </c>
      <c r="H94" s="405" t="s">
        <v>380</v>
      </c>
      <c r="I94" s="429"/>
      <c r="J94" s="395"/>
      <c r="K94" s="405"/>
      <c r="L94" s="122"/>
      <c r="M94" s="122"/>
      <c r="N94" s="122"/>
      <c r="O94" s="122"/>
      <c r="P94" s="122"/>
      <c r="Q94" s="122"/>
      <c r="R94" s="122"/>
      <c r="S94" s="122"/>
      <c r="T94" s="122"/>
      <c r="U94" s="122"/>
      <c r="V94" s="122"/>
      <c r="W94" s="122"/>
      <c r="X94" s="122"/>
      <c r="Y94" s="122"/>
      <c r="Z94" s="122"/>
    </row>
    <row r="95" spans="1:26" ht="12.75" x14ac:dyDescent="0.2">
      <c r="A95" s="122"/>
      <c r="B95" s="405"/>
      <c r="C95" s="391" t="s">
        <v>1020</v>
      </c>
      <c r="D95" s="422"/>
      <c r="E95" s="422"/>
      <c r="F95" s="874">
        <v>4</v>
      </c>
      <c r="G95" s="391" t="s">
        <v>423</v>
      </c>
      <c r="H95" s="422"/>
      <c r="I95" s="874">
        <v>2</v>
      </c>
      <c r="J95" s="391" t="s">
        <v>423</v>
      </c>
      <c r="K95" s="422"/>
      <c r="L95" s="122"/>
      <c r="M95" s="122"/>
      <c r="N95" s="122"/>
      <c r="O95" s="122"/>
      <c r="P95" s="122"/>
      <c r="Q95" s="122"/>
      <c r="R95" s="122"/>
      <c r="S95" s="122"/>
      <c r="T95" s="122"/>
      <c r="U95" s="122"/>
      <c r="V95" s="122"/>
      <c r="W95" s="122"/>
      <c r="X95" s="122"/>
      <c r="Y95" s="122"/>
      <c r="Z95" s="122"/>
    </row>
    <row r="96" spans="1:26" ht="12.75" x14ac:dyDescent="0.2">
      <c r="A96" s="122"/>
      <c r="B96" s="412"/>
      <c r="C96" s="412"/>
      <c r="D96" s="412"/>
      <c r="E96" s="412"/>
      <c r="F96" s="412"/>
      <c r="G96" s="412"/>
      <c r="H96" s="412"/>
      <c r="I96" s="412"/>
      <c r="J96" s="412"/>
      <c r="K96" s="412"/>
      <c r="L96" s="122"/>
      <c r="M96" s="122"/>
      <c r="N96" s="122"/>
      <c r="O96" s="122"/>
      <c r="P96" s="122"/>
      <c r="Q96" s="122"/>
      <c r="R96" s="122"/>
      <c r="S96" s="122"/>
      <c r="T96" s="122"/>
      <c r="U96" s="122"/>
      <c r="V96" s="122"/>
      <c r="W96" s="122"/>
      <c r="X96" s="122"/>
      <c r="Y96" s="122"/>
      <c r="Z96" s="122"/>
    </row>
    <row r="97" spans="1:26" ht="12.75" x14ac:dyDescent="0.2">
      <c r="A97" s="122"/>
      <c r="B97" s="340" t="s">
        <v>209</v>
      </c>
      <c r="C97" s="405"/>
      <c r="D97" s="405"/>
      <c r="E97" s="405"/>
      <c r="F97" s="405"/>
      <c r="G97" s="405"/>
      <c r="H97" s="405"/>
      <c r="I97" s="405"/>
      <c r="J97" s="405"/>
      <c r="K97" s="405"/>
      <c r="L97" s="122"/>
      <c r="M97" s="122"/>
      <c r="N97" s="122"/>
      <c r="O97" s="122"/>
      <c r="P97" s="122"/>
      <c r="Q97" s="122"/>
      <c r="R97" s="122"/>
      <c r="S97" s="122"/>
      <c r="T97" s="122"/>
      <c r="U97" s="122"/>
      <c r="V97" s="122"/>
      <c r="W97" s="122"/>
      <c r="X97" s="122"/>
      <c r="Y97" s="122"/>
      <c r="Z97" s="122"/>
    </row>
    <row r="98" spans="1:26" ht="12.75" x14ac:dyDescent="0.2">
      <c r="A98" s="122"/>
      <c r="B98" s="405"/>
      <c r="C98" s="395" t="s">
        <v>145</v>
      </c>
      <c r="D98" s="405"/>
      <c r="E98" s="405"/>
      <c r="F98" s="417">
        <v>0</v>
      </c>
      <c r="G98" s="395" t="s">
        <v>146</v>
      </c>
      <c r="H98" s="405"/>
      <c r="I98" s="441">
        <v>0</v>
      </c>
      <c r="J98" s="395" t="s">
        <v>146</v>
      </c>
      <c r="K98" s="405"/>
      <c r="L98" s="122"/>
      <c r="M98" s="122"/>
      <c r="N98" s="122"/>
      <c r="O98" s="122"/>
      <c r="P98" s="122"/>
      <c r="Q98" s="122"/>
      <c r="R98" s="122"/>
      <c r="S98" s="122"/>
      <c r="T98" s="122"/>
      <c r="U98" s="122"/>
      <c r="V98" s="122"/>
      <c r="W98" s="122"/>
      <c r="X98" s="122"/>
      <c r="Y98" s="122"/>
      <c r="Z98" s="122"/>
    </row>
    <row r="99" spans="1:26" ht="12.75" x14ac:dyDescent="0.2">
      <c r="A99" s="122"/>
      <c r="B99" s="405"/>
      <c r="C99" s="395" t="s">
        <v>148</v>
      </c>
      <c r="D99" s="405"/>
      <c r="E99" s="405"/>
      <c r="F99" s="431">
        <v>0.1</v>
      </c>
      <c r="G99" s="395" t="s">
        <v>5</v>
      </c>
      <c r="H99" s="422"/>
      <c r="I99" s="431">
        <v>0.1</v>
      </c>
      <c r="J99" s="395" t="s">
        <v>5</v>
      </c>
      <c r="K99" s="422"/>
      <c r="L99" s="122"/>
      <c r="M99" s="122"/>
      <c r="N99" s="122"/>
      <c r="O99" s="122"/>
      <c r="P99" s="122"/>
      <c r="Q99" s="122"/>
      <c r="R99" s="122"/>
      <c r="S99" s="122"/>
      <c r="T99" s="122"/>
      <c r="U99" s="122"/>
      <c r="V99" s="122"/>
      <c r="W99" s="122"/>
      <c r="X99" s="122"/>
      <c r="Y99" s="122"/>
      <c r="Z99" s="122"/>
    </row>
    <row r="100" spans="1:26" ht="12.75" x14ac:dyDescent="0.2">
      <c r="A100" s="122"/>
      <c r="B100" s="405"/>
      <c r="C100" s="395" t="s">
        <v>151</v>
      </c>
      <c r="D100" s="405"/>
      <c r="E100" s="405"/>
      <c r="F100" s="417">
        <v>5</v>
      </c>
      <c r="G100" s="395" t="s">
        <v>152</v>
      </c>
      <c r="H100" s="405"/>
      <c r="I100" s="417">
        <v>5</v>
      </c>
      <c r="J100" s="395" t="s">
        <v>152</v>
      </c>
      <c r="K100" s="405"/>
      <c r="L100" s="122"/>
      <c r="M100" s="122"/>
      <c r="N100" s="122"/>
      <c r="O100" s="122"/>
      <c r="P100" s="122"/>
      <c r="Q100" s="122"/>
      <c r="R100" s="122"/>
      <c r="S100" s="122"/>
      <c r="T100" s="122"/>
      <c r="U100" s="122"/>
      <c r="V100" s="122"/>
      <c r="W100" s="122"/>
      <c r="X100" s="122"/>
      <c r="Y100" s="122"/>
      <c r="Z100" s="122"/>
    </row>
    <row r="101" spans="1:26" ht="12.75" x14ac:dyDescent="0.2">
      <c r="A101" s="122"/>
      <c r="B101" s="405"/>
      <c r="C101" s="395" t="s">
        <v>154</v>
      </c>
      <c r="D101" s="405"/>
      <c r="E101" s="405"/>
      <c r="F101" s="417">
        <v>3</v>
      </c>
      <c r="G101" s="395" t="s">
        <v>152</v>
      </c>
      <c r="H101" s="405"/>
      <c r="I101" s="417">
        <v>3</v>
      </c>
      <c r="J101" s="395" t="s">
        <v>152</v>
      </c>
      <c r="K101" s="405"/>
      <c r="L101" s="122"/>
      <c r="M101" s="122"/>
      <c r="N101" s="122"/>
      <c r="O101" s="122"/>
      <c r="P101" s="122"/>
      <c r="Q101" s="122"/>
      <c r="R101" s="122"/>
      <c r="S101" s="122"/>
      <c r="T101" s="122"/>
      <c r="U101" s="122"/>
      <c r="V101" s="122"/>
      <c r="W101" s="122"/>
      <c r="X101" s="122"/>
      <c r="Y101" s="122"/>
      <c r="Z101" s="122"/>
    </row>
    <row r="102" spans="1:26" ht="12.75" x14ac:dyDescent="0.2">
      <c r="A102" s="122"/>
      <c r="B102" s="405"/>
      <c r="C102" s="391" t="s">
        <v>157</v>
      </c>
      <c r="D102" s="405"/>
      <c r="E102" s="405"/>
      <c r="F102" s="505">
        <f>F100+F101</f>
        <v>8</v>
      </c>
      <c r="G102" s="395" t="s">
        <v>152</v>
      </c>
      <c r="H102" s="405"/>
      <c r="I102" s="417">
        <v>8</v>
      </c>
      <c r="J102" s="395" t="s">
        <v>152</v>
      </c>
      <c r="K102" s="405"/>
      <c r="L102" s="122"/>
      <c r="M102" s="122"/>
      <c r="N102" s="122"/>
      <c r="O102" s="122"/>
      <c r="P102" s="122"/>
      <c r="Q102" s="122"/>
      <c r="R102" s="122"/>
      <c r="S102" s="122"/>
      <c r="T102" s="122"/>
      <c r="U102" s="122"/>
      <c r="V102" s="122"/>
      <c r="W102" s="122"/>
      <c r="X102" s="122"/>
      <c r="Y102" s="122"/>
      <c r="Z102" s="122"/>
    </row>
    <row r="103" spans="1:26" ht="12.75" x14ac:dyDescent="0.2">
      <c r="A103" s="122"/>
      <c r="B103" s="405"/>
      <c r="C103" s="391" t="s">
        <v>160</v>
      </c>
      <c r="D103" s="405"/>
      <c r="E103" s="405"/>
      <c r="F103" s="417">
        <v>12</v>
      </c>
      <c r="G103" s="395" t="s">
        <v>152</v>
      </c>
      <c r="H103" s="405"/>
      <c r="I103" s="417">
        <v>12</v>
      </c>
      <c r="J103" s="395" t="s">
        <v>152</v>
      </c>
      <c r="K103" s="405"/>
      <c r="L103" s="122"/>
      <c r="M103" s="122"/>
      <c r="N103" s="122"/>
      <c r="O103" s="122"/>
      <c r="P103" s="122"/>
      <c r="Q103" s="122"/>
      <c r="R103" s="122"/>
      <c r="S103" s="122"/>
      <c r="T103" s="122"/>
      <c r="U103" s="122"/>
      <c r="V103" s="122"/>
      <c r="W103" s="122"/>
      <c r="X103" s="122"/>
      <c r="Y103" s="122"/>
      <c r="Z103" s="122"/>
    </row>
    <row r="104" spans="1:26" ht="12.75" x14ac:dyDescent="0.2">
      <c r="A104" s="122"/>
      <c r="B104" s="412"/>
      <c r="C104" s="412"/>
      <c r="D104" s="412"/>
      <c r="E104" s="412"/>
      <c r="F104" s="412"/>
      <c r="G104" s="412"/>
      <c r="H104" s="412"/>
      <c r="I104" s="412"/>
      <c r="J104" s="412"/>
      <c r="K104" s="412"/>
      <c r="L104" s="122"/>
      <c r="M104" s="122"/>
      <c r="N104" s="122"/>
      <c r="O104" s="122"/>
      <c r="P104" s="122"/>
      <c r="Q104" s="122"/>
      <c r="R104" s="122"/>
      <c r="S104" s="122"/>
      <c r="T104" s="122"/>
      <c r="U104" s="122"/>
      <c r="V104" s="122"/>
      <c r="W104" s="122"/>
      <c r="X104" s="122"/>
      <c r="Y104" s="122"/>
      <c r="Z104" s="122"/>
    </row>
    <row r="105" spans="1:26" ht="12.75" x14ac:dyDescent="0.2">
      <c r="A105" s="122"/>
      <c r="B105" s="340" t="s">
        <v>161</v>
      </c>
      <c r="C105" s="405"/>
      <c r="D105" s="405"/>
      <c r="E105" s="405"/>
      <c r="F105" s="405"/>
      <c r="G105" s="405"/>
      <c r="H105" s="405"/>
      <c r="I105" s="405"/>
      <c r="J105" s="405"/>
      <c r="K105" s="405"/>
      <c r="L105" s="122"/>
      <c r="M105" s="122"/>
      <c r="N105" s="122"/>
      <c r="O105" s="122"/>
      <c r="P105" s="122"/>
      <c r="Q105" s="122"/>
      <c r="R105" s="122"/>
      <c r="S105" s="122"/>
      <c r="T105" s="122"/>
      <c r="U105" s="122"/>
      <c r="V105" s="122"/>
      <c r="W105" s="122"/>
      <c r="X105" s="122"/>
      <c r="Y105" s="122"/>
      <c r="Z105" s="122"/>
    </row>
    <row r="106" spans="1:26" ht="12.75" x14ac:dyDescent="0.2">
      <c r="A106" s="122"/>
      <c r="B106" s="405"/>
      <c r="C106" s="395" t="s">
        <v>250</v>
      </c>
      <c r="D106" s="405"/>
      <c r="E106" s="405"/>
      <c r="F106" s="405"/>
      <c r="G106" s="395"/>
      <c r="H106" s="405"/>
      <c r="I106" s="443">
        <v>0</v>
      </c>
      <c r="J106" s="395" t="s">
        <v>163</v>
      </c>
      <c r="K106" s="2" t="s">
        <v>854</v>
      </c>
      <c r="L106" s="122"/>
      <c r="M106" s="122"/>
      <c r="N106" s="122"/>
      <c r="O106" s="122"/>
      <c r="P106" s="122"/>
      <c r="Q106" s="122"/>
      <c r="R106" s="122"/>
      <c r="S106" s="122"/>
      <c r="T106" s="122"/>
      <c r="U106" s="122"/>
      <c r="V106" s="122"/>
      <c r="W106" s="122"/>
      <c r="X106" s="122"/>
      <c r="Y106" s="122"/>
      <c r="Z106" s="122"/>
    </row>
    <row r="107" spans="1:26" ht="12.75" x14ac:dyDescent="0.2">
      <c r="A107" s="122"/>
      <c r="B107" s="405"/>
      <c r="C107" s="395" t="s">
        <v>162</v>
      </c>
      <c r="D107" s="405"/>
      <c r="E107" s="405"/>
      <c r="F107" s="405"/>
      <c r="G107" s="395"/>
      <c r="H107" s="405"/>
      <c r="I107" s="443">
        <v>8500</v>
      </c>
      <c r="J107" s="395" t="s">
        <v>163</v>
      </c>
      <c r="K107" s="2" t="s">
        <v>854</v>
      </c>
      <c r="L107" s="122"/>
      <c r="M107" s="122"/>
      <c r="N107" s="122"/>
      <c r="O107" s="122"/>
      <c r="P107" s="122"/>
      <c r="Q107" s="122"/>
      <c r="R107" s="122"/>
      <c r="S107" s="122"/>
      <c r="T107" s="122"/>
      <c r="U107" s="122"/>
      <c r="V107" s="122"/>
      <c r="W107" s="122"/>
      <c r="X107" s="122"/>
      <c r="Y107" s="122"/>
      <c r="Z107" s="122"/>
    </row>
    <row r="108" spans="1:26" ht="12.75" x14ac:dyDescent="0.2">
      <c r="A108" s="122"/>
      <c r="B108" s="405"/>
      <c r="C108" s="395" t="s">
        <v>164</v>
      </c>
      <c r="D108" s="405"/>
      <c r="E108" s="405"/>
      <c r="F108" s="405"/>
      <c r="G108" s="395"/>
      <c r="H108" s="405"/>
      <c r="I108" s="443">
        <v>15500</v>
      </c>
      <c r="J108" s="395" t="s">
        <v>163</v>
      </c>
      <c r="K108" s="2" t="s">
        <v>854</v>
      </c>
      <c r="L108" s="122"/>
      <c r="M108" s="122"/>
      <c r="N108" s="122"/>
      <c r="O108" s="122"/>
      <c r="P108" s="122"/>
      <c r="Q108" s="122"/>
      <c r="R108" s="122"/>
      <c r="S108" s="122"/>
      <c r="T108" s="122"/>
      <c r="U108" s="122"/>
      <c r="V108" s="122"/>
      <c r="W108" s="122"/>
      <c r="X108" s="122"/>
      <c r="Y108" s="122"/>
      <c r="Z108" s="122"/>
    </row>
    <row r="109" spans="1:26" ht="12.75" x14ac:dyDescent="0.2">
      <c r="A109" s="122"/>
      <c r="B109" s="405"/>
      <c r="C109" s="395" t="s">
        <v>166</v>
      </c>
      <c r="D109" s="405"/>
      <c r="E109" s="405"/>
      <c r="F109" s="405"/>
      <c r="G109" s="395"/>
      <c r="H109" s="405"/>
      <c r="I109" s="443">
        <v>20000</v>
      </c>
      <c r="J109" s="395" t="s">
        <v>163</v>
      </c>
      <c r="K109" s="2" t="s">
        <v>854</v>
      </c>
      <c r="L109" s="122"/>
      <c r="M109" s="122"/>
      <c r="N109" s="122"/>
      <c r="O109" s="122"/>
      <c r="P109" s="122"/>
      <c r="Q109" s="122"/>
      <c r="R109" s="122"/>
      <c r="S109" s="122"/>
      <c r="T109" s="122"/>
      <c r="U109" s="122"/>
      <c r="V109" s="122"/>
      <c r="W109" s="122"/>
      <c r="X109" s="122"/>
      <c r="Y109" s="122"/>
      <c r="Z109" s="122"/>
    </row>
    <row r="110" spans="1:26" ht="12.75" x14ac:dyDescent="0.2">
      <c r="A110" s="122"/>
      <c r="B110" s="405"/>
      <c r="C110" s="395" t="s">
        <v>168</v>
      </c>
      <c r="D110" s="405"/>
      <c r="E110" s="405"/>
      <c r="F110" s="405"/>
      <c r="G110" s="395"/>
      <c r="H110" s="405"/>
      <c r="I110" s="443">
        <v>20500</v>
      </c>
      <c r="J110" s="395" t="s">
        <v>163</v>
      </c>
      <c r="K110" s="2" t="s">
        <v>854</v>
      </c>
      <c r="L110" s="122"/>
      <c r="M110" s="122"/>
      <c r="N110" s="122"/>
      <c r="O110" s="122"/>
      <c r="P110" s="122"/>
      <c r="Q110" s="122"/>
      <c r="R110" s="122"/>
      <c r="S110" s="122"/>
      <c r="T110" s="122"/>
      <c r="U110" s="122"/>
      <c r="V110" s="122"/>
      <c r="W110" s="122"/>
      <c r="X110" s="122"/>
      <c r="Y110" s="122"/>
      <c r="Z110" s="122"/>
    </row>
    <row r="111" spans="1:26" ht="12.75" x14ac:dyDescent="0.2">
      <c r="A111" s="122"/>
      <c r="B111" s="405"/>
      <c r="C111" s="395" t="s">
        <v>171</v>
      </c>
      <c r="D111" s="405"/>
      <c r="E111" s="405"/>
      <c r="F111" s="405"/>
      <c r="G111" s="395"/>
      <c r="H111" s="405"/>
      <c r="I111" s="444">
        <v>0.9</v>
      </c>
      <c r="J111" s="395" t="s">
        <v>256</v>
      </c>
      <c r="K111" s="405" t="s">
        <v>381</v>
      </c>
      <c r="L111" s="122"/>
      <c r="M111" s="122"/>
      <c r="N111" s="122"/>
      <c r="O111" s="122"/>
      <c r="P111" s="122"/>
      <c r="Q111" s="122"/>
      <c r="R111" s="122"/>
      <c r="S111" s="122"/>
      <c r="T111" s="122"/>
      <c r="U111" s="122"/>
      <c r="V111" s="122"/>
      <c r="W111" s="122"/>
      <c r="X111" s="122"/>
      <c r="Y111" s="122"/>
      <c r="Z111" s="122"/>
    </row>
    <row r="112" spans="1:26" ht="12.75" x14ac:dyDescent="0.2">
      <c r="A112" s="122"/>
      <c r="B112" s="405"/>
      <c r="C112" s="395" t="s">
        <v>251</v>
      </c>
      <c r="D112" s="405"/>
      <c r="E112" s="405"/>
      <c r="F112" s="405"/>
      <c r="G112" s="395"/>
      <c r="H112" s="405"/>
      <c r="I112" s="444">
        <v>0.2</v>
      </c>
      <c r="J112" s="395" t="s">
        <v>256</v>
      </c>
      <c r="K112" s="405" t="s">
        <v>12</v>
      </c>
      <c r="L112" s="122"/>
      <c r="M112" s="122"/>
      <c r="N112" s="122"/>
      <c r="O112" s="122"/>
      <c r="P112" s="122"/>
      <c r="Q112" s="122"/>
      <c r="R112" s="122"/>
      <c r="S112" s="122"/>
      <c r="T112" s="122"/>
      <c r="U112" s="122"/>
      <c r="V112" s="122"/>
      <c r="W112" s="122"/>
      <c r="X112" s="122"/>
      <c r="Y112" s="122"/>
      <c r="Z112" s="122"/>
    </row>
    <row r="113" spans="1:26" ht="12.75" x14ac:dyDescent="0.2">
      <c r="A113" s="122"/>
      <c r="B113" s="405"/>
      <c r="C113" s="395" t="s">
        <v>257</v>
      </c>
      <c r="D113" s="405"/>
      <c r="E113" s="405"/>
      <c r="F113" s="405"/>
      <c r="G113" s="395"/>
      <c r="H113" s="405"/>
      <c r="I113" s="445">
        <v>5</v>
      </c>
      <c r="J113" s="395" t="s">
        <v>12</v>
      </c>
      <c r="K113" s="405" t="s">
        <v>12</v>
      </c>
      <c r="L113" s="122"/>
      <c r="M113" s="122"/>
      <c r="N113" s="122"/>
      <c r="O113" s="122"/>
      <c r="P113" s="122"/>
      <c r="Q113" s="122"/>
      <c r="R113" s="122"/>
      <c r="S113" s="122"/>
      <c r="T113" s="122"/>
      <c r="U113" s="122"/>
      <c r="V113" s="122"/>
      <c r="W113" s="122"/>
      <c r="X113" s="122"/>
      <c r="Y113" s="122"/>
      <c r="Z113" s="122"/>
    </row>
    <row r="114" spans="1:26" ht="12.75" x14ac:dyDescent="0.2">
      <c r="A114" s="122"/>
      <c r="B114" s="405"/>
      <c r="C114" s="395" t="s">
        <v>710</v>
      </c>
      <c r="D114" s="405"/>
      <c r="E114" s="405"/>
      <c r="F114" s="405"/>
      <c r="G114" s="395"/>
      <c r="H114" s="405"/>
      <c r="I114" s="581">
        <f>'Total Beneficiaries and Funding'!E11</f>
        <v>5599801.9674107246</v>
      </c>
      <c r="J114" s="395" t="s">
        <v>172</v>
      </c>
      <c r="K114" s="405" t="s">
        <v>711</v>
      </c>
      <c r="L114" s="122"/>
      <c r="M114" s="122"/>
      <c r="N114" s="122"/>
      <c r="O114" s="122"/>
      <c r="P114" s="122"/>
      <c r="Q114" s="122"/>
      <c r="R114" s="122"/>
      <c r="S114" s="122"/>
      <c r="T114" s="122"/>
      <c r="U114" s="122"/>
      <c r="V114" s="122"/>
      <c r="W114" s="122"/>
      <c r="X114" s="122"/>
      <c r="Y114" s="122"/>
      <c r="Z114" s="122"/>
    </row>
    <row r="115" spans="1:26" customFormat="1" ht="12.75" x14ac:dyDescent="0.2">
      <c r="A115" s="3"/>
      <c r="B115" s="2"/>
      <c r="C115" s="393" t="s">
        <v>939</v>
      </c>
      <c r="D115" s="2"/>
      <c r="E115" s="2"/>
      <c r="F115" s="2"/>
      <c r="G115" s="393"/>
      <c r="H115" s="2"/>
      <c r="I115" s="444">
        <v>0</v>
      </c>
      <c r="J115" s="393" t="s">
        <v>5</v>
      </c>
      <c r="K115" s="422" t="s">
        <v>940</v>
      </c>
      <c r="L115" s="3"/>
      <c r="M115" s="3"/>
      <c r="N115" s="3"/>
      <c r="O115" s="3"/>
      <c r="P115" s="3"/>
      <c r="Q115" s="3"/>
      <c r="R115" s="3"/>
      <c r="S115" s="3"/>
      <c r="T115" s="3"/>
      <c r="U115" s="3"/>
      <c r="V115" s="3"/>
      <c r="W115" s="3"/>
      <c r="X115" s="3"/>
      <c r="Y115" s="3"/>
      <c r="Z115" s="3"/>
    </row>
    <row r="116" spans="1:26" ht="12.75" x14ac:dyDescent="0.2">
      <c r="A116" s="122"/>
      <c r="B116" s="405"/>
      <c r="C116" s="395" t="s">
        <v>268</v>
      </c>
      <c r="D116" s="405"/>
      <c r="E116" s="405"/>
      <c r="F116" s="405"/>
      <c r="G116" s="395"/>
      <c r="H116" s="405"/>
      <c r="I116" s="446">
        <v>0</v>
      </c>
      <c r="J116" s="391" t="s">
        <v>269</v>
      </c>
      <c r="K116" s="405"/>
      <c r="L116" s="122"/>
      <c r="M116" s="122"/>
      <c r="N116" s="122"/>
      <c r="O116" s="122"/>
      <c r="P116" s="122"/>
      <c r="Q116" s="122"/>
      <c r="R116" s="122"/>
      <c r="S116" s="122"/>
      <c r="T116" s="122"/>
      <c r="U116" s="122"/>
      <c r="V116" s="122"/>
      <c r="W116" s="122"/>
      <c r="X116" s="122"/>
      <c r="Y116" s="122"/>
      <c r="Z116" s="122"/>
    </row>
    <row r="117" spans="1:26" ht="12.75" x14ac:dyDescent="0.2">
      <c r="A117" s="122"/>
      <c r="B117" s="405"/>
      <c r="C117" s="395" t="s">
        <v>270</v>
      </c>
      <c r="D117" s="405"/>
      <c r="E117" s="405"/>
      <c r="F117" s="405"/>
      <c r="G117" s="395"/>
      <c r="H117" s="405"/>
      <c r="I117" s="445">
        <v>5</v>
      </c>
      <c r="J117" s="391" t="s">
        <v>66</v>
      </c>
      <c r="K117" s="405"/>
      <c r="L117" s="122"/>
      <c r="M117" s="122"/>
      <c r="N117" s="122"/>
      <c r="O117" s="122"/>
      <c r="P117" s="122"/>
      <c r="Q117" s="122"/>
      <c r="R117" s="122"/>
      <c r="S117" s="122"/>
      <c r="T117" s="122"/>
      <c r="U117" s="122"/>
      <c r="V117" s="122"/>
      <c r="W117" s="122"/>
      <c r="X117" s="122"/>
      <c r="Y117" s="122"/>
      <c r="Z117" s="122"/>
    </row>
    <row r="118" spans="1:26" s="159" customFormat="1" ht="12.75" x14ac:dyDescent="0.2">
      <c r="A118" s="122"/>
      <c r="B118" s="405"/>
      <c r="C118" s="395" t="s">
        <v>909</v>
      </c>
      <c r="D118" s="405"/>
      <c r="E118" s="405"/>
      <c r="F118" s="157"/>
      <c r="G118" s="157"/>
      <c r="H118" s="157"/>
      <c r="I118" s="444">
        <v>0</v>
      </c>
      <c r="J118" s="391" t="s">
        <v>5</v>
      </c>
      <c r="K118" s="422" t="s">
        <v>910</v>
      </c>
      <c r="L118" s="122"/>
      <c r="M118" s="122"/>
      <c r="N118" s="122"/>
      <c r="O118" s="122"/>
      <c r="P118" s="122"/>
      <c r="Q118" s="122"/>
      <c r="R118" s="122"/>
      <c r="S118" s="122"/>
      <c r="T118" s="173"/>
      <c r="U118" s="173"/>
      <c r="V118" s="173"/>
      <c r="W118" s="173"/>
    </row>
    <row r="119" spans="1:26" ht="12.75" x14ac:dyDescent="0.2">
      <c r="A119" s="122"/>
      <c r="B119" s="122"/>
      <c r="C119" s="122"/>
      <c r="D119" s="122"/>
      <c r="E119" s="122"/>
      <c r="F119" s="122"/>
      <c r="G119" s="122"/>
      <c r="H119" s="122"/>
      <c r="I119" s="122"/>
      <c r="J119" s="122"/>
      <c r="K119" s="122"/>
      <c r="L119" s="122"/>
      <c r="M119" s="122"/>
      <c r="N119" s="122"/>
      <c r="O119" s="122"/>
      <c r="P119" s="122"/>
      <c r="Q119" s="122"/>
      <c r="R119" s="122"/>
      <c r="S119" s="122"/>
      <c r="T119" s="122"/>
      <c r="U119" s="122"/>
      <c r="V119" s="122"/>
      <c r="W119" s="122"/>
      <c r="X119" s="122"/>
      <c r="Y119" s="122"/>
      <c r="Z119" s="122"/>
    </row>
    <row r="120" spans="1:26" ht="12.75" x14ac:dyDescent="0.2">
      <c r="A120" s="145" t="s">
        <v>173</v>
      </c>
      <c r="B120" s="119"/>
      <c r="C120" s="119"/>
      <c r="D120" s="161" t="s">
        <v>174</v>
      </c>
      <c r="E120" s="161"/>
      <c r="F120" s="162">
        <v>0</v>
      </c>
      <c r="G120" s="162">
        <v>1</v>
      </c>
      <c r="H120" s="162">
        <v>2</v>
      </c>
      <c r="I120" s="162">
        <v>3</v>
      </c>
      <c r="J120" s="162">
        <v>4</v>
      </c>
      <c r="K120" s="162">
        <v>5</v>
      </c>
      <c r="L120" s="162">
        <v>6</v>
      </c>
      <c r="M120" s="162">
        <v>7</v>
      </c>
      <c r="N120" s="162">
        <v>8</v>
      </c>
      <c r="O120" s="162">
        <v>9</v>
      </c>
      <c r="P120" s="119"/>
      <c r="Q120" s="119"/>
      <c r="R120" s="119"/>
      <c r="S120" s="119"/>
      <c r="T120" s="119"/>
      <c r="U120" s="119"/>
      <c r="V120" s="119"/>
      <c r="W120" s="119"/>
      <c r="X120" s="119"/>
      <c r="Y120" s="119"/>
      <c r="Z120" s="119"/>
    </row>
    <row r="121" spans="1:26" ht="12.75" x14ac:dyDescent="0.2">
      <c r="A121" s="122"/>
      <c r="B121" s="145" t="s">
        <v>175</v>
      </c>
      <c r="C121" s="119"/>
      <c r="D121" s="229"/>
      <c r="E121" s="229"/>
      <c r="F121" s="229"/>
      <c r="G121" s="229"/>
      <c r="H121" s="229"/>
      <c r="I121" s="229"/>
      <c r="J121" s="229"/>
      <c r="K121" s="229"/>
      <c r="L121" s="229"/>
      <c r="M121" s="229"/>
      <c r="N121" s="229"/>
      <c r="O121" s="229"/>
      <c r="P121" s="149"/>
      <c r="Q121" s="122"/>
      <c r="R121" s="122"/>
      <c r="S121" s="122"/>
      <c r="T121" s="122"/>
      <c r="U121" s="122"/>
      <c r="V121" s="122"/>
      <c r="W121" s="122"/>
      <c r="X121" s="122"/>
      <c r="Y121" s="122"/>
      <c r="Z121" s="122"/>
    </row>
    <row r="122" spans="1:26" ht="12.75" x14ac:dyDescent="0.2">
      <c r="A122" s="122"/>
      <c r="B122" s="119"/>
      <c r="C122" s="123" t="s">
        <v>176</v>
      </c>
      <c r="D122" s="119"/>
      <c r="E122" s="119"/>
      <c r="F122" s="118">
        <f t="shared" ref="F122:O122" si="2">$F$8</f>
        <v>7.9000000000000001E-2</v>
      </c>
      <c r="G122" s="118">
        <f t="shared" si="2"/>
        <v>7.9000000000000001E-2</v>
      </c>
      <c r="H122" s="118">
        <f t="shared" si="2"/>
        <v>7.9000000000000001E-2</v>
      </c>
      <c r="I122" s="118">
        <f t="shared" si="2"/>
        <v>7.9000000000000001E-2</v>
      </c>
      <c r="J122" s="118">
        <f t="shared" si="2"/>
        <v>7.9000000000000001E-2</v>
      </c>
      <c r="K122" s="118">
        <f t="shared" si="2"/>
        <v>7.9000000000000001E-2</v>
      </c>
      <c r="L122" s="118">
        <f t="shared" si="2"/>
        <v>7.9000000000000001E-2</v>
      </c>
      <c r="M122" s="118">
        <f t="shared" si="2"/>
        <v>7.9000000000000001E-2</v>
      </c>
      <c r="N122" s="118">
        <f t="shared" si="2"/>
        <v>7.9000000000000001E-2</v>
      </c>
      <c r="O122" s="118">
        <f t="shared" si="2"/>
        <v>7.9000000000000001E-2</v>
      </c>
      <c r="P122" s="122"/>
      <c r="Q122" s="122"/>
      <c r="R122" s="122"/>
      <c r="S122" s="122"/>
      <c r="T122" s="122"/>
      <c r="U122" s="122"/>
      <c r="V122" s="122"/>
      <c r="W122" s="122"/>
      <c r="X122" s="122"/>
      <c r="Y122" s="122"/>
      <c r="Z122" s="122"/>
    </row>
    <row r="123" spans="1:26" ht="12.75" x14ac:dyDescent="0.2">
      <c r="A123" s="122"/>
      <c r="B123" s="119"/>
      <c r="C123" s="123" t="s">
        <v>177</v>
      </c>
      <c r="D123" s="119"/>
      <c r="E123" s="119"/>
      <c r="F123" s="163">
        <v>1</v>
      </c>
      <c r="G123" s="164">
        <f t="shared" ref="G123:O123" si="3">F123*(1+G122)</f>
        <v>1.079</v>
      </c>
      <c r="H123" s="164">
        <f t="shared" si="3"/>
        <v>1.1642409999999999</v>
      </c>
      <c r="I123" s="164">
        <f t="shared" si="3"/>
        <v>1.2562160389999999</v>
      </c>
      <c r="J123" s="164">
        <f t="shared" si="3"/>
        <v>1.3554571060809999</v>
      </c>
      <c r="K123" s="164">
        <f t="shared" si="3"/>
        <v>1.4625382174613988</v>
      </c>
      <c r="L123" s="164">
        <f t="shared" si="3"/>
        <v>1.5780787366408493</v>
      </c>
      <c r="M123" s="164">
        <f t="shared" si="3"/>
        <v>1.7027469568354763</v>
      </c>
      <c r="N123" s="164">
        <f t="shared" si="3"/>
        <v>1.8372639664254788</v>
      </c>
      <c r="O123" s="121">
        <f t="shared" si="3"/>
        <v>1.9824078197730917</v>
      </c>
      <c r="P123" s="122"/>
      <c r="Q123" s="122"/>
      <c r="R123" s="122"/>
      <c r="S123" s="122"/>
      <c r="T123" s="122"/>
      <c r="U123" s="122"/>
      <c r="V123" s="122"/>
      <c r="W123" s="122"/>
      <c r="X123" s="122"/>
      <c r="Y123" s="122"/>
      <c r="Z123" s="122"/>
    </row>
    <row r="124" spans="1:26" ht="12.75" x14ac:dyDescent="0.2">
      <c r="A124" s="122"/>
      <c r="B124" s="119"/>
      <c r="C124" s="123" t="s">
        <v>7</v>
      </c>
      <c r="D124" s="119"/>
      <c r="E124" s="119"/>
      <c r="F124" s="118">
        <f t="shared" ref="F124:O124" si="4">$F$9</f>
        <v>2.5000000000000001E-2</v>
      </c>
      <c r="G124" s="118">
        <f t="shared" si="4"/>
        <v>2.5000000000000001E-2</v>
      </c>
      <c r="H124" s="118">
        <f t="shared" si="4"/>
        <v>2.5000000000000001E-2</v>
      </c>
      <c r="I124" s="118">
        <f t="shared" si="4"/>
        <v>2.5000000000000001E-2</v>
      </c>
      <c r="J124" s="118">
        <f t="shared" si="4"/>
        <v>2.5000000000000001E-2</v>
      </c>
      <c r="K124" s="118">
        <f t="shared" si="4"/>
        <v>2.5000000000000001E-2</v>
      </c>
      <c r="L124" s="118">
        <f t="shared" si="4"/>
        <v>2.5000000000000001E-2</v>
      </c>
      <c r="M124" s="118">
        <f t="shared" si="4"/>
        <v>2.5000000000000001E-2</v>
      </c>
      <c r="N124" s="118">
        <f t="shared" si="4"/>
        <v>2.5000000000000001E-2</v>
      </c>
      <c r="O124" s="118">
        <f t="shared" si="4"/>
        <v>2.5000000000000001E-2</v>
      </c>
      <c r="P124" s="122"/>
      <c r="Q124" s="122"/>
      <c r="R124" s="122"/>
      <c r="S124" s="122"/>
      <c r="T124" s="122"/>
      <c r="U124" s="122"/>
      <c r="V124" s="122"/>
      <c r="W124" s="122"/>
      <c r="X124" s="122"/>
      <c r="Y124" s="122"/>
      <c r="Z124" s="122"/>
    </row>
    <row r="125" spans="1:26" ht="12.75" x14ac:dyDescent="0.2">
      <c r="A125" s="122"/>
      <c r="B125" s="119"/>
      <c r="C125" s="123" t="s">
        <v>179</v>
      </c>
      <c r="D125" s="119"/>
      <c r="E125" s="119"/>
      <c r="F125" s="121">
        <v>1</v>
      </c>
      <c r="G125" s="121">
        <f t="shared" ref="G125:O125" si="5">F125*(1+G124)</f>
        <v>1.0249999999999999</v>
      </c>
      <c r="H125" s="121">
        <f t="shared" si="5"/>
        <v>1.0506249999999999</v>
      </c>
      <c r="I125" s="121">
        <f t="shared" si="5"/>
        <v>1.0768906249999999</v>
      </c>
      <c r="J125" s="121">
        <f t="shared" si="5"/>
        <v>1.1038128906249998</v>
      </c>
      <c r="K125" s="121">
        <f t="shared" si="5"/>
        <v>1.1314082128906247</v>
      </c>
      <c r="L125" s="121">
        <f t="shared" si="5"/>
        <v>1.1596934182128902</v>
      </c>
      <c r="M125" s="121">
        <f t="shared" si="5"/>
        <v>1.1886857536682123</v>
      </c>
      <c r="N125" s="121">
        <f t="shared" si="5"/>
        <v>1.2184028975099175</v>
      </c>
      <c r="O125" s="121">
        <f t="shared" si="5"/>
        <v>1.2488629699476652</v>
      </c>
      <c r="P125" s="122"/>
      <c r="Q125" s="122"/>
      <c r="R125" s="122"/>
      <c r="S125" s="122"/>
      <c r="T125" s="122"/>
      <c r="U125" s="122"/>
      <c r="V125" s="122"/>
      <c r="W125" s="122"/>
      <c r="X125" s="122"/>
      <c r="Y125" s="122"/>
      <c r="Z125" s="122"/>
    </row>
    <row r="126" spans="1:26" ht="12.75" x14ac:dyDescent="0.2">
      <c r="A126" s="122"/>
      <c r="B126" s="119"/>
      <c r="C126" s="123" t="s">
        <v>180</v>
      </c>
      <c r="D126" s="119"/>
      <c r="E126" s="119"/>
      <c r="F126" s="121">
        <f t="shared" ref="F126:O126" si="6">F123/F125</f>
        <v>1</v>
      </c>
      <c r="G126" s="121">
        <f t="shared" si="6"/>
        <v>1.0526829268292683</v>
      </c>
      <c r="H126" s="121">
        <f t="shared" si="6"/>
        <v>1.1081413444378345</v>
      </c>
      <c r="I126" s="121">
        <f t="shared" si="6"/>
        <v>1.16652147380334</v>
      </c>
      <c r="J126" s="121">
        <f t="shared" si="6"/>
        <v>1.2279772392524917</v>
      </c>
      <c r="K126" s="121">
        <f t="shared" si="6"/>
        <v>1.2926706742960377</v>
      </c>
      <c r="L126" s="121">
        <f t="shared" si="6"/>
        <v>1.3607723488443169</v>
      </c>
      <c r="M126" s="121">
        <f t="shared" si="6"/>
        <v>1.4324618189297738</v>
      </c>
      <c r="N126" s="121">
        <f t="shared" si="6"/>
        <v>1.5079281001221716</v>
      </c>
      <c r="O126" s="121">
        <f t="shared" si="6"/>
        <v>1.5873701658847057</v>
      </c>
      <c r="P126" s="122"/>
      <c r="Q126" s="122"/>
      <c r="R126" s="122"/>
      <c r="S126" s="122"/>
      <c r="T126" s="122"/>
      <c r="U126" s="122"/>
      <c r="V126" s="122"/>
      <c r="W126" s="122"/>
      <c r="X126" s="122"/>
      <c r="Y126" s="122"/>
      <c r="Z126" s="122"/>
    </row>
    <row r="127" spans="1:26" ht="12.75" x14ac:dyDescent="0.2">
      <c r="A127" s="122"/>
      <c r="B127" s="119"/>
      <c r="C127" s="123" t="s">
        <v>181</v>
      </c>
      <c r="D127" s="119"/>
      <c r="E127" s="119"/>
      <c r="F127" s="164">
        <f t="shared" ref="F127:O127" si="7">$F$10</f>
        <v>157.54</v>
      </c>
      <c r="G127" s="164">
        <f t="shared" si="7"/>
        <v>157.54</v>
      </c>
      <c r="H127" s="164">
        <f t="shared" si="7"/>
        <v>157.54</v>
      </c>
      <c r="I127" s="164">
        <f t="shared" si="7"/>
        <v>157.54</v>
      </c>
      <c r="J127" s="164">
        <f t="shared" si="7"/>
        <v>157.54</v>
      </c>
      <c r="K127" s="164">
        <f t="shared" si="7"/>
        <v>157.54</v>
      </c>
      <c r="L127" s="164">
        <f t="shared" si="7"/>
        <v>157.54</v>
      </c>
      <c r="M127" s="164">
        <f t="shared" si="7"/>
        <v>157.54</v>
      </c>
      <c r="N127" s="164">
        <f t="shared" si="7"/>
        <v>157.54</v>
      </c>
      <c r="O127" s="164">
        <f t="shared" si="7"/>
        <v>157.54</v>
      </c>
      <c r="P127" s="122"/>
      <c r="Q127" s="122"/>
      <c r="R127" s="122"/>
      <c r="S127" s="122"/>
      <c r="T127" s="122"/>
      <c r="U127" s="122"/>
      <c r="V127" s="122"/>
      <c r="W127" s="122"/>
      <c r="X127" s="122"/>
      <c r="Y127" s="122"/>
      <c r="Z127" s="122"/>
    </row>
    <row r="128" spans="1:26" ht="12.75" x14ac:dyDescent="0.2">
      <c r="A128" s="122"/>
      <c r="B128" s="119"/>
      <c r="C128" s="123" t="s">
        <v>182</v>
      </c>
      <c r="D128" s="119"/>
      <c r="E128" s="119"/>
      <c r="F128" s="118">
        <f t="shared" ref="F128:O128" si="8">$F$11</f>
        <v>0</v>
      </c>
      <c r="G128" s="118">
        <f t="shared" si="8"/>
        <v>0</v>
      </c>
      <c r="H128" s="118">
        <f t="shared" si="8"/>
        <v>0</v>
      </c>
      <c r="I128" s="118">
        <f t="shared" si="8"/>
        <v>0</v>
      </c>
      <c r="J128" s="118">
        <f t="shared" si="8"/>
        <v>0</v>
      </c>
      <c r="K128" s="118">
        <f t="shared" si="8"/>
        <v>0</v>
      </c>
      <c r="L128" s="118">
        <f t="shared" si="8"/>
        <v>0</v>
      </c>
      <c r="M128" s="118">
        <f t="shared" si="8"/>
        <v>0</v>
      </c>
      <c r="N128" s="118">
        <f t="shared" si="8"/>
        <v>0</v>
      </c>
      <c r="O128" s="118">
        <f t="shared" si="8"/>
        <v>0</v>
      </c>
      <c r="P128" s="122"/>
      <c r="Q128" s="122"/>
      <c r="R128" s="122"/>
      <c r="S128" s="122"/>
      <c r="T128" s="122"/>
      <c r="U128" s="122"/>
      <c r="V128" s="122"/>
      <c r="W128" s="122"/>
      <c r="X128" s="122"/>
      <c r="Y128" s="122"/>
      <c r="Z128" s="122"/>
    </row>
    <row r="129" spans="1:26" ht="12.75" x14ac:dyDescent="0.2">
      <c r="A129" s="122"/>
      <c r="B129" s="119"/>
      <c r="C129" s="123" t="s">
        <v>183</v>
      </c>
      <c r="D129" s="119"/>
      <c r="E129" s="119"/>
      <c r="F129" s="164">
        <f t="shared" ref="F129:O129" si="9">F127*(1+F128)^F120</f>
        <v>157.54</v>
      </c>
      <c r="G129" s="164">
        <f t="shared" si="9"/>
        <v>157.54</v>
      </c>
      <c r="H129" s="164">
        <f t="shared" si="9"/>
        <v>157.54</v>
      </c>
      <c r="I129" s="164">
        <f t="shared" si="9"/>
        <v>157.54</v>
      </c>
      <c r="J129" s="164">
        <f t="shared" si="9"/>
        <v>157.54</v>
      </c>
      <c r="K129" s="164">
        <f t="shared" si="9"/>
        <v>157.54</v>
      </c>
      <c r="L129" s="164">
        <f t="shared" si="9"/>
        <v>157.54</v>
      </c>
      <c r="M129" s="164">
        <f t="shared" si="9"/>
        <v>157.54</v>
      </c>
      <c r="N129" s="164">
        <f t="shared" si="9"/>
        <v>157.54</v>
      </c>
      <c r="O129" s="164">
        <f t="shared" si="9"/>
        <v>157.54</v>
      </c>
      <c r="P129" s="122"/>
      <c r="Q129" s="122"/>
      <c r="R129" s="122"/>
      <c r="S129" s="122"/>
      <c r="T129" s="122"/>
      <c r="U129" s="122"/>
      <c r="V129" s="122"/>
      <c r="W129" s="122"/>
      <c r="X129" s="122"/>
      <c r="Y129" s="122"/>
      <c r="Z129" s="122"/>
    </row>
    <row r="130" spans="1:26" ht="12.75" x14ac:dyDescent="0.2">
      <c r="A130" s="122"/>
      <c r="B130" s="119"/>
      <c r="C130" s="123" t="s">
        <v>184</v>
      </c>
      <c r="D130" s="119"/>
      <c r="E130" s="119"/>
      <c r="F130" s="164">
        <f t="shared" ref="F130:O130" si="10">F129*F126</f>
        <v>157.54</v>
      </c>
      <c r="G130" s="164">
        <f t="shared" si="10"/>
        <v>165.83966829268292</v>
      </c>
      <c r="H130" s="164">
        <f t="shared" si="10"/>
        <v>174.57658740273644</v>
      </c>
      <c r="I130" s="164">
        <f t="shared" si="10"/>
        <v>183.77379298297819</v>
      </c>
      <c r="J130" s="164">
        <f t="shared" si="10"/>
        <v>193.45553427183754</v>
      </c>
      <c r="K130" s="164">
        <f t="shared" si="10"/>
        <v>203.64733802859777</v>
      </c>
      <c r="L130" s="164">
        <f t="shared" si="10"/>
        <v>214.37607583693367</v>
      </c>
      <c r="M130" s="164">
        <f t="shared" si="10"/>
        <v>225.67003495419655</v>
      </c>
      <c r="N130" s="164">
        <f t="shared" si="10"/>
        <v>237.55899289324691</v>
      </c>
      <c r="O130" s="164">
        <f t="shared" si="10"/>
        <v>250.07429593347652</v>
      </c>
      <c r="P130" s="122"/>
      <c r="Q130" s="122"/>
      <c r="R130" s="122"/>
      <c r="S130" s="122"/>
      <c r="T130" s="122"/>
      <c r="U130" s="122"/>
      <c r="V130" s="122"/>
      <c r="W130" s="122"/>
      <c r="X130" s="122"/>
      <c r="Y130" s="122"/>
      <c r="Z130" s="122"/>
    </row>
    <row r="131" spans="1:26" ht="12.75" x14ac:dyDescent="0.2">
      <c r="A131" s="122"/>
      <c r="B131" s="122"/>
      <c r="C131" s="122"/>
      <c r="D131" s="122"/>
      <c r="E131" s="122"/>
      <c r="F131" s="122"/>
      <c r="G131" s="122"/>
      <c r="H131" s="122"/>
      <c r="I131" s="122"/>
      <c r="J131" s="122"/>
      <c r="K131" s="122"/>
      <c r="L131" s="122"/>
      <c r="M131" s="122"/>
      <c r="N131" s="122"/>
      <c r="O131" s="122"/>
      <c r="P131" s="122"/>
      <c r="Q131" s="122"/>
      <c r="R131" s="122"/>
      <c r="S131" s="122"/>
      <c r="T131" s="122"/>
      <c r="U131" s="122"/>
      <c r="V131" s="122"/>
      <c r="W131" s="122"/>
      <c r="X131" s="122"/>
      <c r="Y131" s="122"/>
      <c r="Z131" s="122"/>
    </row>
    <row r="132" spans="1:26" ht="12.75" x14ac:dyDescent="0.2">
      <c r="A132" s="147"/>
      <c r="B132" s="145" t="s">
        <v>185</v>
      </c>
      <c r="C132" s="119"/>
      <c r="D132" s="145"/>
      <c r="E132" s="165"/>
      <c r="F132" s="145"/>
      <c r="G132" s="145"/>
      <c r="H132" s="145"/>
      <c r="I132" s="145"/>
      <c r="J132" s="145"/>
      <c r="K132" s="145"/>
      <c r="L132" s="145"/>
      <c r="M132" s="145"/>
      <c r="N132" s="145"/>
      <c r="O132" s="119"/>
      <c r="P132" s="122"/>
      <c r="Q132" s="122"/>
      <c r="R132" s="122"/>
      <c r="S132" s="122"/>
      <c r="T132" s="122"/>
      <c r="U132" s="122"/>
      <c r="V132" s="122"/>
      <c r="W132" s="122"/>
      <c r="X132" s="122"/>
      <c r="Y132" s="122"/>
      <c r="Z132" s="122"/>
    </row>
    <row r="133" spans="1:26" ht="12.75" x14ac:dyDescent="0.2">
      <c r="A133" s="147"/>
      <c r="B133" s="145"/>
      <c r="C133" s="123" t="s">
        <v>424</v>
      </c>
      <c r="D133" s="145"/>
      <c r="E133" s="165"/>
      <c r="F133" s="120">
        <f t="shared" ref="F133:O133" si="11">$F$34</f>
        <v>1.7999999999999999E-2</v>
      </c>
      <c r="G133" s="120">
        <f t="shared" si="11"/>
        <v>1.7999999999999999E-2</v>
      </c>
      <c r="H133" s="120">
        <f t="shared" si="11"/>
        <v>1.7999999999999999E-2</v>
      </c>
      <c r="I133" s="120">
        <f t="shared" si="11"/>
        <v>1.7999999999999999E-2</v>
      </c>
      <c r="J133" s="120">
        <f t="shared" si="11"/>
        <v>1.7999999999999999E-2</v>
      </c>
      <c r="K133" s="120">
        <f t="shared" si="11"/>
        <v>1.7999999999999999E-2</v>
      </c>
      <c r="L133" s="120">
        <f t="shared" si="11"/>
        <v>1.7999999999999999E-2</v>
      </c>
      <c r="M133" s="120">
        <f t="shared" si="11"/>
        <v>1.7999999999999999E-2</v>
      </c>
      <c r="N133" s="120">
        <f t="shared" si="11"/>
        <v>1.7999999999999999E-2</v>
      </c>
      <c r="O133" s="120">
        <f t="shared" si="11"/>
        <v>1.7999999999999999E-2</v>
      </c>
      <c r="P133" s="122"/>
      <c r="Q133" s="122"/>
      <c r="R133" s="122"/>
      <c r="S133" s="122"/>
      <c r="T133" s="122"/>
      <c r="U133" s="122"/>
      <c r="V133" s="122"/>
      <c r="W133" s="122"/>
      <c r="X133" s="122"/>
      <c r="Y133" s="122"/>
      <c r="Z133" s="122"/>
    </row>
    <row r="134" spans="1:26" ht="12.75" x14ac:dyDescent="0.2">
      <c r="A134" s="147"/>
      <c r="B134" s="145"/>
      <c r="C134" s="123" t="s">
        <v>187</v>
      </c>
      <c r="D134" s="145"/>
      <c r="E134" s="165"/>
      <c r="F134" s="166">
        <v>1</v>
      </c>
      <c r="G134" s="166">
        <f t="shared" ref="G134:O134" si="12">F134*(1+G133)</f>
        <v>1.018</v>
      </c>
      <c r="H134" s="166">
        <f t="shared" si="12"/>
        <v>1.036324</v>
      </c>
      <c r="I134" s="166">
        <f t="shared" si="12"/>
        <v>1.0549778320000001</v>
      </c>
      <c r="J134" s="166">
        <f t="shared" si="12"/>
        <v>1.0739674329760001</v>
      </c>
      <c r="K134" s="166">
        <f t="shared" si="12"/>
        <v>1.0932988467695681</v>
      </c>
      <c r="L134" s="166">
        <f t="shared" si="12"/>
        <v>1.1129782260114203</v>
      </c>
      <c r="M134" s="166">
        <f t="shared" si="12"/>
        <v>1.1330118340796258</v>
      </c>
      <c r="N134" s="166">
        <f t="shared" si="12"/>
        <v>1.1534060470930592</v>
      </c>
      <c r="O134" s="166">
        <f t="shared" si="12"/>
        <v>1.1741673559407342</v>
      </c>
      <c r="P134" s="122"/>
      <c r="Q134" s="122"/>
      <c r="R134" s="122"/>
      <c r="S134" s="122"/>
      <c r="T134" s="122"/>
      <c r="U134" s="122"/>
      <c r="V134" s="122"/>
      <c r="W134" s="122"/>
      <c r="X134" s="122"/>
      <c r="Y134" s="122"/>
      <c r="Z134" s="122"/>
    </row>
    <row r="135" spans="1:26" ht="12.75" x14ac:dyDescent="0.2">
      <c r="A135" s="147"/>
      <c r="B135" s="145"/>
      <c r="C135" s="123" t="s">
        <v>425</v>
      </c>
      <c r="D135" s="145"/>
      <c r="E135" s="165"/>
      <c r="F135" s="120">
        <f t="shared" ref="F135:O135" si="13">$I$35</f>
        <v>0.14000000000000001</v>
      </c>
      <c r="G135" s="120">
        <f t="shared" si="13"/>
        <v>0.14000000000000001</v>
      </c>
      <c r="H135" s="120">
        <f t="shared" si="13"/>
        <v>0.14000000000000001</v>
      </c>
      <c r="I135" s="120">
        <f t="shared" si="13"/>
        <v>0.14000000000000001</v>
      </c>
      <c r="J135" s="120">
        <f t="shared" si="13"/>
        <v>0.14000000000000001</v>
      </c>
      <c r="K135" s="120">
        <f t="shared" si="13"/>
        <v>0.14000000000000001</v>
      </c>
      <c r="L135" s="120">
        <f t="shared" si="13"/>
        <v>0.14000000000000001</v>
      </c>
      <c r="M135" s="120">
        <f t="shared" si="13"/>
        <v>0.14000000000000001</v>
      </c>
      <c r="N135" s="120">
        <f t="shared" si="13"/>
        <v>0.14000000000000001</v>
      </c>
      <c r="O135" s="120">
        <f t="shared" si="13"/>
        <v>0.14000000000000001</v>
      </c>
      <c r="P135" s="122"/>
      <c r="Q135" s="122"/>
      <c r="R135" s="122"/>
      <c r="S135" s="122"/>
      <c r="T135" s="122"/>
      <c r="U135" s="122"/>
      <c r="V135" s="122"/>
      <c r="W135" s="122"/>
      <c r="X135" s="122"/>
      <c r="Y135" s="122"/>
      <c r="Z135" s="122"/>
    </row>
    <row r="136" spans="1:26" ht="12.75" x14ac:dyDescent="0.2">
      <c r="A136" s="147"/>
      <c r="B136" s="145"/>
      <c r="C136" s="123" t="s">
        <v>189</v>
      </c>
      <c r="D136" s="145"/>
      <c r="E136" s="165"/>
      <c r="F136" s="166">
        <v>1</v>
      </c>
      <c r="G136" s="166">
        <f t="shared" ref="G136:O136" si="14">F136*(1+G135)</f>
        <v>1.1400000000000001</v>
      </c>
      <c r="H136" s="166">
        <f t="shared" si="14"/>
        <v>1.2996000000000003</v>
      </c>
      <c r="I136" s="166">
        <f t="shared" si="14"/>
        <v>1.4815440000000004</v>
      </c>
      <c r="J136" s="166">
        <f t="shared" si="14"/>
        <v>1.6889601600000006</v>
      </c>
      <c r="K136" s="166">
        <f t="shared" si="14"/>
        <v>1.9254145824000009</v>
      </c>
      <c r="L136" s="166">
        <f t="shared" si="14"/>
        <v>2.194972623936001</v>
      </c>
      <c r="M136" s="166">
        <f t="shared" si="14"/>
        <v>2.5022687912870416</v>
      </c>
      <c r="N136" s="166">
        <f t="shared" si="14"/>
        <v>2.8525864220672279</v>
      </c>
      <c r="O136" s="166">
        <f t="shared" si="14"/>
        <v>3.2519485211566401</v>
      </c>
      <c r="P136" s="122"/>
      <c r="Q136" s="122"/>
      <c r="R136" s="122"/>
      <c r="S136" s="122"/>
      <c r="T136" s="122"/>
      <c r="U136" s="122"/>
      <c r="V136" s="122"/>
      <c r="W136" s="122"/>
      <c r="X136" s="122"/>
      <c r="Y136" s="122"/>
      <c r="Z136" s="122"/>
    </row>
    <row r="137" spans="1:26" ht="12.75" x14ac:dyDescent="0.2">
      <c r="A137" s="147"/>
      <c r="B137" s="145"/>
      <c r="C137" s="123" t="s">
        <v>190</v>
      </c>
      <c r="D137" s="145"/>
      <c r="E137" s="165"/>
      <c r="F137" s="120">
        <f t="shared" ref="F137:O137" si="15">$F$54</f>
        <v>0</v>
      </c>
      <c r="G137" s="120">
        <f t="shared" si="15"/>
        <v>0</v>
      </c>
      <c r="H137" s="120">
        <f t="shared" si="15"/>
        <v>0</v>
      </c>
      <c r="I137" s="120">
        <f t="shared" si="15"/>
        <v>0</v>
      </c>
      <c r="J137" s="120">
        <f t="shared" si="15"/>
        <v>0</v>
      </c>
      <c r="K137" s="120">
        <f t="shared" si="15"/>
        <v>0</v>
      </c>
      <c r="L137" s="120">
        <f t="shared" si="15"/>
        <v>0</v>
      </c>
      <c r="M137" s="120">
        <f t="shared" si="15"/>
        <v>0</v>
      </c>
      <c r="N137" s="120">
        <f t="shared" si="15"/>
        <v>0</v>
      </c>
      <c r="O137" s="120">
        <f t="shared" si="15"/>
        <v>0</v>
      </c>
      <c r="P137" s="122"/>
      <c r="Q137" s="122"/>
      <c r="R137" s="122"/>
      <c r="S137" s="122"/>
      <c r="T137" s="122"/>
      <c r="U137" s="122"/>
      <c r="V137" s="122"/>
      <c r="W137" s="122"/>
      <c r="X137" s="122"/>
      <c r="Y137" s="122"/>
      <c r="Z137" s="122"/>
    </row>
    <row r="138" spans="1:26" ht="12.75" x14ac:dyDescent="0.2">
      <c r="A138" s="147"/>
      <c r="B138" s="145"/>
      <c r="C138" s="123" t="s">
        <v>191</v>
      </c>
      <c r="D138" s="145"/>
      <c r="E138" s="165"/>
      <c r="F138" s="166">
        <v>1</v>
      </c>
      <c r="G138" s="166">
        <f t="shared" ref="G138:O138" si="16">F138*(1+G137)</f>
        <v>1</v>
      </c>
      <c r="H138" s="166">
        <f t="shared" si="16"/>
        <v>1</v>
      </c>
      <c r="I138" s="166">
        <f t="shared" si="16"/>
        <v>1</v>
      </c>
      <c r="J138" s="166">
        <f t="shared" si="16"/>
        <v>1</v>
      </c>
      <c r="K138" s="166">
        <f t="shared" si="16"/>
        <v>1</v>
      </c>
      <c r="L138" s="166">
        <f t="shared" si="16"/>
        <v>1</v>
      </c>
      <c r="M138" s="166">
        <f t="shared" si="16"/>
        <v>1</v>
      </c>
      <c r="N138" s="166">
        <f t="shared" si="16"/>
        <v>1</v>
      </c>
      <c r="O138" s="166">
        <f t="shared" si="16"/>
        <v>1</v>
      </c>
      <c r="P138" s="122"/>
      <c r="Q138" s="122"/>
      <c r="R138" s="122"/>
      <c r="S138" s="122"/>
      <c r="T138" s="122"/>
      <c r="U138" s="122"/>
      <c r="V138" s="122"/>
      <c r="W138" s="122"/>
      <c r="X138" s="122"/>
      <c r="Y138" s="122"/>
      <c r="Z138" s="122"/>
    </row>
    <row r="139" spans="1:26" ht="12.75" x14ac:dyDescent="0.2">
      <c r="A139" s="147"/>
      <c r="B139" s="145"/>
      <c r="C139" s="123" t="s">
        <v>264</v>
      </c>
      <c r="D139" s="145"/>
      <c r="E139" s="165"/>
      <c r="F139" s="120">
        <f t="shared" ref="F139:O139" si="17">$F$78</f>
        <v>0</v>
      </c>
      <c r="G139" s="120">
        <f t="shared" si="17"/>
        <v>0</v>
      </c>
      <c r="H139" s="120">
        <f t="shared" si="17"/>
        <v>0</v>
      </c>
      <c r="I139" s="120">
        <f t="shared" si="17"/>
        <v>0</v>
      </c>
      <c r="J139" s="120">
        <f t="shared" si="17"/>
        <v>0</v>
      </c>
      <c r="K139" s="120">
        <f t="shared" si="17"/>
        <v>0</v>
      </c>
      <c r="L139" s="120">
        <f t="shared" si="17"/>
        <v>0</v>
      </c>
      <c r="M139" s="120">
        <f t="shared" si="17"/>
        <v>0</v>
      </c>
      <c r="N139" s="120">
        <f t="shared" si="17"/>
        <v>0</v>
      </c>
      <c r="O139" s="120">
        <f t="shared" si="17"/>
        <v>0</v>
      </c>
      <c r="P139" s="122"/>
      <c r="Q139" s="122"/>
      <c r="R139" s="122"/>
      <c r="S139" s="122"/>
      <c r="T139" s="122"/>
      <c r="U139" s="122"/>
      <c r="V139" s="122"/>
      <c r="W139" s="122"/>
      <c r="X139" s="122"/>
      <c r="Y139" s="122"/>
      <c r="Z139" s="122"/>
    </row>
    <row r="140" spans="1:26" ht="12.75" x14ac:dyDescent="0.2">
      <c r="A140" s="147"/>
      <c r="B140" s="145"/>
      <c r="C140" s="123" t="s">
        <v>265</v>
      </c>
      <c r="D140" s="145"/>
      <c r="E140" s="165"/>
      <c r="F140" s="166">
        <v>1</v>
      </c>
      <c r="G140" s="166">
        <f t="shared" ref="G140:O140" si="18">F140*(1+G139)</f>
        <v>1</v>
      </c>
      <c r="H140" s="166">
        <f t="shared" si="18"/>
        <v>1</v>
      </c>
      <c r="I140" s="166">
        <f t="shared" si="18"/>
        <v>1</v>
      </c>
      <c r="J140" s="166">
        <f t="shared" si="18"/>
        <v>1</v>
      </c>
      <c r="K140" s="166">
        <f t="shared" si="18"/>
        <v>1</v>
      </c>
      <c r="L140" s="166">
        <f t="shared" si="18"/>
        <v>1</v>
      </c>
      <c r="M140" s="166">
        <f t="shared" si="18"/>
        <v>1</v>
      </c>
      <c r="N140" s="166">
        <f t="shared" si="18"/>
        <v>1</v>
      </c>
      <c r="O140" s="166">
        <f t="shared" si="18"/>
        <v>1</v>
      </c>
      <c r="P140" s="122"/>
      <c r="Q140" s="122"/>
      <c r="R140" s="122"/>
      <c r="S140" s="122"/>
      <c r="T140" s="122"/>
      <c r="U140" s="122"/>
      <c r="V140" s="122"/>
      <c r="W140" s="122"/>
      <c r="X140" s="122"/>
      <c r="Y140" s="122"/>
      <c r="Z140" s="122"/>
    </row>
    <row r="141" spans="1:26" ht="12.75" x14ac:dyDescent="0.2">
      <c r="A141" s="147"/>
      <c r="B141" s="147"/>
      <c r="C141" s="122"/>
      <c r="D141" s="147"/>
      <c r="E141" s="167"/>
      <c r="F141" s="147"/>
      <c r="G141" s="147"/>
      <c r="H141" s="147"/>
      <c r="I141" s="147"/>
      <c r="J141" s="147"/>
      <c r="K141" s="147"/>
      <c r="L141" s="147"/>
      <c r="M141" s="147"/>
      <c r="N141" s="147"/>
      <c r="O141" s="122"/>
      <c r="P141" s="122"/>
      <c r="Q141" s="122"/>
      <c r="R141" s="122"/>
      <c r="S141" s="122"/>
      <c r="T141" s="122"/>
      <c r="U141" s="122"/>
      <c r="V141" s="122"/>
      <c r="W141" s="122"/>
      <c r="X141" s="122"/>
      <c r="Y141" s="122"/>
      <c r="Z141" s="122"/>
    </row>
    <row r="142" spans="1:26" ht="12.75" x14ac:dyDescent="0.2">
      <c r="A142" s="147"/>
      <c r="B142" s="168" t="s">
        <v>211</v>
      </c>
      <c r="C142" s="155"/>
      <c r="D142" s="169"/>
      <c r="E142" s="154"/>
      <c r="F142" s="169"/>
      <c r="G142" s="169"/>
      <c r="H142" s="169"/>
      <c r="I142" s="169"/>
      <c r="J142" s="169"/>
      <c r="K142" s="169"/>
      <c r="L142" s="169"/>
      <c r="M142" s="169"/>
      <c r="N142" s="169"/>
      <c r="O142" s="155"/>
      <c r="P142" s="122"/>
      <c r="Q142" s="122"/>
      <c r="R142" s="122"/>
      <c r="S142" s="122"/>
      <c r="T142" s="122"/>
      <c r="U142" s="122"/>
      <c r="V142" s="122"/>
      <c r="W142" s="122"/>
      <c r="X142" s="122"/>
      <c r="Y142" s="122"/>
      <c r="Z142" s="122"/>
    </row>
    <row r="143" spans="1:26" ht="12.75" x14ac:dyDescent="0.2">
      <c r="A143" s="147"/>
      <c r="B143" s="168"/>
      <c r="C143" s="155" t="s">
        <v>44</v>
      </c>
      <c r="D143" s="169"/>
      <c r="E143" s="154"/>
      <c r="F143" s="170">
        <f>$F$25</f>
        <v>1.36</v>
      </c>
      <c r="G143" s="170">
        <f t="shared" ref="G143:O143" si="19">$F$25</f>
        <v>1.36</v>
      </c>
      <c r="H143" s="170">
        <f t="shared" si="19"/>
        <v>1.36</v>
      </c>
      <c r="I143" s="170">
        <f t="shared" si="19"/>
        <v>1.36</v>
      </c>
      <c r="J143" s="170">
        <f t="shared" si="19"/>
        <v>1.36</v>
      </c>
      <c r="K143" s="170">
        <f t="shared" si="19"/>
        <v>1.36</v>
      </c>
      <c r="L143" s="170">
        <f t="shared" si="19"/>
        <v>1.36</v>
      </c>
      <c r="M143" s="170">
        <f t="shared" si="19"/>
        <v>1.36</v>
      </c>
      <c r="N143" s="170">
        <f t="shared" si="19"/>
        <v>1.36</v>
      </c>
      <c r="O143" s="170">
        <f t="shared" si="19"/>
        <v>1.36</v>
      </c>
      <c r="P143" s="122"/>
      <c r="Q143" s="122"/>
      <c r="R143" s="122"/>
      <c r="S143" s="122"/>
      <c r="T143" s="122"/>
      <c r="U143" s="122"/>
      <c r="V143" s="122"/>
      <c r="W143" s="122"/>
      <c r="X143" s="122"/>
      <c r="Y143" s="122"/>
      <c r="Z143" s="122"/>
    </row>
    <row r="144" spans="1:26" ht="12.75" x14ac:dyDescent="0.2">
      <c r="A144" s="147"/>
      <c r="B144" s="169"/>
      <c r="C144" s="155" t="s">
        <v>212</v>
      </c>
      <c r="D144" s="169"/>
      <c r="E144" s="154"/>
      <c r="F144" s="170">
        <f>$I$25</f>
        <v>1.36</v>
      </c>
      <c r="G144" s="170">
        <f t="shared" ref="G144:O144" si="20">$I$25</f>
        <v>1.36</v>
      </c>
      <c r="H144" s="170">
        <f t="shared" si="20"/>
        <v>1.36</v>
      </c>
      <c r="I144" s="170">
        <f t="shared" si="20"/>
        <v>1.36</v>
      </c>
      <c r="J144" s="170">
        <f t="shared" si="20"/>
        <v>1.36</v>
      </c>
      <c r="K144" s="170">
        <f t="shared" si="20"/>
        <v>1.36</v>
      </c>
      <c r="L144" s="170">
        <f t="shared" si="20"/>
        <v>1.36</v>
      </c>
      <c r="M144" s="170">
        <f t="shared" si="20"/>
        <v>1.36</v>
      </c>
      <c r="N144" s="170">
        <f t="shared" si="20"/>
        <v>1.36</v>
      </c>
      <c r="O144" s="170">
        <f t="shared" si="20"/>
        <v>1.36</v>
      </c>
      <c r="P144" s="122"/>
      <c r="Q144" s="122"/>
      <c r="R144" s="122"/>
      <c r="S144" s="122"/>
      <c r="T144" s="122"/>
      <c r="U144" s="122"/>
      <c r="V144" s="122"/>
      <c r="W144" s="122"/>
      <c r="X144" s="122"/>
      <c r="Y144" s="122"/>
      <c r="Z144" s="122"/>
    </row>
    <row r="145" spans="1:26" ht="12.75" x14ac:dyDescent="0.2">
      <c r="A145" s="147"/>
      <c r="B145" s="147"/>
      <c r="C145" s="122"/>
      <c r="D145" s="147"/>
      <c r="E145" s="167"/>
      <c r="F145" s="147"/>
      <c r="G145" s="147"/>
      <c r="H145" s="147"/>
      <c r="I145" s="147"/>
      <c r="J145" s="147"/>
      <c r="K145" s="147"/>
      <c r="L145" s="147"/>
      <c r="M145" s="147"/>
      <c r="N145" s="147"/>
      <c r="O145" s="122"/>
      <c r="P145" s="122"/>
      <c r="Q145" s="122"/>
      <c r="R145" s="122"/>
      <c r="S145" s="122"/>
      <c r="T145" s="122"/>
      <c r="U145" s="122"/>
      <c r="V145" s="122"/>
      <c r="W145" s="122"/>
      <c r="X145" s="122"/>
      <c r="Y145" s="122"/>
      <c r="Z145" s="122"/>
    </row>
    <row r="146" spans="1:26" ht="12.75" x14ac:dyDescent="0.2">
      <c r="A146" s="147"/>
      <c r="B146" s="169" t="s">
        <v>426</v>
      </c>
      <c r="C146" s="155"/>
      <c r="D146" s="169"/>
      <c r="E146" s="154"/>
      <c r="F146" s="169"/>
      <c r="G146" s="169"/>
      <c r="H146" s="169"/>
      <c r="I146" s="169"/>
      <c r="J146" s="169"/>
      <c r="K146" s="169"/>
      <c r="L146" s="169"/>
      <c r="M146" s="169"/>
      <c r="N146" s="169"/>
      <c r="O146" s="155"/>
      <c r="P146" s="122"/>
      <c r="Q146" s="122"/>
      <c r="R146" s="122"/>
      <c r="S146" s="122"/>
      <c r="T146" s="122"/>
      <c r="U146" s="122"/>
      <c r="V146" s="122"/>
      <c r="W146" s="122"/>
      <c r="X146" s="122"/>
      <c r="Y146" s="122"/>
      <c r="Z146" s="122"/>
    </row>
    <row r="147" spans="1:26" ht="12.75" x14ac:dyDescent="0.2">
      <c r="A147" s="147"/>
      <c r="B147" s="169"/>
      <c r="C147" s="155" t="s">
        <v>44</v>
      </c>
      <c r="D147" s="169"/>
      <c r="E147" s="154"/>
      <c r="F147" s="170">
        <f>IF(OR(F$120/$F$95=0,F$120/$F$95=1,F$120/$F$95=2,F$120/$F$95=3,F$120/$F$95=4,F$120/$F$95=5,F$120/$F$95=6,F$120/$F$95=7,F$120/$F$95=8,F$120/$F$95=9),1,0)</f>
        <v>1</v>
      </c>
      <c r="G147" s="170">
        <f t="shared" ref="G147:O147" si="21">IF(OR(G$120/$F$95=0,G$120/$F$95=1,G$120/$F$95=2,G$120/$F$95=3,G$120/$F$95=4,G$120/$F$95=5,G$120/$F$95=6,G$120/$F$95=7,G$120/$F$95=8,G$120/$F$95=9),1,0)</f>
        <v>0</v>
      </c>
      <c r="H147" s="170">
        <f t="shared" si="21"/>
        <v>0</v>
      </c>
      <c r="I147" s="170">
        <f t="shared" si="21"/>
        <v>0</v>
      </c>
      <c r="J147" s="170">
        <f t="shared" si="21"/>
        <v>1</v>
      </c>
      <c r="K147" s="170">
        <f t="shared" si="21"/>
        <v>0</v>
      </c>
      <c r="L147" s="170">
        <f t="shared" si="21"/>
        <v>0</v>
      </c>
      <c r="M147" s="170">
        <f t="shared" si="21"/>
        <v>0</v>
      </c>
      <c r="N147" s="170">
        <f t="shared" si="21"/>
        <v>1</v>
      </c>
      <c r="O147" s="170">
        <f t="shared" si="21"/>
        <v>0</v>
      </c>
      <c r="P147" s="122"/>
      <c r="Q147" s="122"/>
      <c r="R147" s="122"/>
      <c r="S147" s="122"/>
      <c r="T147" s="122"/>
      <c r="U147" s="122"/>
      <c r="V147" s="122"/>
      <c r="W147" s="122"/>
      <c r="X147" s="122"/>
      <c r="Y147" s="122"/>
      <c r="Z147" s="122"/>
    </row>
    <row r="148" spans="1:26" ht="12.75" x14ac:dyDescent="0.2">
      <c r="A148" s="147"/>
      <c r="B148" s="169"/>
      <c r="C148" s="155" t="s">
        <v>427</v>
      </c>
      <c r="D148" s="169"/>
      <c r="E148" s="154"/>
      <c r="F148" s="170">
        <f>IF(OR(F$120/$I$95=0,F$120/$I$95=1,F$120/$I$95=2,F$120/$I$95=3,F$120/$I$95=4,F$120/$I$95=5,F$120/$I$95=6,F$120/$I$95=7,F$120/$I$95=8,F$120/$I$95=9),1,0)</f>
        <v>1</v>
      </c>
      <c r="G148" s="170">
        <f t="shared" ref="G148:O148" si="22">IF(OR(G$120/$I$95=1,G$120/$I$95=2,G$120/$I$95=3,G$120/$I$95=4,G$120/$I$95=5,G$120/$I$95=6,G$120/$I$95=7,G$120/$I$95=8,G$120/$I$95=9),1,0)</f>
        <v>0</v>
      </c>
      <c r="H148" s="170">
        <f t="shared" si="22"/>
        <v>1</v>
      </c>
      <c r="I148" s="170">
        <f t="shared" si="22"/>
        <v>0</v>
      </c>
      <c r="J148" s="170">
        <f t="shared" si="22"/>
        <v>1</v>
      </c>
      <c r="K148" s="170">
        <f t="shared" si="22"/>
        <v>0</v>
      </c>
      <c r="L148" s="170">
        <f t="shared" si="22"/>
        <v>1</v>
      </c>
      <c r="M148" s="170">
        <f t="shared" si="22"/>
        <v>0</v>
      </c>
      <c r="N148" s="170">
        <f t="shared" si="22"/>
        <v>1</v>
      </c>
      <c r="O148" s="170">
        <f t="shared" si="22"/>
        <v>0</v>
      </c>
      <c r="P148" s="122"/>
      <c r="Q148" s="122"/>
      <c r="R148" s="122"/>
      <c r="S148" s="122"/>
      <c r="T148" s="122"/>
      <c r="U148" s="122"/>
      <c r="V148" s="122"/>
      <c r="W148" s="122"/>
      <c r="X148" s="122"/>
      <c r="Y148" s="122"/>
      <c r="Z148" s="122"/>
    </row>
    <row r="149" spans="1:26" ht="12.75" x14ac:dyDescent="0.2">
      <c r="A149" s="147"/>
      <c r="B149" s="147"/>
      <c r="C149" s="122"/>
      <c r="D149" s="147"/>
      <c r="E149" s="167"/>
      <c r="F149" s="147"/>
      <c r="G149" s="147"/>
      <c r="H149" s="147"/>
      <c r="I149" s="147"/>
      <c r="J149" s="147"/>
      <c r="K149" s="147"/>
      <c r="L149" s="147"/>
      <c r="M149" s="147"/>
      <c r="N149" s="147"/>
      <c r="O149" s="122"/>
      <c r="P149" s="122"/>
      <c r="Q149" s="122"/>
      <c r="R149" s="122"/>
      <c r="S149" s="122"/>
      <c r="T149" s="122"/>
      <c r="U149" s="122"/>
      <c r="V149" s="122"/>
      <c r="W149" s="122"/>
      <c r="X149" s="122"/>
      <c r="Y149" s="122"/>
      <c r="Z149" s="122"/>
    </row>
    <row r="150" spans="1:26" s="229" customFormat="1" ht="12.75" x14ac:dyDescent="0.2">
      <c r="A150" s="168" t="s">
        <v>192</v>
      </c>
      <c r="B150" s="168"/>
      <c r="C150" s="150"/>
      <c r="D150" s="171" t="s">
        <v>174</v>
      </c>
      <c r="E150" s="171"/>
      <c r="F150" s="172">
        <v>0</v>
      </c>
      <c r="G150" s="172">
        <v>1</v>
      </c>
      <c r="H150" s="172">
        <v>2</v>
      </c>
      <c r="I150" s="172">
        <v>3</v>
      </c>
      <c r="J150" s="172">
        <v>4</v>
      </c>
      <c r="K150" s="172">
        <v>5</v>
      </c>
      <c r="L150" s="172">
        <v>6</v>
      </c>
      <c r="M150" s="172">
        <v>7</v>
      </c>
      <c r="N150" s="172">
        <v>8</v>
      </c>
      <c r="O150" s="172">
        <v>9</v>
      </c>
      <c r="P150" s="155"/>
      <c r="Q150" s="155"/>
      <c r="R150" s="155"/>
      <c r="S150" s="155"/>
      <c r="T150" s="155"/>
      <c r="U150" s="155"/>
      <c r="V150" s="155"/>
      <c r="W150" s="155"/>
      <c r="X150" s="155"/>
      <c r="Y150" s="155"/>
      <c r="Z150" s="155"/>
    </row>
    <row r="151" spans="1:26" ht="12.75" x14ac:dyDescent="0.2">
      <c r="A151" s="122"/>
      <c r="B151" s="145" t="s">
        <v>194</v>
      </c>
      <c r="C151" s="123"/>
      <c r="D151" s="119"/>
      <c r="E151" s="119"/>
      <c r="F151" s="119"/>
      <c r="G151" s="119"/>
      <c r="H151" s="119"/>
      <c r="I151" s="119"/>
      <c r="J151" s="119"/>
      <c r="K151" s="119"/>
      <c r="L151" s="119"/>
      <c r="M151" s="119"/>
      <c r="N151" s="119"/>
      <c r="O151" s="119"/>
      <c r="P151" s="122"/>
      <c r="Q151" s="122"/>
      <c r="R151" s="122"/>
      <c r="S151" s="122"/>
      <c r="T151" s="122"/>
      <c r="U151" s="122"/>
      <c r="V151" s="122"/>
      <c r="W151" s="122"/>
      <c r="X151" s="122"/>
      <c r="Y151" s="122"/>
      <c r="Z151" s="122"/>
    </row>
    <row r="152" spans="1:26" ht="12.75" x14ac:dyDescent="0.2">
      <c r="A152" s="122"/>
      <c r="B152" s="119"/>
      <c r="C152" s="123" t="s">
        <v>428</v>
      </c>
      <c r="D152" s="119"/>
      <c r="E152" s="119"/>
      <c r="F152" s="125">
        <f>F$143*$F$30*F134</f>
        <v>1.0472000000000001</v>
      </c>
      <c r="G152" s="125">
        <f>G$143*$F$30*G134</f>
        <v>1.0660496000000002</v>
      </c>
      <c r="H152" s="125">
        <f>H$143*$F$30*H134</f>
        <v>1.0852384928000001</v>
      </c>
      <c r="I152" s="125">
        <f>I$143*$F$30*I134</f>
        <v>1.1047727856704002</v>
      </c>
      <c r="J152" s="125">
        <f>J$143*$F$30*J134</f>
        <v>1.1246586958124674</v>
      </c>
      <c r="K152" s="125">
        <f>K$143*$F$30*K134</f>
        <v>1.1449025523370919</v>
      </c>
      <c r="L152" s="125">
        <f>L$143*$F$30*L134</f>
        <v>1.1655107982791595</v>
      </c>
      <c r="M152" s="125">
        <f>M$143*$F$30*M134</f>
        <v>1.1864899926481842</v>
      </c>
      <c r="N152" s="125">
        <f>N$143*$F$30*N134</f>
        <v>1.2078468125158517</v>
      </c>
      <c r="O152" s="125">
        <f>O$143*$F$30*O134</f>
        <v>1.2295880551411369</v>
      </c>
      <c r="P152" s="122"/>
      <c r="Q152" s="122"/>
      <c r="R152" s="122"/>
      <c r="S152" s="122"/>
      <c r="T152" s="122"/>
      <c r="U152" s="122"/>
      <c r="V152" s="122"/>
      <c r="W152" s="122"/>
      <c r="X152" s="122"/>
      <c r="Y152" s="122"/>
      <c r="Z152" s="122"/>
    </row>
    <row r="153" spans="1:26" ht="12.75" x14ac:dyDescent="0.2">
      <c r="A153" s="122"/>
      <c r="B153" s="119"/>
      <c r="C153" s="123" t="s">
        <v>232</v>
      </c>
      <c r="D153" s="119"/>
      <c r="E153" s="119"/>
      <c r="F153" s="125">
        <f>$F$37*F152</f>
        <v>0.1078616</v>
      </c>
      <c r="G153" s="125">
        <f t="shared" ref="G153:O153" si="23">$F$37*G152</f>
        <v>0.10980310880000001</v>
      </c>
      <c r="H153" s="125">
        <f t="shared" si="23"/>
        <v>0.11177956475840001</v>
      </c>
      <c r="I153" s="125">
        <f t="shared" si="23"/>
        <v>0.11379159692405121</v>
      </c>
      <c r="J153" s="125">
        <f t="shared" si="23"/>
        <v>0.11583984566868413</v>
      </c>
      <c r="K153" s="125">
        <f t="shared" si="23"/>
        <v>0.11792496289072046</v>
      </c>
      <c r="L153" s="125">
        <f t="shared" si="23"/>
        <v>0.12004761222275342</v>
      </c>
      <c r="M153" s="125">
        <f t="shared" si="23"/>
        <v>0.12220846924276296</v>
      </c>
      <c r="N153" s="125">
        <f t="shared" si="23"/>
        <v>0.12440822168913272</v>
      </c>
      <c r="O153" s="125">
        <f t="shared" si="23"/>
        <v>0.12664756967953708</v>
      </c>
      <c r="P153" s="122"/>
      <c r="Q153" s="122"/>
      <c r="R153" s="122"/>
      <c r="S153" s="122"/>
      <c r="T153" s="122"/>
      <c r="U153" s="122"/>
      <c r="V153" s="122"/>
      <c r="W153" s="122"/>
      <c r="X153" s="122"/>
      <c r="Y153" s="122"/>
      <c r="Z153" s="122"/>
    </row>
    <row r="154" spans="1:26" ht="12.75" x14ac:dyDescent="0.2">
      <c r="A154" s="122"/>
      <c r="B154" s="119"/>
      <c r="C154" s="123" t="s">
        <v>429</v>
      </c>
      <c r="D154" s="119"/>
      <c r="E154" s="119"/>
      <c r="F154" s="125">
        <f>$F$27/1000</f>
        <v>0.159</v>
      </c>
      <c r="G154" s="125">
        <f t="shared" ref="G154:O154" si="24">$F$27/1000</f>
        <v>0.159</v>
      </c>
      <c r="H154" s="125">
        <f t="shared" si="24"/>
        <v>0.159</v>
      </c>
      <c r="I154" s="125">
        <f t="shared" si="24"/>
        <v>0.159</v>
      </c>
      <c r="J154" s="125">
        <f t="shared" si="24"/>
        <v>0.159</v>
      </c>
      <c r="K154" s="125">
        <f t="shared" si="24"/>
        <v>0.159</v>
      </c>
      <c r="L154" s="125">
        <f t="shared" si="24"/>
        <v>0.159</v>
      </c>
      <c r="M154" s="125">
        <f t="shared" si="24"/>
        <v>0.159</v>
      </c>
      <c r="N154" s="125">
        <f t="shared" si="24"/>
        <v>0.159</v>
      </c>
      <c r="O154" s="125">
        <f t="shared" si="24"/>
        <v>0.159</v>
      </c>
      <c r="P154" s="122"/>
      <c r="Q154" s="122"/>
      <c r="R154" s="122"/>
      <c r="S154" s="122"/>
      <c r="T154" s="122"/>
      <c r="U154" s="122"/>
      <c r="V154" s="122"/>
      <c r="W154" s="122"/>
      <c r="X154" s="122"/>
      <c r="Y154" s="122"/>
      <c r="Z154" s="122"/>
    </row>
    <row r="155" spans="1:26" ht="12.75" x14ac:dyDescent="0.2">
      <c r="A155" s="122"/>
      <c r="B155" s="119"/>
      <c r="C155" s="123" t="s">
        <v>430</v>
      </c>
      <c r="D155" s="119"/>
      <c r="E155" s="119"/>
      <c r="F155" s="125">
        <f t="shared" ref="F155:O155" si="25">$F$62*F$143/1000</f>
        <v>6.8000000000000005E-2</v>
      </c>
      <c r="G155" s="125">
        <f t="shared" si="25"/>
        <v>6.8000000000000005E-2</v>
      </c>
      <c r="H155" s="125">
        <f t="shared" si="25"/>
        <v>6.8000000000000005E-2</v>
      </c>
      <c r="I155" s="125">
        <f t="shared" si="25"/>
        <v>6.8000000000000005E-2</v>
      </c>
      <c r="J155" s="125">
        <f t="shared" si="25"/>
        <v>6.8000000000000005E-2</v>
      </c>
      <c r="K155" s="125">
        <f t="shared" si="25"/>
        <v>6.8000000000000005E-2</v>
      </c>
      <c r="L155" s="125">
        <f t="shared" si="25"/>
        <v>6.8000000000000005E-2</v>
      </c>
      <c r="M155" s="125">
        <f t="shared" si="25"/>
        <v>6.8000000000000005E-2</v>
      </c>
      <c r="N155" s="125">
        <f t="shared" si="25"/>
        <v>6.8000000000000005E-2</v>
      </c>
      <c r="O155" s="125">
        <f t="shared" si="25"/>
        <v>6.8000000000000005E-2</v>
      </c>
      <c r="P155" s="122"/>
      <c r="Q155" s="122"/>
      <c r="R155" s="122"/>
      <c r="S155" s="122"/>
      <c r="T155" s="122"/>
      <c r="U155" s="122"/>
      <c r="V155" s="122"/>
      <c r="W155" s="122"/>
      <c r="X155" s="122"/>
      <c r="Y155" s="122"/>
      <c r="Z155" s="122"/>
    </row>
    <row r="156" spans="1:26" ht="12.75" x14ac:dyDescent="0.2">
      <c r="A156" s="122"/>
      <c r="B156" s="119"/>
      <c r="C156" s="395" t="s">
        <v>884</v>
      </c>
      <c r="D156" s="119"/>
      <c r="E156" s="119"/>
      <c r="F156" s="125">
        <f>F152-F153-F154-F155</f>
        <v>0.71233840000000015</v>
      </c>
      <c r="G156" s="125">
        <f t="shared" ref="G156:O156" si="26">G152-G153-G154-G155</f>
        <v>0.72924649120000007</v>
      </c>
      <c r="H156" s="125">
        <f t="shared" si="26"/>
        <v>0.74645892804160008</v>
      </c>
      <c r="I156" s="125">
        <f t="shared" si="26"/>
        <v>0.76398118874634902</v>
      </c>
      <c r="J156" s="125">
        <f t="shared" si="26"/>
        <v>0.78181885014378305</v>
      </c>
      <c r="K156" s="125">
        <f t="shared" si="26"/>
        <v>0.79997758944637143</v>
      </c>
      <c r="L156" s="125">
        <f t="shared" si="26"/>
        <v>0.818463186056406</v>
      </c>
      <c r="M156" s="125">
        <f t="shared" si="26"/>
        <v>0.83728152340542117</v>
      </c>
      <c r="N156" s="125">
        <f t="shared" si="26"/>
        <v>0.85643859082671892</v>
      </c>
      <c r="O156" s="125">
        <f t="shared" si="26"/>
        <v>0.87594048546159975</v>
      </c>
      <c r="P156" s="122"/>
      <c r="Q156" s="122"/>
      <c r="R156" s="122"/>
      <c r="S156" s="122"/>
      <c r="T156" s="122"/>
      <c r="U156" s="122"/>
      <c r="V156" s="122"/>
      <c r="W156" s="122"/>
      <c r="X156" s="122"/>
      <c r="Y156" s="122"/>
      <c r="Z156" s="122"/>
    </row>
    <row r="157" spans="1:26" ht="12.75" x14ac:dyDescent="0.2">
      <c r="A157" s="122"/>
      <c r="B157" s="122"/>
      <c r="C157" s="149"/>
      <c r="D157" s="122"/>
      <c r="E157" s="122"/>
      <c r="F157" s="122"/>
      <c r="G157" s="122"/>
      <c r="H157" s="122"/>
      <c r="I157" s="122"/>
      <c r="J157" s="122"/>
      <c r="K157" s="122"/>
      <c r="L157" s="122"/>
      <c r="M157" s="122"/>
      <c r="N157" s="122"/>
      <c r="O157" s="122"/>
      <c r="P157" s="122"/>
      <c r="Q157" s="122"/>
      <c r="R157" s="122"/>
      <c r="S157" s="122"/>
      <c r="T157" s="122"/>
      <c r="U157" s="122"/>
      <c r="V157" s="122"/>
      <c r="W157" s="122"/>
      <c r="X157" s="122"/>
      <c r="Y157" s="122"/>
      <c r="Z157" s="122"/>
    </row>
    <row r="158" spans="1:26" ht="12.75" x14ac:dyDescent="0.2">
      <c r="A158" s="122"/>
      <c r="B158" s="145" t="s">
        <v>197</v>
      </c>
      <c r="C158" s="123"/>
      <c r="D158" s="119"/>
      <c r="E158" s="119"/>
      <c r="F158" s="396"/>
      <c r="G158" s="396"/>
      <c r="H158" s="396"/>
      <c r="I158" s="396"/>
      <c r="J158" s="396"/>
      <c r="K158" s="396"/>
      <c r="L158" s="396"/>
      <c r="M158" s="396"/>
      <c r="N158" s="396"/>
      <c r="O158" s="396"/>
      <c r="P158" s="122"/>
      <c r="Q158" s="122"/>
      <c r="R158" s="122"/>
      <c r="S158" s="122"/>
      <c r="T158" s="122"/>
      <c r="U158" s="122"/>
      <c r="V158" s="122"/>
      <c r="W158" s="122"/>
      <c r="X158" s="122"/>
      <c r="Y158" s="122"/>
      <c r="Z158" s="122"/>
    </row>
    <row r="159" spans="1:26" ht="12.75" x14ac:dyDescent="0.2">
      <c r="A159" s="122"/>
      <c r="B159" s="119"/>
      <c r="C159" s="123" t="s">
        <v>428</v>
      </c>
      <c r="D159" s="119"/>
      <c r="E159" s="119"/>
      <c r="F159" s="125">
        <f t="shared" ref="F159:O159" si="27">MIN(F$144*$I$30*F$136,$I$31*F$144)</f>
        <v>2.1760000000000002</v>
      </c>
      <c r="G159" s="125">
        <f t="shared" si="27"/>
        <v>2.4806400000000006</v>
      </c>
      <c r="H159" s="125">
        <f t="shared" si="27"/>
        <v>2.8279296000000009</v>
      </c>
      <c r="I159" s="125">
        <f t="shared" si="27"/>
        <v>3.2238397440000011</v>
      </c>
      <c r="J159" s="125">
        <f t="shared" si="27"/>
        <v>3.2640000000000002</v>
      </c>
      <c r="K159" s="125">
        <f t="shared" si="27"/>
        <v>3.2640000000000002</v>
      </c>
      <c r="L159" s="125">
        <f t="shared" si="27"/>
        <v>3.2640000000000002</v>
      </c>
      <c r="M159" s="125">
        <f t="shared" si="27"/>
        <v>3.2640000000000002</v>
      </c>
      <c r="N159" s="125">
        <f t="shared" si="27"/>
        <v>3.2640000000000002</v>
      </c>
      <c r="O159" s="125">
        <f t="shared" si="27"/>
        <v>3.2640000000000002</v>
      </c>
      <c r="P159" s="122"/>
      <c r="Q159" s="122"/>
      <c r="R159" s="122"/>
      <c r="S159" s="122"/>
      <c r="T159" s="122"/>
      <c r="U159" s="122"/>
      <c r="V159" s="122"/>
      <c r="W159" s="122"/>
      <c r="X159" s="122"/>
      <c r="Y159" s="122"/>
      <c r="Z159" s="122"/>
    </row>
    <row r="160" spans="1:26" ht="12.75" x14ac:dyDescent="0.2">
      <c r="A160" s="122"/>
      <c r="B160" s="119"/>
      <c r="C160" s="123" t="s">
        <v>232</v>
      </c>
      <c r="D160" s="119"/>
      <c r="E160" s="119"/>
      <c r="F160" s="125">
        <f>$I$37*F159</f>
        <v>0.22412799999999999</v>
      </c>
      <c r="G160" s="125">
        <f t="shared" ref="G160:O160" si="28">$I$37*G159</f>
        <v>0.25550592000000005</v>
      </c>
      <c r="H160" s="125">
        <f t="shared" si="28"/>
        <v>0.2912767488000001</v>
      </c>
      <c r="I160" s="125">
        <f t="shared" si="28"/>
        <v>0.3320554936320001</v>
      </c>
      <c r="J160" s="125">
        <f t="shared" si="28"/>
        <v>0.33619199999999999</v>
      </c>
      <c r="K160" s="125">
        <f t="shared" si="28"/>
        <v>0.33619199999999999</v>
      </c>
      <c r="L160" s="125">
        <f t="shared" si="28"/>
        <v>0.33619199999999999</v>
      </c>
      <c r="M160" s="125">
        <f t="shared" si="28"/>
        <v>0.33619199999999999</v>
      </c>
      <c r="N160" s="125">
        <f t="shared" si="28"/>
        <v>0.33619199999999999</v>
      </c>
      <c r="O160" s="125">
        <f t="shared" si="28"/>
        <v>0.33619199999999999</v>
      </c>
      <c r="P160" s="122"/>
      <c r="Q160" s="122"/>
      <c r="R160" s="122"/>
      <c r="S160" s="122"/>
      <c r="T160" s="122"/>
      <c r="U160" s="122"/>
      <c r="V160" s="122"/>
      <c r="W160" s="122"/>
      <c r="X160" s="122"/>
      <c r="Y160" s="122"/>
      <c r="Z160" s="122"/>
    </row>
    <row r="161" spans="1:26" ht="12.75" x14ac:dyDescent="0.2">
      <c r="A161" s="122"/>
      <c r="B161" s="119"/>
      <c r="C161" s="123" t="s">
        <v>429</v>
      </c>
      <c r="D161" s="119"/>
      <c r="E161" s="119"/>
      <c r="F161" s="125">
        <f>$I$27/1000</f>
        <v>0.19079999999999997</v>
      </c>
      <c r="G161" s="125">
        <f t="shared" ref="G161:O161" si="29">$I$27/1000</f>
        <v>0.19079999999999997</v>
      </c>
      <c r="H161" s="125">
        <f t="shared" si="29"/>
        <v>0.19079999999999997</v>
      </c>
      <c r="I161" s="125">
        <f t="shared" si="29"/>
        <v>0.19079999999999997</v>
      </c>
      <c r="J161" s="125">
        <f t="shared" si="29"/>
        <v>0.19079999999999997</v>
      </c>
      <c r="K161" s="125">
        <f t="shared" si="29"/>
        <v>0.19079999999999997</v>
      </c>
      <c r="L161" s="125">
        <f t="shared" si="29"/>
        <v>0.19079999999999997</v>
      </c>
      <c r="M161" s="125">
        <f t="shared" si="29"/>
        <v>0.19079999999999997</v>
      </c>
      <c r="N161" s="125">
        <f t="shared" si="29"/>
        <v>0.19079999999999997</v>
      </c>
      <c r="O161" s="125">
        <f t="shared" si="29"/>
        <v>0.19079999999999997</v>
      </c>
      <c r="P161" s="122"/>
      <c r="Q161" s="122"/>
      <c r="R161" s="122"/>
      <c r="S161" s="122"/>
      <c r="T161" s="122"/>
      <c r="U161" s="122"/>
      <c r="V161" s="122"/>
      <c r="W161" s="122"/>
      <c r="X161" s="122"/>
      <c r="Y161" s="122"/>
      <c r="Z161" s="122"/>
    </row>
    <row r="162" spans="1:26" ht="12.75" x14ac:dyDescent="0.2">
      <c r="A162" s="122"/>
      <c r="B162" s="119"/>
      <c r="C162" s="123" t="s">
        <v>430</v>
      </c>
      <c r="D162" s="119"/>
      <c r="E162" s="119"/>
      <c r="F162" s="125">
        <f t="shared" ref="F162:O162" si="30">$I$62*F$144/1000</f>
        <v>3.4000000000000002E-2</v>
      </c>
      <c r="G162" s="125">
        <f t="shared" si="30"/>
        <v>3.4000000000000002E-2</v>
      </c>
      <c r="H162" s="125">
        <f t="shared" si="30"/>
        <v>3.4000000000000002E-2</v>
      </c>
      <c r="I162" s="125">
        <f t="shared" si="30"/>
        <v>3.4000000000000002E-2</v>
      </c>
      <c r="J162" s="125">
        <f t="shared" si="30"/>
        <v>3.4000000000000002E-2</v>
      </c>
      <c r="K162" s="125">
        <f t="shared" si="30"/>
        <v>3.4000000000000002E-2</v>
      </c>
      <c r="L162" s="125">
        <f t="shared" si="30"/>
        <v>3.4000000000000002E-2</v>
      </c>
      <c r="M162" s="125">
        <f t="shared" si="30"/>
        <v>3.4000000000000002E-2</v>
      </c>
      <c r="N162" s="125">
        <f t="shared" si="30"/>
        <v>3.4000000000000002E-2</v>
      </c>
      <c r="O162" s="125">
        <f t="shared" si="30"/>
        <v>3.4000000000000002E-2</v>
      </c>
      <c r="P162" s="122"/>
      <c r="Q162" s="122"/>
      <c r="R162" s="122"/>
      <c r="S162" s="122"/>
      <c r="T162" s="122"/>
      <c r="U162" s="122"/>
      <c r="V162" s="122"/>
      <c r="W162" s="122"/>
      <c r="X162" s="122"/>
      <c r="Y162" s="122"/>
      <c r="Z162" s="122"/>
    </row>
    <row r="163" spans="1:26" ht="12.75" x14ac:dyDescent="0.2">
      <c r="A163" s="122"/>
      <c r="B163" s="119"/>
      <c r="C163" s="395" t="s">
        <v>884</v>
      </c>
      <c r="D163" s="119"/>
      <c r="E163" s="119"/>
      <c r="F163" s="125">
        <f>F159-F160-F161-F162</f>
        <v>1.7270720000000004</v>
      </c>
      <c r="G163" s="125">
        <f t="shared" ref="G163:O163" si="31">G159-G160-G161-G162</f>
        <v>2.0003340800000009</v>
      </c>
      <c r="H163" s="125">
        <f t="shared" si="31"/>
        <v>2.3118528512000012</v>
      </c>
      <c r="I163" s="125">
        <f t="shared" si="31"/>
        <v>2.6669842503680012</v>
      </c>
      <c r="J163" s="125">
        <f t="shared" si="31"/>
        <v>2.7030080000000005</v>
      </c>
      <c r="K163" s="125">
        <f t="shared" si="31"/>
        <v>2.7030080000000005</v>
      </c>
      <c r="L163" s="125">
        <f t="shared" si="31"/>
        <v>2.7030080000000005</v>
      </c>
      <c r="M163" s="125">
        <f t="shared" si="31"/>
        <v>2.7030080000000005</v>
      </c>
      <c r="N163" s="125">
        <f t="shared" si="31"/>
        <v>2.7030080000000005</v>
      </c>
      <c r="O163" s="125">
        <f t="shared" si="31"/>
        <v>2.7030080000000005</v>
      </c>
      <c r="P163" s="122"/>
      <c r="Q163" s="122"/>
      <c r="R163" s="122"/>
      <c r="S163" s="122"/>
      <c r="T163" s="122"/>
      <c r="U163" s="122"/>
      <c r="V163" s="122"/>
      <c r="W163" s="122"/>
      <c r="X163" s="122"/>
      <c r="Y163" s="122"/>
      <c r="Z163" s="122"/>
    </row>
    <row r="164" spans="1:26" ht="12.75" x14ac:dyDescent="0.2">
      <c r="A164" s="122"/>
      <c r="B164" s="122"/>
      <c r="C164" s="122"/>
      <c r="D164" s="122"/>
      <c r="E164" s="122"/>
      <c r="F164" s="122"/>
      <c r="G164" s="122"/>
      <c r="H164" s="122"/>
      <c r="I164" s="122"/>
      <c r="J164" s="122"/>
      <c r="K164" s="122"/>
      <c r="L164" s="122"/>
      <c r="M164" s="122"/>
      <c r="N164" s="122"/>
      <c r="O164" s="122"/>
      <c r="P164" s="122"/>
      <c r="Q164" s="122"/>
      <c r="R164" s="122"/>
      <c r="S164" s="122"/>
      <c r="T164" s="122"/>
      <c r="U164" s="122"/>
      <c r="V164" s="122"/>
      <c r="W164" s="122"/>
      <c r="X164" s="122"/>
      <c r="Y164" s="122"/>
      <c r="Z164" s="122"/>
    </row>
    <row r="165" spans="1:26" ht="12.75" x14ac:dyDescent="0.2">
      <c r="A165" s="122"/>
      <c r="B165" s="145" t="s">
        <v>198</v>
      </c>
      <c r="C165" s="123"/>
      <c r="D165" s="119"/>
      <c r="E165" s="119"/>
      <c r="F165" s="119"/>
      <c r="G165" s="119"/>
      <c r="H165" s="119"/>
      <c r="I165" s="119"/>
      <c r="J165" s="119"/>
      <c r="K165" s="119"/>
      <c r="L165" s="119"/>
      <c r="M165" s="119"/>
      <c r="N165" s="119"/>
      <c r="O165" s="119"/>
      <c r="P165" s="122"/>
      <c r="Q165" s="122"/>
      <c r="R165" s="122"/>
      <c r="S165" s="122"/>
      <c r="T165" s="122"/>
      <c r="U165" s="122"/>
      <c r="V165" s="122"/>
      <c r="W165" s="122"/>
      <c r="X165" s="122"/>
      <c r="Y165" s="122"/>
      <c r="Z165" s="122"/>
    </row>
    <row r="166" spans="1:26" ht="12.75" x14ac:dyDescent="0.2">
      <c r="A166" s="122"/>
      <c r="B166" s="119"/>
      <c r="C166" s="123" t="s">
        <v>428</v>
      </c>
      <c r="D166" s="119"/>
      <c r="E166" s="119"/>
      <c r="F166" s="125" t="e">
        <f>MIN(#REF!*$M$30*F$136,$M$31*#REF!)</f>
        <v>#REF!</v>
      </c>
      <c r="G166" s="125" t="e">
        <f>MIN(#REF!*$M$30*G$136,$M$31*#REF!)</f>
        <v>#REF!</v>
      </c>
      <c r="H166" s="125" t="e">
        <f>MIN(#REF!*$M$30*H$136,$M$31*#REF!)</f>
        <v>#REF!</v>
      </c>
      <c r="I166" s="125" t="e">
        <f>MIN(#REF!*$M$30*I$136,$M$31*#REF!)</f>
        <v>#REF!</v>
      </c>
      <c r="J166" s="125" t="e">
        <f>MIN(#REF!*$M$30*J$136,$M$31*#REF!)</f>
        <v>#REF!</v>
      </c>
      <c r="K166" s="125" t="e">
        <f>MIN(#REF!*$M$30*K$136,$M$31*#REF!)</f>
        <v>#REF!</v>
      </c>
      <c r="L166" s="125" t="e">
        <f>MIN(#REF!*$M$30*L$136,$M$31*#REF!)</f>
        <v>#REF!</v>
      </c>
      <c r="M166" s="125" t="e">
        <f>MIN(#REF!*$M$30*M$136,$M$31*#REF!)</f>
        <v>#REF!</v>
      </c>
      <c r="N166" s="125" t="e">
        <f>MIN(#REF!*$M$30*N$136,$M$31*#REF!)</f>
        <v>#REF!</v>
      </c>
      <c r="O166" s="125" t="e">
        <f>MIN(#REF!*$M$30*O$136,$M$31*#REF!)</f>
        <v>#REF!</v>
      </c>
      <c r="P166" s="122"/>
      <c r="Q166" s="122"/>
      <c r="R166" s="122"/>
      <c r="S166" s="122"/>
      <c r="T166" s="122"/>
      <c r="U166" s="122"/>
      <c r="V166" s="122"/>
      <c r="W166" s="122"/>
      <c r="X166" s="122"/>
      <c r="Y166" s="122"/>
      <c r="Z166" s="122"/>
    </row>
    <row r="167" spans="1:26" ht="12.75" x14ac:dyDescent="0.2">
      <c r="A167" s="122"/>
      <c r="B167" s="119"/>
      <c r="C167" s="123" t="s">
        <v>232</v>
      </c>
      <c r="D167" s="119"/>
      <c r="E167" s="119"/>
      <c r="F167" s="125" t="e">
        <f>$M$37*F166</f>
        <v>#REF!</v>
      </c>
      <c r="G167" s="125" t="e">
        <f t="shared" ref="G167:O167" si="32">$M$37*G166</f>
        <v>#REF!</v>
      </c>
      <c r="H167" s="125" t="e">
        <f t="shared" si="32"/>
        <v>#REF!</v>
      </c>
      <c r="I167" s="125" t="e">
        <f t="shared" si="32"/>
        <v>#REF!</v>
      </c>
      <c r="J167" s="125" t="e">
        <f t="shared" si="32"/>
        <v>#REF!</v>
      </c>
      <c r="K167" s="125" t="e">
        <f t="shared" si="32"/>
        <v>#REF!</v>
      </c>
      <c r="L167" s="125" t="e">
        <f t="shared" si="32"/>
        <v>#REF!</v>
      </c>
      <c r="M167" s="125" t="e">
        <f t="shared" si="32"/>
        <v>#REF!</v>
      </c>
      <c r="N167" s="125" t="e">
        <f t="shared" si="32"/>
        <v>#REF!</v>
      </c>
      <c r="O167" s="125" t="e">
        <f t="shared" si="32"/>
        <v>#REF!</v>
      </c>
      <c r="P167" s="122"/>
      <c r="Q167" s="122"/>
      <c r="R167" s="122"/>
      <c r="S167" s="122"/>
      <c r="T167" s="122"/>
      <c r="U167" s="122"/>
      <c r="V167" s="122"/>
      <c r="W167" s="122"/>
      <c r="X167" s="122"/>
      <c r="Y167" s="122"/>
      <c r="Z167" s="122"/>
    </row>
    <row r="168" spans="1:26" ht="12.75" x14ac:dyDescent="0.2">
      <c r="A168" s="122"/>
      <c r="B168" s="119"/>
      <c r="C168" s="123" t="s">
        <v>429</v>
      </c>
      <c r="D168" s="119"/>
      <c r="E168" s="119"/>
      <c r="F168" s="125">
        <f>$M$27/1000</f>
        <v>0</v>
      </c>
      <c r="G168" s="125">
        <f t="shared" ref="G168:O168" si="33">$M$27/1000</f>
        <v>0</v>
      </c>
      <c r="H168" s="125">
        <f t="shared" si="33"/>
        <v>0</v>
      </c>
      <c r="I168" s="125">
        <f t="shared" si="33"/>
        <v>0</v>
      </c>
      <c r="J168" s="125">
        <f t="shared" si="33"/>
        <v>0</v>
      </c>
      <c r="K168" s="125">
        <f t="shared" si="33"/>
        <v>0</v>
      </c>
      <c r="L168" s="125">
        <f t="shared" si="33"/>
        <v>0</v>
      </c>
      <c r="M168" s="125">
        <f t="shared" si="33"/>
        <v>0</v>
      </c>
      <c r="N168" s="125">
        <f t="shared" si="33"/>
        <v>0</v>
      </c>
      <c r="O168" s="125">
        <f t="shared" si="33"/>
        <v>0</v>
      </c>
      <c r="P168" s="122"/>
      <c r="Q168" s="122"/>
      <c r="R168" s="122"/>
      <c r="S168" s="122"/>
      <c r="T168" s="122"/>
      <c r="U168" s="122"/>
      <c r="V168" s="122"/>
      <c r="W168" s="122"/>
      <c r="X168" s="122"/>
      <c r="Y168" s="122"/>
      <c r="Z168" s="122"/>
    </row>
    <row r="169" spans="1:26" ht="12.75" x14ac:dyDescent="0.2">
      <c r="A169" s="122"/>
      <c r="B169" s="119"/>
      <c r="C169" s="123" t="s">
        <v>430</v>
      </c>
      <c r="D169" s="119"/>
      <c r="E169" s="119"/>
      <c r="F169" s="125" t="e">
        <f>$M$62*#REF!/1000</f>
        <v>#REF!</v>
      </c>
      <c r="G169" s="125" t="e">
        <f>$M$62*#REF!/1000</f>
        <v>#REF!</v>
      </c>
      <c r="H169" s="125" t="e">
        <f>$M$62*#REF!/1000</f>
        <v>#REF!</v>
      </c>
      <c r="I169" s="125" t="e">
        <f>$M$62*#REF!/1000</f>
        <v>#REF!</v>
      </c>
      <c r="J169" s="125" t="e">
        <f>$M$62*#REF!/1000</f>
        <v>#REF!</v>
      </c>
      <c r="K169" s="125" t="e">
        <f>$M$62*#REF!/1000</f>
        <v>#REF!</v>
      </c>
      <c r="L169" s="125" t="e">
        <f>$M$62*#REF!/1000</f>
        <v>#REF!</v>
      </c>
      <c r="M169" s="125" t="e">
        <f>$M$62*#REF!/1000</f>
        <v>#REF!</v>
      </c>
      <c r="N169" s="125" t="e">
        <f>$M$62*#REF!/1000</f>
        <v>#REF!</v>
      </c>
      <c r="O169" s="125" t="e">
        <f>$M$62*#REF!/1000</f>
        <v>#REF!</v>
      </c>
      <c r="P169" s="122"/>
      <c r="Q169" s="122"/>
      <c r="R169" s="122"/>
      <c r="S169" s="122"/>
      <c r="T169" s="122"/>
      <c r="U169" s="122"/>
      <c r="V169" s="122"/>
      <c r="W169" s="122"/>
      <c r="X169" s="122"/>
      <c r="Y169" s="122"/>
      <c r="Z169" s="122"/>
    </row>
    <row r="170" spans="1:26" ht="12.75" x14ac:dyDescent="0.2">
      <c r="A170" s="122"/>
      <c r="B170" s="119"/>
      <c r="C170" s="395" t="s">
        <v>884</v>
      </c>
      <c r="D170" s="119"/>
      <c r="E170" s="119"/>
      <c r="F170" s="125" t="e">
        <f>F166-F167-F168-F169</f>
        <v>#REF!</v>
      </c>
      <c r="G170" s="125" t="e">
        <f t="shared" ref="G170:O170" si="34">G166-G167-G168-G169</f>
        <v>#REF!</v>
      </c>
      <c r="H170" s="125" t="e">
        <f t="shared" si="34"/>
        <v>#REF!</v>
      </c>
      <c r="I170" s="125" t="e">
        <f t="shared" si="34"/>
        <v>#REF!</v>
      </c>
      <c r="J170" s="125" t="e">
        <f t="shared" si="34"/>
        <v>#REF!</v>
      </c>
      <c r="K170" s="125" t="e">
        <f t="shared" si="34"/>
        <v>#REF!</v>
      </c>
      <c r="L170" s="125" t="e">
        <f t="shared" si="34"/>
        <v>#REF!</v>
      </c>
      <c r="M170" s="125" t="e">
        <f t="shared" si="34"/>
        <v>#REF!</v>
      </c>
      <c r="N170" s="125" t="e">
        <f t="shared" si="34"/>
        <v>#REF!</v>
      </c>
      <c r="O170" s="125" t="e">
        <f t="shared" si="34"/>
        <v>#REF!</v>
      </c>
      <c r="P170" s="122"/>
      <c r="Q170" s="122"/>
      <c r="R170" s="122"/>
      <c r="S170" s="122"/>
      <c r="T170" s="122"/>
      <c r="U170" s="122"/>
      <c r="V170" s="122"/>
      <c r="W170" s="122"/>
      <c r="X170" s="122"/>
      <c r="Y170" s="122"/>
      <c r="Z170" s="122"/>
    </row>
    <row r="171" spans="1:26" ht="12.75" x14ac:dyDescent="0.2">
      <c r="A171" s="122"/>
      <c r="B171" s="122"/>
      <c r="C171" s="122"/>
      <c r="D171" s="122"/>
      <c r="E171" s="173"/>
      <c r="F171" s="126"/>
      <c r="G171" s="126"/>
      <c r="H171" s="126"/>
      <c r="I171" s="126"/>
      <c r="J171" s="126"/>
      <c r="K171" s="126"/>
      <c r="L171" s="126"/>
      <c r="M171" s="126"/>
      <c r="N171" s="126"/>
      <c r="O171" s="126"/>
      <c r="P171" s="122"/>
      <c r="Q171" s="122"/>
      <c r="R171" s="122"/>
      <c r="S171" s="122"/>
      <c r="T171" s="122"/>
      <c r="U171" s="122"/>
      <c r="V171" s="122"/>
      <c r="W171" s="122"/>
      <c r="X171" s="122"/>
      <c r="Y171" s="122"/>
      <c r="Z171" s="122"/>
    </row>
    <row r="172" spans="1:26" ht="12.75" x14ac:dyDescent="0.2">
      <c r="A172" s="122"/>
      <c r="B172" s="145" t="s">
        <v>225</v>
      </c>
      <c r="C172" s="119"/>
      <c r="D172" s="119"/>
      <c r="E172" s="119"/>
      <c r="F172" s="125"/>
      <c r="G172" s="125"/>
      <c r="H172" s="125"/>
      <c r="I172" s="125"/>
      <c r="J172" s="125"/>
      <c r="K172" s="125"/>
      <c r="L172" s="125"/>
      <c r="M172" s="125"/>
      <c r="N172" s="125"/>
      <c r="O172" s="125"/>
      <c r="P172" s="122"/>
      <c r="Q172" s="122"/>
      <c r="R172" s="122"/>
      <c r="S172" s="122"/>
      <c r="T172" s="122"/>
      <c r="U172" s="122"/>
      <c r="V172" s="122"/>
      <c r="W172" s="122"/>
      <c r="X172" s="122"/>
      <c r="Y172" s="122"/>
      <c r="Z172" s="122"/>
    </row>
    <row r="173" spans="1:26" ht="12.75" x14ac:dyDescent="0.2">
      <c r="A173" s="122"/>
      <c r="B173" s="119"/>
      <c r="C173" s="123" t="s">
        <v>428</v>
      </c>
      <c r="D173" s="119"/>
      <c r="E173" s="119"/>
      <c r="F173" s="125">
        <f>F152*$F$90*F$123*(1+$F$94)</f>
        <v>78.540000000000006</v>
      </c>
      <c r="G173" s="125">
        <f t="shared" ref="G173:O173" si="35">G152*$F$90*G$123*(1+$F$94)</f>
        <v>86.270063880000023</v>
      </c>
      <c r="H173" s="125">
        <f t="shared" si="35"/>
        <v>94.760936107197352</v>
      </c>
      <c r="I173" s="125">
        <f t="shared" si="35"/>
        <v>104.08749696073995</v>
      </c>
      <c r="J173" s="125">
        <f t="shared" si="35"/>
        <v>114.33199658660989</v>
      </c>
      <c r="K173" s="125">
        <f t="shared" si="35"/>
        <v>125.58478035465721</v>
      </c>
      <c r="L173" s="125">
        <f t="shared" si="35"/>
        <v>137.94508560672327</v>
      </c>
      <c r="M173" s="125">
        <f t="shared" si="35"/>
        <v>151.52191682230819</v>
      </c>
      <c r="N173" s="125">
        <f t="shared" si="35"/>
        <v>166.43500691979338</v>
      </c>
      <c r="O173" s="125">
        <f t="shared" si="35"/>
        <v>182.81587317085328</v>
      </c>
      <c r="P173" s="122"/>
      <c r="Q173" s="122"/>
      <c r="R173" s="122"/>
      <c r="S173" s="122"/>
      <c r="T173" s="122"/>
      <c r="U173" s="122"/>
      <c r="V173" s="122"/>
      <c r="W173" s="122"/>
      <c r="X173" s="122"/>
      <c r="Y173" s="122"/>
      <c r="Z173" s="122"/>
    </row>
    <row r="174" spans="1:26" ht="12.75" x14ac:dyDescent="0.2">
      <c r="A174" s="122"/>
      <c r="B174" s="119"/>
      <c r="C174" s="123" t="s">
        <v>231</v>
      </c>
      <c r="D174" s="119"/>
      <c r="E174" s="119"/>
      <c r="F174" s="125">
        <f>F153*$F$90*F$123*(1+$F$94)</f>
        <v>8.08962</v>
      </c>
      <c r="G174" s="125">
        <f t="shared" ref="G174:O174" si="36">G153*$F$90*G$123*(1+$F$94)</f>
        <v>8.8858165796400002</v>
      </c>
      <c r="H174" s="125">
        <f t="shared" si="36"/>
        <v>9.7603764190413269</v>
      </c>
      <c r="I174" s="125">
        <f t="shared" si="36"/>
        <v>10.721012186956212</v>
      </c>
      <c r="J174" s="125">
        <f t="shared" si="36"/>
        <v>11.776195648420819</v>
      </c>
      <c r="K174" s="125">
        <f t="shared" si="36"/>
        <v>12.935232376529692</v>
      </c>
      <c r="L174" s="125">
        <f t="shared" si="36"/>
        <v>14.208343817492496</v>
      </c>
      <c r="M174" s="125">
        <f t="shared" si="36"/>
        <v>15.606757432697741</v>
      </c>
      <c r="N174" s="125">
        <f t="shared" si="36"/>
        <v>17.142805712738721</v>
      </c>
      <c r="O174" s="125">
        <f t="shared" si="36"/>
        <v>18.830034936597883</v>
      </c>
      <c r="P174" s="122"/>
      <c r="Q174" s="122"/>
      <c r="R174" s="122"/>
      <c r="S174" s="122"/>
      <c r="T174" s="122"/>
      <c r="U174" s="122"/>
      <c r="V174" s="122"/>
      <c r="W174" s="122"/>
      <c r="X174" s="122"/>
      <c r="Y174" s="122"/>
      <c r="Z174" s="122"/>
    </row>
    <row r="175" spans="1:26" ht="12.75" x14ac:dyDescent="0.2">
      <c r="A175" s="122"/>
      <c r="B175" s="119"/>
      <c r="C175" s="395" t="s">
        <v>882</v>
      </c>
      <c r="D175" s="119"/>
      <c r="E175" s="119"/>
      <c r="F175" s="125">
        <f>F154*$F$90*F$123*(1+$F$94)</f>
        <v>11.925000000000001</v>
      </c>
      <c r="G175" s="125">
        <f t="shared" ref="G175:O175" si="37">G154*$F$90*G$123*(1+$F$94)</f>
        <v>12.867075</v>
      </c>
      <c r="H175" s="125">
        <f t="shared" si="37"/>
        <v>13.883573924999999</v>
      </c>
      <c r="I175" s="125">
        <f t="shared" si="37"/>
        <v>14.980376265075</v>
      </c>
      <c r="J175" s="125">
        <f t="shared" si="37"/>
        <v>16.163825990015926</v>
      </c>
      <c r="K175" s="125">
        <f t="shared" si="37"/>
        <v>17.440768243227183</v>
      </c>
      <c r="L175" s="125">
        <f t="shared" si="37"/>
        <v>18.818588934442129</v>
      </c>
      <c r="M175" s="125">
        <f t="shared" si="37"/>
        <v>20.305257460263057</v>
      </c>
      <c r="N175" s="125">
        <f t="shared" si="37"/>
        <v>21.909372799623835</v>
      </c>
      <c r="O175" s="125">
        <f t="shared" si="37"/>
        <v>23.640213250794119</v>
      </c>
      <c r="P175" s="122"/>
      <c r="Q175" s="122"/>
      <c r="R175" s="122"/>
      <c r="S175" s="122"/>
      <c r="T175" s="122"/>
      <c r="U175" s="122"/>
      <c r="V175" s="122"/>
      <c r="W175" s="122"/>
      <c r="X175" s="122"/>
      <c r="Y175" s="122"/>
      <c r="Z175" s="122"/>
    </row>
    <row r="176" spans="1:26" ht="12.75" x14ac:dyDescent="0.2">
      <c r="A176" s="122"/>
      <c r="B176" s="119"/>
      <c r="C176" s="395" t="s">
        <v>883</v>
      </c>
      <c r="D176" s="119"/>
      <c r="E176" s="119"/>
      <c r="F176" s="125">
        <f>F155*$F$90*F$123*(1+$F$94)</f>
        <v>5.1000000000000005</v>
      </c>
      <c r="G176" s="125">
        <f t="shared" ref="G176:O176" si="38">G155*$F$90*G$123*(1+$F$94)</f>
        <v>5.5029000000000003</v>
      </c>
      <c r="H176" s="125">
        <f t="shared" si="38"/>
        <v>5.9376290999999997</v>
      </c>
      <c r="I176" s="125">
        <f t="shared" si="38"/>
        <v>6.4067017989000004</v>
      </c>
      <c r="J176" s="125">
        <f t="shared" si="38"/>
        <v>6.9128312410130999</v>
      </c>
      <c r="K176" s="125">
        <f t="shared" si="38"/>
        <v>7.4589449090531348</v>
      </c>
      <c r="L176" s="125">
        <f t="shared" si="38"/>
        <v>8.0482015568683316</v>
      </c>
      <c r="M176" s="125">
        <f t="shared" si="38"/>
        <v>8.6840094798609293</v>
      </c>
      <c r="N176" s="125">
        <f t="shared" si="38"/>
        <v>9.3700462287699438</v>
      </c>
      <c r="O176" s="125">
        <f t="shared" si="38"/>
        <v>10.110279880842768</v>
      </c>
      <c r="P176" s="122"/>
      <c r="Q176" s="122"/>
      <c r="R176" s="122"/>
      <c r="S176" s="122"/>
      <c r="T176" s="122"/>
      <c r="U176" s="122"/>
      <c r="V176" s="122"/>
      <c r="W176" s="122"/>
      <c r="X176" s="122"/>
      <c r="Y176" s="122"/>
      <c r="Z176" s="122"/>
    </row>
    <row r="177" spans="1:26" ht="12.75" x14ac:dyDescent="0.2">
      <c r="A177" s="122"/>
      <c r="B177" s="119"/>
      <c r="C177" s="570" t="s">
        <v>884</v>
      </c>
      <c r="D177" s="176"/>
      <c r="E177" s="176"/>
      <c r="F177" s="178">
        <f>F173-F174-F175-F176</f>
        <v>53.425380000000011</v>
      </c>
      <c r="G177" s="178">
        <f t="shared" ref="G177:O177" si="39">G173-G174-G175-G176</f>
        <v>59.01427230036002</v>
      </c>
      <c r="H177" s="178">
        <f t="shared" si="39"/>
        <v>65.179356663156042</v>
      </c>
      <c r="I177" s="178">
        <f t="shared" si="39"/>
        <v>71.979406709808742</v>
      </c>
      <c r="J177" s="178">
        <f t="shared" si="39"/>
        <v>79.479143707160048</v>
      </c>
      <c r="K177" s="178">
        <f t="shared" si="39"/>
        <v>87.749834825847202</v>
      </c>
      <c r="L177" s="178">
        <f t="shared" si="39"/>
        <v>96.869951297920309</v>
      </c>
      <c r="M177" s="178">
        <f t="shared" si="39"/>
        <v>106.92589244948645</v>
      </c>
      <c r="N177" s="178">
        <f t="shared" si="39"/>
        <v>118.01278217866087</v>
      </c>
      <c r="O177" s="178">
        <f t="shared" si="39"/>
        <v>130.23534510261851</v>
      </c>
      <c r="P177" s="122"/>
      <c r="Q177" s="122"/>
      <c r="R177" s="122"/>
      <c r="S177" s="122"/>
      <c r="T177" s="122"/>
      <c r="U177" s="122"/>
      <c r="V177" s="122"/>
      <c r="W177" s="122"/>
      <c r="X177" s="122"/>
      <c r="Y177" s="122"/>
      <c r="Z177" s="122"/>
    </row>
    <row r="178" spans="1:26" ht="12.75" x14ac:dyDescent="0.2">
      <c r="A178" s="122"/>
      <c r="B178" s="122"/>
      <c r="C178" s="122"/>
      <c r="D178" s="122"/>
      <c r="E178" s="122"/>
      <c r="F178" s="122"/>
      <c r="G178" s="122"/>
      <c r="H178" s="122"/>
      <c r="I178" s="122"/>
      <c r="J178" s="122"/>
      <c r="K178" s="122"/>
      <c r="L178" s="122"/>
      <c r="M178" s="122"/>
      <c r="N178" s="122"/>
      <c r="O178" s="122"/>
      <c r="P178" s="122"/>
      <c r="Q178" s="122"/>
      <c r="R178" s="122"/>
      <c r="S178" s="122"/>
      <c r="T178" s="122"/>
      <c r="U178" s="122"/>
      <c r="V178" s="122"/>
      <c r="W178" s="122"/>
      <c r="X178" s="122"/>
      <c r="Y178" s="122"/>
      <c r="Z178" s="122"/>
    </row>
    <row r="179" spans="1:26" ht="12.75" x14ac:dyDescent="0.2">
      <c r="A179" s="122"/>
      <c r="B179" s="145" t="s">
        <v>224</v>
      </c>
      <c r="C179" s="119"/>
      <c r="D179" s="119"/>
      <c r="E179" s="119"/>
      <c r="F179" s="119"/>
      <c r="G179" s="119"/>
      <c r="H179" s="119"/>
      <c r="I179" s="119"/>
      <c r="J179" s="119"/>
      <c r="K179" s="119"/>
      <c r="L179" s="119"/>
      <c r="M179" s="119"/>
      <c r="N179" s="119"/>
      <c r="O179" s="119"/>
      <c r="P179" s="122"/>
      <c r="Q179" s="122"/>
      <c r="R179" s="122"/>
      <c r="S179" s="122"/>
      <c r="T179" s="122"/>
      <c r="U179" s="122"/>
      <c r="V179" s="122"/>
      <c r="W179" s="122"/>
      <c r="X179" s="122"/>
      <c r="Y179" s="122"/>
      <c r="Z179" s="122"/>
    </row>
    <row r="180" spans="1:26" ht="12.75" x14ac:dyDescent="0.2">
      <c r="A180" s="122"/>
      <c r="B180" s="119"/>
      <c r="C180" s="123" t="s">
        <v>428</v>
      </c>
      <c r="D180" s="119"/>
      <c r="E180" s="119"/>
      <c r="F180" s="125">
        <f t="shared" ref="F180:O180" si="40">F159*$I$90*F$123*(1+$F$94)</f>
        <v>163.20000000000002</v>
      </c>
      <c r="G180" s="125">
        <f t="shared" si="40"/>
        <v>200.74579200000005</v>
      </c>
      <c r="H180" s="125">
        <f t="shared" si="40"/>
        <v>246.92936890752006</v>
      </c>
      <c r="I180" s="125">
        <f t="shared" si="40"/>
        <v>303.73793951838411</v>
      </c>
      <c r="J180" s="125">
        <f t="shared" si="40"/>
        <v>331.81589956862877</v>
      </c>
      <c r="K180" s="125">
        <f t="shared" si="40"/>
        <v>358.02935563455043</v>
      </c>
      <c r="L180" s="125">
        <f t="shared" si="40"/>
        <v>386.31367472967992</v>
      </c>
      <c r="M180" s="125">
        <f t="shared" si="40"/>
        <v>416.83245503332461</v>
      </c>
      <c r="N180" s="125">
        <f t="shared" si="40"/>
        <v>449.76221898095724</v>
      </c>
      <c r="O180" s="125">
        <f t="shared" si="40"/>
        <v>485.29343428045286</v>
      </c>
      <c r="P180" s="122"/>
      <c r="Q180" s="122"/>
      <c r="R180" s="122"/>
      <c r="S180" s="122"/>
      <c r="T180" s="122"/>
      <c r="U180" s="122"/>
      <c r="V180" s="122"/>
      <c r="W180" s="122"/>
      <c r="X180" s="122"/>
      <c r="Y180" s="122"/>
      <c r="Z180" s="122"/>
    </row>
    <row r="181" spans="1:26" ht="12.75" x14ac:dyDescent="0.2">
      <c r="A181" s="122"/>
      <c r="B181" s="119"/>
      <c r="C181" s="123" t="s">
        <v>231</v>
      </c>
      <c r="D181" s="119"/>
      <c r="E181" s="119"/>
      <c r="F181" s="125">
        <f t="shared" ref="F181:O181" si="41">F160*$I$90*F$123*(1+$F$94)</f>
        <v>16.8096</v>
      </c>
      <c r="G181" s="125">
        <f t="shared" si="41"/>
        <v>20.676816576000004</v>
      </c>
      <c r="H181" s="125">
        <f t="shared" si="41"/>
        <v>25.433724997474567</v>
      </c>
      <c r="I181" s="125">
        <f t="shared" si="41"/>
        <v>31.285007770393566</v>
      </c>
      <c r="J181" s="125">
        <f t="shared" si="41"/>
        <v>34.17703765556876</v>
      </c>
      <c r="K181" s="125">
        <f t="shared" si="41"/>
        <v>36.877023630358693</v>
      </c>
      <c r="L181" s="125">
        <f t="shared" si="41"/>
        <v>39.790308497157028</v>
      </c>
      <c r="M181" s="125">
        <f t="shared" si="41"/>
        <v>42.933742868432432</v>
      </c>
      <c r="N181" s="125">
        <f t="shared" si="41"/>
        <v>46.325508555038589</v>
      </c>
      <c r="O181" s="125">
        <f t="shared" si="41"/>
        <v>49.985223730886638</v>
      </c>
      <c r="P181" s="122"/>
      <c r="Q181" s="122"/>
      <c r="R181" s="122"/>
      <c r="S181" s="122"/>
      <c r="T181" s="122"/>
      <c r="U181" s="122"/>
      <c r="V181" s="122"/>
      <c r="W181" s="122"/>
      <c r="X181" s="122"/>
      <c r="Y181" s="122"/>
      <c r="Z181" s="122"/>
    </row>
    <row r="182" spans="1:26" ht="12.75" x14ac:dyDescent="0.2">
      <c r="A182" s="122"/>
      <c r="B182" s="119"/>
      <c r="C182" s="395" t="s">
        <v>882</v>
      </c>
      <c r="D182" s="119"/>
      <c r="E182" s="119"/>
      <c r="F182" s="125">
        <f t="shared" ref="F182:O182" si="42">F161*$I$90*F$123*(1+$F$94)</f>
        <v>14.309999999999997</v>
      </c>
      <c r="G182" s="125">
        <f t="shared" si="42"/>
        <v>15.440489999999997</v>
      </c>
      <c r="H182" s="125">
        <f t="shared" si="42"/>
        <v>16.660288709999996</v>
      </c>
      <c r="I182" s="125">
        <f t="shared" si="42"/>
        <v>17.976451518089995</v>
      </c>
      <c r="J182" s="125">
        <f t="shared" si="42"/>
        <v>19.396591188019105</v>
      </c>
      <c r="K182" s="125">
        <f t="shared" si="42"/>
        <v>20.928921891872612</v>
      </c>
      <c r="L182" s="125">
        <f t="shared" si="42"/>
        <v>22.58230672133055</v>
      </c>
      <c r="M182" s="125">
        <f t="shared" si="42"/>
        <v>24.366308952315659</v>
      </c>
      <c r="N182" s="125">
        <f t="shared" si="42"/>
        <v>26.291247359548596</v>
      </c>
      <c r="O182" s="125">
        <f t="shared" si="42"/>
        <v>28.368255900952935</v>
      </c>
      <c r="P182" s="122"/>
      <c r="Q182" s="122"/>
      <c r="R182" s="122"/>
      <c r="S182" s="122"/>
      <c r="T182" s="122"/>
      <c r="U182" s="122"/>
      <c r="V182" s="122"/>
      <c r="W182" s="122"/>
      <c r="X182" s="122"/>
      <c r="Y182" s="122"/>
      <c r="Z182" s="122"/>
    </row>
    <row r="183" spans="1:26" ht="12.75" x14ac:dyDescent="0.2">
      <c r="A183" s="122"/>
      <c r="B183" s="119"/>
      <c r="C183" s="395" t="s">
        <v>883</v>
      </c>
      <c r="D183" s="119"/>
      <c r="E183" s="119"/>
      <c r="F183" s="125">
        <f t="shared" ref="F183:O183" si="43">F162*$I$90*F$123*(1+$F$94)</f>
        <v>2.5500000000000003</v>
      </c>
      <c r="G183" s="125">
        <f t="shared" si="43"/>
        <v>2.7514500000000002</v>
      </c>
      <c r="H183" s="125">
        <f t="shared" si="43"/>
        <v>2.9688145499999998</v>
      </c>
      <c r="I183" s="125">
        <f t="shared" si="43"/>
        <v>3.2033508994500002</v>
      </c>
      <c r="J183" s="125">
        <f t="shared" si="43"/>
        <v>3.4564156205065499</v>
      </c>
      <c r="K183" s="125">
        <f t="shared" si="43"/>
        <v>3.7294724545265674</v>
      </c>
      <c r="L183" s="125">
        <f t="shared" si="43"/>
        <v>4.0241007784341658</v>
      </c>
      <c r="M183" s="125">
        <f t="shared" si="43"/>
        <v>4.3420047399304647</v>
      </c>
      <c r="N183" s="125">
        <f t="shared" si="43"/>
        <v>4.6850231143849719</v>
      </c>
      <c r="O183" s="125">
        <f t="shared" si="43"/>
        <v>5.0551399404213839</v>
      </c>
      <c r="P183" s="122"/>
      <c r="Q183" s="122"/>
      <c r="R183" s="122"/>
      <c r="S183" s="122"/>
      <c r="T183" s="122"/>
      <c r="U183" s="122"/>
      <c r="V183" s="122"/>
      <c r="W183" s="122"/>
      <c r="X183" s="122"/>
      <c r="Y183" s="122"/>
      <c r="Z183" s="122"/>
    </row>
    <row r="184" spans="1:26" ht="12.75" x14ac:dyDescent="0.2">
      <c r="A184" s="122"/>
      <c r="B184" s="119"/>
      <c r="C184" s="570" t="s">
        <v>884</v>
      </c>
      <c r="D184" s="176"/>
      <c r="E184" s="176"/>
      <c r="F184" s="178">
        <f t="shared" ref="F184:O184" si="44">F180-F181-F182-F183</f>
        <v>129.53040000000001</v>
      </c>
      <c r="G184" s="178">
        <f t="shared" si="44"/>
        <v>161.87703542400007</v>
      </c>
      <c r="H184" s="178">
        <f t="shared" si="44"/>
        <v>201.86654065004549</v>
      </c>
      <c r="I184" s="178">
        <f>I180-I181-I182-I183</f>
        <v>251.27312933045056</v>
      </c>
      <c r="J184" s="178">
        <f t="shared" si="44"/>
        <v>274.78585510453433</v>
      </c>
      <c r="K184" s="178">
        <f t="shared" si="44"/>
        <v>296.49393765779257</v>
      </c>
      <c r="L184" s="178">
        <f t="shared" si="44"/>
        <v>319.91695873275819</v>
      </c>
      <c r="M184" s="178">
        <f t="shared" si="44"/>
        <v>345.19039847264605</v>
      </c>
      <c r="N184" s="178">
        <f t="shared" si="44"/>
        <v>372.46043995198505</v>
      </c>
      <c r="O184" s="178">
        <f t="shared" si="44"/>
        <v>401.88481470819193</v>
      </c>
      <c r="P184" s="122"/>
      <c r="Q184" s="122"/>
      <c r="R184" s="122"/>
      <c r="S184" s="122"/>
      <c r="T184" s="122"/>
      <c r="U184" s="122"/>
      <c r="V184" s="122"/>
      <c r="W184" s="122"/>
      <c r="X184" s="122"/>
      <c r="Y184" s="122"/>
      <c r="Z184" s="122"/>
    </row>
    <row r="185" spans="1:26" ht="12.75" x14ac:dyDescent="0.2">
      <c r="A185" s="122"/>
      <c r="B185" s="122"/>
      <c r="C185" s="122"/>
      <c r="D185" s="122"/>
      <c r="E185" s="122"/>
      <c r="F185" s="122"/>
      <c r="G185" s="122"/>
      <c r="H185" s="122"/>
      <c r="I185" s="122"/>
      <c r="J185" s="122"/>
      <c r="K185" s="122"/>
      <c r="L185" s="122"/>
      <c r="M185" s="122"/>
      <c r="N185" s="122"/>
      <c r="O185" s="122"/>
      <c r="P185" s="122"/>
      <c r="Q185" s="122"/>
      <c r="R185" s="122"/>
      <c r="S185" s="122"/>
      <c r="T185" s="122"/>
      <c r="U185" s="122"/>
      <c r="V185" s="122"/>
      <c r="W185" s="122"/>
      <c r="X185" s="122"/>
      <c r="Y185" s="122"/>
      <c r="Z185" s="122"/>
    </row>
    <row r="186" spans="1:26" ht="12.75" x14ac:dyDescent="0.2">
      <c r="A186" s="122"/>
      <c r="B186" s="145" t="s">
        <v>223</v>
      </c>
      <c r="C186" s="119"/>
      <c r="D186" s="119"/>
      <c r="E186" s="119"/>
      <c r="F186" s="119"/>
      <c r="G186" s="119"/>
      <c r="H186" s="119"/>
      <c r="I186" s="119"/>
      <c r="J186" s="119"/>
      <c r="K186" s="119"/>
      <c r="L186" s="119"/>
      <c r="M186" s="119"/>
      <c r="N186" s="119"/>
      <c r="O186" s="119"/>
      <c r="P186" s="122"/>
      <c r="Q186" s="122"/>
      <c r="R186" s="122"/>
      <c r="S186" s="122"/>
      <c r="T186" s="122"/>
      <c r="U186" s="122"/>
      <c r="V186" s="122"/>
      <c r="W186" s="122"/>
      <c r="X186" s="122"/>
      <c r="Y186" s="122"/>
      <c r="Z186" s="122"/>
    </row>
    <row r="187" spans="1:26" ht="12.75" x14ac:dyDescent="0.2">
      <c r="A187" s="122"/>
      <c r="B187" s="119"/>
      <c r="C187" s="123" t="s">
        <v>428</v>
      </c>
      <c r="D187" s="119"/>
      <c r="E187" s="119"/>
      <c r="F187" s="125" t="e">
        <f t="shared" ref="F187:O187" si="45">F166*$M$90*F$123*(1+$F$94)</f>
        <v>#REF!</v>
      </c>
      <c r="G187" s="125" t="e">
        <f t="shared" si="45"/>
        <v>#REF!</v>
      </c>
      <c r="H187" s="125" t="e">
        <f t="shared" si="45"/>
        <v>#REF!</v>
      </c>
      <c r="I187" s="125" t="e">
        <f t="shared" si="45"/>
        <v>#REF!</v>
      </c>
      <c r="J187" s="125" t="e">
        <f t="shared" si="45"/>
        <v>#REF!</v>
      </c>
      <c r="K187" s="125" t="e">
        <f t="shared" si="45"/>
        <v>#REF!</v>
      </c>
      <c r="L187" s="125" t="e">
        <f t="shared" si="45"/>
        <v>#REF!</v>
      </c>
      <c r="M187" s="125" t="e">
        <f t="shared" si="45"/>
        <v>#REF!</v>
      </c>
      <c r="N187" s="125" t="e">
        <f t="shared" si="45"/>
        <v>#REF!</v>
      </c>
      <c r="O187" s="125" t="e">
        <f t="shared" si="45"/>
        <v>#REF!</v>
      </c>
      <c r="P187" s="122"/>
      <c r="Q187" s="122"/>
      <c r="R187" s="122"/>
      <c r="S187" s="122"/>
      <c r="T187" s="122"/>
      <c r="U187" s="122"/>
      <c r="V187" s="122"/>
      <c r="W187" s="122"/>
      <c r="X187" s="122"/>
      <c r="Y187" s="122"/>
      <c r="Z187" s="122"/>
    </row>
    <row r="188" spans="1:26" ht="12.75" x14ac:dyDescent="0.2">
      <c r="A188" s="122"/>
      <c r="B188" s="119"/>
      <c r="C188" s="123" t="s">
        <v>231</v>
      </c>
      <c r="D188" s="119"/>
      <c r="E188" s="119"/>
      <c r="F188" s="125" t="e">
        <f t="shared" ref="F188:O188" si="46">F167*$M$90*F$123*(1+$F$94)</f>
        <v>#REF!</v>
      </c>
      <c r="G188" s="125" t="e">
        <f t="shared" si="46"/>
        <v>#REF!</v>
      </c>
      <c r="H188" s="125" t="e">
        <f t="shared" si="46"/>
        <v>#REF!</v>
      </c>
      <c r="I188" s="125" t="e">
        <f t="shared" si="46"/>
        <v>#REF!</v>
      </c>
      <c r="J188" s="125" t="e">
        <f t="shared" si="46"/>
        <v>#REF!</v>
      </c>
      <c r="K188" s="125" t="e">
        <f t="shared" si="46"/>
        <v>#REF!</v>
      </c>
      <c r="L188" s="125" t="e">
        <f t="shared" si="46"/>
        <v>#REF!</v>
      </c>
      <c r="M188" s="125" t="e">
        <f t="shared" si="46"/>
        <v>#REF!</v>
      </c>
      <c r="N188" s="125" t="e">
        <f t="shared" si="46"/>
        <v>#REF!</v>
      </c>
      <c r="O188" s="125" t="e">
        <f t="shared" si="46"/>
        <v>#REF!</v>
      </c>
      <c r="P188" s="122"/>
      <c r="Q188" s="122"/>
      <c r="R188" s="122"/>
      <c r="S188" s="122"/>
      <c r="T188" s="122"/>
      <c r="U188" s="122"/>
      <c r="V188" s="122"/>
      <c r="W188" s="122"/>
      <c r="X188" s="122"/>
      <c r="Y188" s="122"/>
      <c r="Z188" s="122"/>
    </row>
    <row r="189" spans="1:26" ht="12.75" x14ac:dyDescent="0.2">
      <c r="A189" s="122"/>
      <c r="B189" s="119"/>
      <c r="C189" s="395" t="s">
        <v>882</v>
      </c>
      <c r="D189" s="119"/>
      <c r="E189" s="119"/>
      <c r="F189" s="125">
        <f t="shared" ref="F189:O189" si="47">F168*$M$90*F$123*(1+$F$94)</f>
        <v>0</v>
      </c>
      <c r="G189" s="125">
        <f t="shared" si="47"/>
        <v>0</v>
      </c>
      <c r="H189" s="125">
        <f t="shared" si="47"/>
        <v>0</v>
      </c>
      <c r="I189" s="125">
        <f t="shared" si="47"/>
        <v>0</v>
      </c>
      <c r="J189" s="125">
        <f t="shared" si="47"/>
        <v>0</v>
      </c>
      <c r="K189" s="125">
        <f t="shared" si="47"/>
        <v>0</v>
      </c>
      <c r="L189" s="125">
        <f t="shared" si="47"/>
        <v>0</v>
      </c>
      <c r="M189" s="125">
        <f t="shared" si="47"/>
        <v>0</v>
      </c>
      <c r="N189" s="125">
        <f t="shared" si="47"/>
        <v>0</v>
      </c>
      <c r="O189" s="125">
        <f t="shared" si="47"/>
        <v>0</v>
      </c>
      <c r="P189" s="122"/>
      <c r="Q189" s="122"/>
      <c r="R189" s="122"/>
      <c r="S189" s="122"/>
      <c r="T189" s="122"/>
      <c r="U189" s="122"/>
      <c r="V189" s="122"/>
      <c r="W189" s="122"/>
      <c r="X189" s="122"/>
      <c r="Y189" s="122"/>
      <c r="Z189" s="122"/>
    </row>
    <row r="190" spans="1:26" ht="12.75" x14ac:dyDescent="0.2">
      <c r="A190" s="122"/>
      <c r="B190" s="119"/>
      <c r="C190" s="395" t="s">
        <v>883</v>
      </c>
      <c r="D190" s="119"/>
      <c r="E190" s="119"/>
      <c r="F190" s="125" t="e">
        <f t="shared" ref="F190:O190" si="48">F169*$M$90*F$123*(1+$F$94)</f>
        <v>#REF!</v>
      </c>
      <c r="G190" s="125" t="e">
        <f t="shared" si="48"/>
        <v>#REF!</v>
      </c>
      <c r="H190" s="125" t="e">
        <f t="shared" si="48"/>
        <v>#REF!</v>
      </c>
      <c r="I190" s="125" t="e">
        <f t="shared" si="48"/>
        <v>#REF!</v>
      </c>
      <c r="J190" s="125" t="e">
        <f t="shared" si="48"/>
        <v>#REF!</v>
      </c>
      <c r="K190" s="125" t="e">
        <f t="shared" si="48"/>
        <v>#REF!</v>
      </c>
      <c r="L190" s="125" t="e">
        <f t="shared" si="48"/>
        <v>#REF!</v>
      </c>
      <c r="M190" s="125" t="e">
        <f t="shared" si="48"/>
        <v>#REF!</v>
      </c>
      <c r="N190" s="125" t="e">
        <f t="shared" si="48"/>
        <v>#REF!</v>
      </c>
      <c r="O190" s="125" t="e">
        <f t="shared" si="48"/>
        <v>#REF!</v>
      </c>
      <c r="P190" s="122"/>
      <c r="Q190" s="122"/>
      <c r="R190" s="122"/>
      <c r="S190" s="122"/>
      <c r="T190" s="122"/>
      <c r="U190" s="122"/>
      <c r="V190" s="122"/>
      <c r="W190" s="122"/>
      <c r="X190" s="122"/>
      <c r="Y190" s="122"/>
      <c r="Z190" s="122"/>
    </row>
    <row r="191" spans="1:26" ht="12.75" x14ac:dyDescent="0.2">
      <c r="A191" s="122"/>
      <c r="B191" s="119"/>
      <c r="C191" s="570" t="s">
        <v>884</v>
      </c>
      <c r="D191" s="176"/>
      <c r="E191" s="176"/>
      <c r="F191" s="178" t="e">
        <f t="shared" ref="F191:O191" si="49">F187-F188-F189-F190</f>
        <v>#REF!</v>
      </c>
      <c r="G191" s="178" t="e">
        <f t="shared" si="49"/>
        <v>#REF!</v>
      </c>
      <c r="H191" s="178" t="e">
        <f>H187-H188-H189-H190</f>
        <v>#REF!</v>
      </c>
      <c r="I191" s="178" t="e">
        <f t="shared" si="49"/>
        <v>#REF!</v>
      </c>
      <c r="J191" s="178" t="e">
        <f t="shared" si="49"/>
        <v>#REF!</v>
      </c>
      <c r="K191" s="178" t="e">
        <f t="shared" si="49"/>
        <v>#REF!</v>
      </c>
      <c r="L191" s="178" t="e">
        <f t="shared" si="49"/>
        <v>#REF!</v>
      </c>
      <c r="M191" s="178" t="e">
        <f t="shared" si="49"/>
        <v>#REF!</v>
      </c>
      <c r="N191" s="178" t="e">
        <f t="shared" si="49"/>
        <v>#REF!</v>
      </c>
      <c r="O191" s="178" t="e">
        <f t="shared" si="49"/>
        <v>#REF!</v>
      </c>
      <c r="P191" s="122"/>
      <c r="Q191" s="122"/>
      <c r="R191" s="122"/>
      <c r="S191" s="122"/>
      <c r="T191" s="122"/>
      <c r="U191" s="122"/>
      <c r="V191" s="122"/>
      <c r="W191" s="122"/>
      <c r="X191" s="122"/>
      <c r="Y191" s="122"/>
      <c r="Z191" s="122"/>
    </row>
    <row r="192" spans="1:26" ht="12.75" x14ac:dyDescent="0.2">
      <c r="A192" s="122"/>
      <c r="B192" s="122"/>
      <c r="C192" s="122"/>
      <c r="D192" s="122"/>
      <c r="E192" s="122"/>
      <c r="F192" s="122"/>
      <c r="G192" s="122"/>
      <c r="H192" s="122"/>
      <c r="I192" s="122"/>
      <c r="J192" s="122"/>
      <c r="K192" s="122"/>
      <c r="L192" s="122"/>
      <c r="M192" s="122"/>
      <c r="N192" s="122"/>
      <c r="O192" s="122"/>
      <c r="P192" s="122"/>
      <c r="Q192" s="122"/>
      <c r="R192" s="122"/>
      <c r="S192" s="122"/>
      <c r="T192" s="122"/>
      <c r="U192" s="122"/>
      <c r="V192" s="122"/>
      <c r="W192" s="122"/>
      <c r="X192" s="122"/>
      <c r="Y192" s="122"/>
      <c r="Z192" s="122"/>
    </row>
    <row r="193" spans="1:26" ht="12.75" x14ac:dyDescent="0.2">
      <c r="A193" s="145" t="s">
        <v>202</v>
      </c>
      <c r="B193" s="119"/>
      <c r="C193" s="119"/>
      <c r="D193" s="161" t="s">
        <v>174</v>
      </c>
      <c r="E193" s="161"/>
      <c r="F193" s="162">
        <v>0</v>
      </c>
      <c r="G193" s="162">
        <v>1</v>
      </c>
      <c r="H193" s="162">
        <v>2</v>
      </c>
      <c r="I193" s="162">
        <v>3</v>
      </c>
      <c r="J193" s="162">
        <v>4</v>
      </c>
      <c r="K193" s="162">
        <v>5</v>
      </c>
      <c r="L193" s="162">
        <v>6</v>
      </c>
      <c r="M193" s="162">
        <v>7</v>
      </c>
      <c r="N193" s="162">
        <v>8</v>
      </c>
      <c r="O193" s="162">
        <v>9</v>
      </c>
      <c r="P193" s="119"/>
      <c r="Q193" s="119"/>
      <c r="R193" s="119"/>
      <c r="S193" s="119"/>
      <c r="T193" s="119"/>
      <c r="U193" s="119"/>
      <c r="V193" s="119"/>
      <c r="W193" s="119"/>
      <c r="X193" s="119"/>
      <c r="Y193" s="119"/>
      <c r="Z193" s="119"/>
    </row>
    <row r="194" spans="1:26" ht="12.75" x14ac:dyDescent="0.2">
      <c r="A194" s="122"/>
      <c r="B194" s="179" t="s">
        <v>226</v>
      </c>
      <c r="C194" s="180"/>
      <c r="D194" s="180"/>
      <c r="E194" s="180"/>
      <c r="F194" s="180"/>
      <c r="G194" s="180"/>
      <c r="H194" s="180"/>
      <c r="I194" s="180"/>
      <c r="J194" s="180"/>
      <c r="K194" s="180"/>
      <c r="L194" s="180"/>
      <c r="M194" s="180"/>
      <c r="N194" s="180"/>
      <c r="O194" s="180"/>
      <c r="P194" s="122"/>
      <c r="Q194" s="122"/>
      <c r="R194" s="122"/>
      <c r="S194" s="122"/>
      <c r="T194" s="122"/>
      <c r="U194" s="122"/>
      <c r="V194" s="122"/>
      <c r="W194" s="122"/>
      <c r="X194" s="122"/>
      <c r="Y194" s="122"/>
      <c r="Z194" s="122"/>
    </row>
    <row r="195" spans="1:26" ht="12.75" x14ac:dyDescent="0.2">
      <c r="A195" s="122"/>
      <c r="B195" s="180"/>
      <c r="C195" s="181" t="s">
        <v>218</v>
      </c>
      <c r="D195" s="180"/>
      <c r="E195" s="180"/>
      <c r="F195" s="180"/>
      <c r="G195" s="180"/>
      <c r="H195" s="180"/>
      <c r="I195" s="180"/>
      <c r="J195" s="180"/>
      <c r="K195" s="180"/>
      <c r="L195" s="180"/>
      <c r="M195" s="180"/>
      <c r="N195" s="180"/>
      <c r="O195" s="180"/>
      <c r="P195" s="122"/>
      <c r="Q195" s="122"/>
      <c r="R195" s="122"/>
      <c r="S195" s="122"/>
      <c r="T195" s="122"/>
      <c r="U195" s="122"/>
      <c r="V195" s="122"/>
      <c r="W195" s="122"/>
      <c r="X195" s="122"/>
      <c r="Y195" s="122"/>
      <c r="Z195" s="122"/>
    </row>
    <row r="196" spans="1:26" ht="12.75" x14ac:dyDescent="0.2">
      <c r="A196" s="122"/>
      <c r="B196" s="180"/>
      <c r="C196" s="227" t="s">
        <v>272</v>
      </c>
      <c r="D196" s="180"/>
      <c r="E196" s="180"/>
      <c r="F196" s="125">
        <f>$F40*F$143*$F48*F$138*F$123/1000</f>
        <v>6.1920799999999998</v>
      </c>
      <c r="G196" s="125">
        <f>$F40*G$143*$F48*G$138*G$123/1000</f>
        <v>6.6812543199999999</v>
      </c>
      <c r="H196" s="125">
        <f>$F40*H$143*$F48*H$138*H$123/1000</f>
        <v>7.2090734112799995</v>
      </c>
      <c r="I196" s="125">
        <f>$F40*I$143*$F48*I$138*I$123/1000</f>
        <v>7.7785902107711191</v>
      </c>
      <c r="J196" s="125">
        <f>$F40*J$143*$F48*J$138*J$123/1000</f>
        <v>8.3930988374220377</v>
      </c>
      <c r="K196" s="125">
        <f>$F40*K$143*$F48*K$138*K$123/1000</f>
        <v>9.0561536455783784</v>
      </c>
      <c r="L196" s="125">
        <f>$F40*L$143*$F48*L$138*L$123/1000</f>
        <v>9.7715897835790688</v>
      </c>
      <c r="M196" s="125">
        <f>$F40*M$143*$F48*M$138*M$123/1000</f>
        <v>10.543545376481816</v>
      </c>
      <c r="N196" s="125">
        <f>$F40*N$143*$F48*N$138*N$123/1000</f>
        <v>11.376485461223879</v>
      </c>
      <c r="O196" s="125">
        <f>$F40*O$143*$F48*O$138*O$123/1000</f>
        <v>12.275227812660566</v>
      </c>
      <c r="P196" s="122"/>
      <c r="Q196" s="122"/>
      <c r="R196" s="122"/>
      <c r="S196" s="122"/>
      <c r="T196" s="122"/>
      <c r="U196" s="122"/>
      <c r="V196" s="122"/>
      <c r="W196" s="122"/>
      <c r="X196" s="122"/>
      <c r="Y196" s="122"/>
      <c r="Z196" s="122"/>
    </row>
    <row r="197" spans="1:26" ht="12.75" x14ac:dyDescent="0.2">
      <c r="A197" s="122"/>
      <c r="B197" s="180"/>
      <c r="C197" s="227" t="s">
        <v>273</v>
      </c>
      <c r="D197" s="180"/>
      <c r="E197" s="180"/>
      <c r="F197" s="125">
        <f>$F41*F$143*$F49*F$138*F$123/1000</f>
        <v>4.386000000000001</v>
      </c>
      <c r="G197" s="125">
        <f>$F41*G$143*$F49*G$138*G$123/1000</f>
        <v>4.7324940000000009</v>
      </c>
      <c r="H197" s="125">
        <f>$F41*H$143*$F49*H$138*H$123/1000</f>
        <v>5.1063610260000001</v>
      </c>
      <c r="I197" s="125">
        <f>$F41*I$143*$F49*I$138*I$123/1000</f>
        <v>5.5097635470540007</v>
      </c>
      <c r="J197" s="125">
        <f>$F41*J$143*$F49*J$138*J$123/1000</f>
        <v>5.945034867271267</v>
      </c>
      <c r="K197" s="125">
        <f>$F41*K$143*$F49*K$138*K$123/1000</f>
        <v>6.4146926217856963</v>
      </c>
      <c r="L197" s="125">
        <f>$F41*L$143*$F49*L$138*L$123/1000</f>
        <v>6.9214533389067663</v>
      </c>
      <c r="M197" s="125">
        <f>$F41*M$143*$F49*M$138*M$123/1000</f>
        <v>7.4682481526804008</v>
      </c>
      <c r="N197" s="125">
        <f>$F41*N$143*$F49*N$138*N$123/1000</f>
        <v>8.058239756742152</v>
      </c>
      <c r="O197" s="125">
        <f>$F41*O$143*$F49*O$138*O$123/1000</f>
        <v>8.6948406975247821</v>
      </c>
      <c r="P197" s="122"/>
      <c r="Q197" s="122"/>
      <c r="R197" s="122"/>
      <c r="S197" s="122"/>
      <c r="T197" s="122"/>
      <c r="U197" s="122"/>
      <c r="V197" s="122"/>
      <c r="W197" s="122"/>
      <c r="X197" s="122"/>
      <c r="Y197" s="122"/>
      <c r="Z197" s="122"/>
    </row>
    <row r="198" spans="1:26" ht="12.75" x14ac:dyDescent="0.2">
      <c r="A198" s="122"/>
      <c r="B198" s="180"/>
      <c r="C198" s="227" t="s">
        <v>274</v>
      </c>
      <c r="D198" s="180"/>
      <c r="E198" s="180"/>
      <c r="F198" s="125">
        <f>$F42*F$143*$F50*F$138*F$123/1000</f>
        <v>3.1008</v>
      </c>
      <c r="G198" s="125">
        <f>$F42*G$143*$F50*G$138*G$123/1000</f>
        <v>3.3457631999999999</v>
      </c>
      <c r="H198" s="125">
        <f>$F42*H$143*$F50*H$138*H$123/1000</f>
        <v>3.6100784928</v>
      </c>
      <c r="I198" s="125">
        <f>$F42*I$143*$F50*I$138*I$123/1000</f>
        <v>3.8952746937311997</v>
      </c>
      <c r="J198" s="125">
        <f>$F42*J$143*$F50*J$138*J$123/1000</f>
        <v>4.2030013945359652</v>
      </c>
      <c r="K198" s="125">
        <f>$F42*K$143*$F50*K$138*K$123/1000</f>
        <v>4.5350385047043051</v>
      </c>
      <c r="L198" s="125">
        <f>$F42*L$143*$F50*L$138*L$123/1000</f>
        <v>4.8933065465759453</v>
      </c>
      <c r="M198" s="125">
        <f>$F42*M$143*$F50*M$138*M$123/1000</f>
        <v>5.2798777637554446</v>
      </c>
      <c r="N198" s="125">
        <f>$F42*N$143*$F50*N$138*N$123/1000</f>
        <v>5.6969881070921256</v>
      </c>
      <c r="O198" s="125">
        <f>$F42*O$143*$F50*O$138*O$123/1000</f>
        <v>6.1470501675524032</v>
      </c>
      <c r="P198" s="122"/>
      <c r="Q198" s="122"/>
      <c r="R198" s="122"/>
      <c r="S198" s="122"/>
      <c r="T198" s="122"/>
      <c r="U198" s="122"/>
      <c r="V198" s="122"/>
      <c r="W198" s="122"/>
      <c r="X198" s="122"/>
      <c r="Y198" s="122"/>
      <c r="Z198" s="122"/>
    </row>
    <row r="199" spans="1:26" ht="12.75" x14ac:dyDescent="0.2">
      <c r="A199" s="122"/>
      <c r="B199" s="180"/>
      <c r="C199" s="227" t="s">
        <v>275</v>
      </c>
      <c r="D199" s="180"/>
      <c r="E199" s="180"/>
      <c r="F199" s="125">
        <f>$F43*F$143*$F51*F$138*F$123/1000</f>
        <v>4.286448</v>
      </c>
      <c r="G199" s="125">
        <f>$F43*G$143*$F51*G$138*G$123/1000</f>
        <v>4.6250773920000006</v>
      </c>
      <c r="H199" s="125">
        <f>$F43*H$143*$F51*H$138*H$123/1000</f>
        <v>4.9904585059679993</v>
      </c>
      <c r="I199" s="125">
        <f>$F43*I$143*$F51*I$138*I$123/1000</f>
        <v>5.3847047279394715</v>
      </c>
      <c r="J199" s="125">
        <f>$F43*J$143*$F51*J$138*J$123/1000</f>
        <v>5.8100964014466898</v>
      </c>
      <c r="K199" s="125">
        <f>$F43*K$143*$F51*K$138*K$123/1000</f>
        <v>6.2690940171609784</v>
      </c>
      <c r="L199" s="125">
        <f>$F43*L$143*$F51*L$138*L$123/1000</f>
        <v>6.764352444516696</v>
      </c>
      <c r="M199" s="125">
        <f>$F43*M$143*$F51*M$138*M$123/1000</f>
        <v>7.2987362876335133</v>
      </c>
      <c r="N199" s="125">
        <f>$F43*N$143*$F51*N$138*N$123/1000</f>
        <v>7.8753364543565612</v>
      </c>
      <c r="O199" s="125">
        <f>$F43*O$143*$F51*O$138*O$123/1000</f>
        <v>8.4974880342507291</v>
      </c>
      <c r="P199" s="122"/>
      <c r="Q199" s="122"/>
      <c r="R199" s="122"/>
      <c r="S199" s="122"/>
      <c r="T199" s="122"/>
      <c r="U199" s="122"/>
      <c r="V199" s="122"/>
      <c r="W199" s="122"/>
      <c r="X199" s="122"/>
      <c r="Y199" s="122"/>
      <c r="Z199" s="122"/>
    </row>
    <row r="200" spans="1:26" ht="12.75" x14ac:dyDescent="0.2">
      <c r="A200" s="122"/>
      <c r="B200" s="180"/>
      <c r="C200" s="152" t="s">
        <v>293</v>
      </c>
      <c r="D200" s="180"/>
      <c r="E200" s="180"/>
      <c r="F200" s="125">
        <f>$F44*F$143*$F52*F$138*F$123/1000</f>
        <v>6.0112000000000005</v>
      </c>
      <c r="G200" s="125">
        <f>$F44*G$143*$F52*G$138*G$123/1000</f>
        <v>6.4860848000000004</v>
      </c>
      <c r="H200" s="125">
        <f>$F44*H$143*$F52*H$138*H$123/1000</f>
        <v>6.9984854992000001</v>
      </c>
      <c r="I200" s="125">
        <f>$F44*I$143*$F52*I$138*I$123/1000</f>
        <v>7.5513658536368</v>
      </c>
      <c r="J200" s="125">
        <f>$F44*J$143*$F52*J$138*J$123/1000</f>
        <v>8.1479237560741069</v>
      </c>
      <c r="K200" s="125">
        <f>$F44*K$143*$F52*K$138*K$123/1000</f>
        <v>8.7916097328039609</v>
      </c>
      <c r="L200" s="125">
        <f>$F44*L$143*$F52*L$138*L$123/1000</f>
        <v>9.4861469016954736</v>
      </c>
      <c r="M200" s="125">
        <f>$F44*M$143*$F52*M$138*M$123/1000</f>
        <v>10.235552506929416</v>
      </c>
      <c r="N200" s="125">
        <f>$F44*N$143*$F52*N$138*N$123/1000</f>
        <v>11.044161154976841</v>
      </c>
      <c r="O200" s="125">
        <f>$F44*O$143*$F52*O$138*O$123/1000</f>
        <v>11.916649886220009</v>
      </c>
      <c r="P200" s="122"/>
      <c r="Q200" s="122"/>
      <c r="R200" s="122"/>
      <c r="S200" s="122"/>
      <c r="T200" s="122"/>
      <c r="U200" s="122"/>
      <c r="V200" s="122"/>
      <c r="W200" s="122"/>
      <c r="X200" s="122"/>
      <c r="Y200" s="122"/>
      <c r="Z200" s="122"/>
    </row>
    <row r="201" spans="1:26" ht="12.75" x14ac:dyDescent="0.2">
      <c r="A201" s="122"/>
      <c r="B201" s="180"/>
      <c r="C201" s="228" t="s">
        <v>278</v>
      </c>
      <c r="D201" s="180"/>
      <c r="E201" s="180"/>
      <c r="F201" s="125">
        <f>$F45*F$143*$F53*F$138*F$123/1000</f>
        <v>31.385400000000001</v>
      </c>
      <c r="G201" s="125">
        <f>$F45*G$143*$F53*G$138*G$123/1000</f>
        <v>33.8648466</v>
      </c>
      <c r="H201" s="125">
        <f>$F45*H$143*$F53*H$138*H$123/1000</f>
        <v>36.5401694814</v>
      </c>
      <c r="I201" s="125">
        <f>$F45*I$143*$F53*I$138*I$123/1000</f>
        <v>39.426842870430598</v>
      </c>
      <c r="J201" s="125">
        <f>$F45*J$143*$F53*J$138*J$123/1000</f>
        <v>42.541563457194613</v>
      </c>
      <c r="K201" s="125">
        <f>$F45*K$143*$F53*K$138*K$123/1000</f>
        <v>45.90234697031299</v>
      </c>
      <c r="L201" s="125">
        <f>$F45*L$143*$F53*L$138*L$123/1000</f>
        <v>49.528632380967714</v>
      </c>
      <c r="M201" s="125">
        <f>$F45*M$143*$F53*M$138*M$123/1000</f>
        <v>53.441394339064161</v>
      </c>
      <c r="N201" s="125">
        <f>$F45*N$143*$F53*N$138*N$123/1000</f>
        <v>57.663264491850228</v>
      </c>
      <c r="O201" s="125">
        <f>$F45*O$143*$F53*O$138*O$123/1000</f>
        <v>62.218662386706399</v>
      </c>
      <c r="P201" s="122"/>
      <c r="Q201" s="122"/>
      <c r="R201" s="122"/>
      <c r="S201" s="122"/>
      <c r="T201" s="122"/>
      <c r="U201" s="122"/>
      <c r="V201" s="122"/>
      <c r="W201" s="122"/>
      <c r="X201" s="122"/>
      <c r="Y201" s="122"/>
      <c r="Z201" s="122"/>
    </row>
    <row r="202" spans="1:26" ht="12.75" x14ac:dyDescent="0.2">
      <c r="A202" s="122"/>
      <c r="B202" s="180"/>
      <c r="C202" s="152" t="s">
        <v>85</v>
      </c>
      <c r="D202" s="180"/>
      <c r="E202" s="180"/>
      <c r="F202" s="125">
        <f>IF(F193&lt;$I$47,$F46*F$143*$F53*F$138*F$123/1000,0)</f>
        <v>0</v>
      </c>
      <c r="G202" s="125">
        <f>IF(G193&lt;$I$47,$F46*G$143*$F53*G$138*G$123/1000,0)</f>
        <v>0</v>
      </c>
      <c r="H202" s="125">
        <f>IF(H193&lt;$I$47,$F46*H$143*$F53*H$138*H$123/1000,0)</f>
        <v>0</v>
      </c>
      <c r="I202" s="125">
        <f>IF(I193&lt;$I$47,$F46*I$143*$F53*I$138*I$123/1000,0)</f>
        <v>0</v>
      </c>
      <c r="J202" s="125">
        <f>IF(J193&lt;$I$47,$F46*J$143*$F53*J$138*J$123/1000,0)</f>
        <v>0</v>
      </c>
      <c r="K202" s="125">
        <f>IF(K193&lt;$I$47,$F46*K$143*$F53*K$138*K$123/1000,0)</f>
        <v>0</v>
      </c>
      <c r="L202" s="125">
        <f>IF(L193&lt;$I$47,$F46*L$143*$F53*L$138*L$123/1000,0)</f>
        <v>0</v>
      </c>
      <c r="M202" s="125">
        <f>IF(M193&lt;$I$47,$F46*M$143*$F53*M$138*M$123/1000,0)</f>
        <v>0</v>
      </c>
      <c r="N202" s="125">
        <f>IF(N193&lt;$I$47,$F46*N$143*$F53*N$138*N$123/1000,0)</f>
        <v>0</v>
      </c>
      <c r="O202" s="125">
        <f>IF(O193&lt;$I$47,$F46*O$143*$F53*O$138*O$123/1000,0)</f>
        <v>0</v>
      </c>
      <c r="P202" s="122"/>
      <c r="Q202" s="122"/>
      <c r="R202" s="122"/>
      <c r="S202" s="122"/>
      <c r="T202" s="122"/>
      <c r="U202" s="122"/>
      <c r="V202" s="122"/>
      <c r="W202" s="122"/>
      <c r="X202" s="122"/>
      <c r="Y202" s="122"/>
      <c r="Z202" s="122"/>
    </row>
    <row r="203" spans="1:26" ht="12.75" x14ac:dyDescent="0.2">
      <c r="A203" s="122"/>
      <c r="B203" s="180"/>
      <c r="C203" s="199" t="s">
        <v>207</v>
      </c>
      <c r="D203" s="182"/>
      <c r="E203" s="182"/>
      <c r="F203" s="127">
        <f>SUM(F196:F202)</f>
        <v>55.361928000000006</v>
      </c>
      <c r="G203" s="127">
        <f t="shared" ref="G203:O203" si="50">SUM(G196:G202)</f>
        <v>59.735520312000006</v>
      </c>
      <c r="H203" s="127">
        <f t="shared" si="50"/>
        <v>64.454626416647997</v>
      </c>
      <c r="I203" s="127">
        <f t="shared" si="50"/>
        <v>69.546541903563195</v>
      </c>
      <c r="J203" s="127">
        <f t="shared" si="50"/>
        <v>75.040718713944685</v>
      </c>
      <c r="K203" s="127">
        <f t="shared" si="50"/>
        <v>80.968935492346304</v>
      </c>
      <c r="L203" s="127">
        <f t="shared" si="50"/>
        <v>87.365481396241677</v>
      </c>
      <c r="M203" s="127">
        <f t="shared" si="50"/>
        <v>94.267354426544756</v>
      </c>
      <c r="N203" s="127">
        <f t="shared" si="50"/>
        <v>101.71447542624179</v>
      </c>
      <c r="O203" s="127">
        <f t="shared" si="50"/>
        <v>109.7499189849149</v>
      </c>
      <c r="P203" s="122"/>
      <c r="Q203" s="122"/>
      <c r="R203" s="122"/>
      <c r="S203" s="122"/>
      <c r="T203" s="122"/>
      <c r="U203" s="122"/>
      <c r="V203" s="122"/>
      <c r="W203" s="122"/>
      <c r="X203" s="122"/>
      <c r="Y203" s="122"/>
      <c r="Z203" s="122"/>
    </row>
    <row r="204" spans="1:26" ht="12.75" x14ac:dyDescent="0.2">
      <c r="A204" s="122"/>
      <c r="B204" s="180"/>
      <c r="C204" s="152"/>
      <c r="D204" s="180"/>
      <c r="E204" s="180"/>
      <c r="F204" s="183"/>
      <c r="G204" s="183"/>
      <c r="H204" s="183"/>
      <c r="I204" s="183"/>
      <c r="J204" s="183"/>
      <c r="K204" s="183"/>
      <c r="L204" s="183"/>
      <c r="M204" s="183"/>
      <c r="N204" s="183"/>
      <c r="O204" s="183"/>
      <c r="P204" s="122"/>
      <c r="Q204" s="122"/>
      <c r="R204" s="122"/>
      <c r="S204" s="122"/>
      <c r="T204" s="122"/>
      <c r="U204" s="122"/>
      <c r="V204" s="122"/>
      <c r="W204" s="122"/>
      <c r="X204" s="122"/>
      <c r="Y204" s="122"/>
      <c r="Z204" s="122"/>
    </row>
    <row r="205" spans="1:26" ht="12.75" x14ac:dyDescent="0.2">
      <c r="A205" s="122"/>
      <c r="B205" s="180"/>
      <c r="C205" s="188" t="s">
        <v>215</v>
      </c>
      <c r="D205" s="180"/>
      <c r="E205" s="180"/>
      <c r="F205" s="183"/>
      <c r="G205" s="183"/>
      <c r="H205" s="183"/>
      <c r="I205" s="183"/>
      <c r="J205" s="183"/>
      <c r="K205" s="183"/>
      <c r="L205" s="183"/>
      <c r="M205" s="183"/>
      <c r="N205" s="183"/>
      <c r="O205" s="183"/>
      <c r="P205" s="122"/>
      <c r="Q205" s="122"/>
      <c r="R205" s="122"/>
      <c r="S205" s="122"/>
      <c r="T205" s="122"/>
      <c r="U205" s="122"/>
      <c r="V205" s="122"/>
      <c r="W205" s="122"/>
      <c r="X205" s="122"/>
      <c r="Y205" s="122"/>
      <c r="Z205" s="122"/>
    </row>
    <row r="206" spans="1:26" ht="12.75" x14ac:dyDescent="0.2">
      <c r="A206" s="122"/>
      <c r="B206" s="180"/>
      <c r="C206" s="155" t="s">
        <v>110</v>
      </c>
      <c r="D206" s="180"/>
      <c r="E206" s="180"/>
      <c r="F206" s="125">
        <f t="shared" ref="F206:O206" si="51">$F$57*F$143*F$123/1000</f>
        <v>2.38</v>
      </c>
      <c r="G206" s="125">
        <f t="shared" si="51"/>
        <v>2.5680200000000002</v>
      </c>
      <c r="H206" s="125">
        <f t="shared" si="51"/>
        <v>2.7708935799999996</v>
      </c>
      <c r="I206" s="125">
        <f t="shared" si="51"/>
        <v>2.9897941728199999</v>
      </c>
      <c r="J206" s="125">
        <f t="shared" si="51"/>
        <v>3.2259879124727799</v>
      </c>
      <c r="K206" s="125">
        <f t="shared" si="51"/>
        <v>3.4808409575581289</v>
      </c>
      <c r="L206" s="125">
        <f t="shared" si="51"/>
        <v>3.7558273932052213</v>
      </c>
      <c r="M206" s="125">
        <f t="shared" si="51"/>
        <v>4.0525377572684329</v>
      </c>
      <c r="N206" s="125">
        <f t="shared" si="51"/>
        <v>4.3726882400926401</v>
      </c>
      <c r="O206" s="125">
        <f t="shared" si="51"/>
        <v>4.7181306110599577</v>
      </c>
      <c r="P206" s="122"/>
      <c r="Q206" s="122"/>
      <c r="R206" s="122"/>
      <c r="S206" s="122"/>
      <c r="T206" s="122"/>
      <c r="U206" s="122"/>
      <c r="V206" s="122"/>
      <c r="W206" s="122"/>
      <c r="X206" s="122"/>
      <c r="Y206" s="122"/>
      <c r="Z206" s="122"/>
    </row>
    <row r="207" spans="1:26" ht="12.75" x14ac:dyDescent="0.2">
      <c r="A207" s="122"/>
      <c r="B207" s="180"/>
      <c r="C207" s="184" t="s">
        <v>283</v>
      </c>
      <c r="D207" s="185"/>
      <c r="E207" s="185"/>
      <c r="F207" s="186">
        <f t="shared" ref="F207:O207" si="52">($F$59+$F$59*(F$143-1)*($F$58))/1000*F$123</f>
        <v>2.5110399999999999</v>
      </c>
      <c r="G207" s="186">
        <f t="shared" si="52"/>
        <v>2.7094121599999998</v>
      </c>
      <c r="H207" s="186">
        <f t="shared" si="52"/>
        <v>2.9234557206399994</v>
      </c>
      <c r="I207" s="186">
        <f t="shared" si="52"/>
        <v>3.1544087225705595</v>
      </c>
      <c r="J207" s="186">
        <f t="shared" si="52"/>
        <v>3.4036070116536341</v>
      </c>
      <c r="K207" s="186">
        <f t="shared" si="52"/>
        <v>3.6724919655742707</v>
      </c>
      <c r="L207" s="186">
        <f t="shared" si="52"/>
        <v>3.962618830854638</v>
      </c>
      <c r="M207" s="186">
        <f t="shared" si="52"/>
        <v>4.2756657184921538</v>
      </c>
      <c r="N207" s="186">
        <f t="shared" si="52"/>
        <v>4.6134433102530341</v>
      </c>
      <c r="O207" s="186">
        <f t="shared" si="52"/>
        <v>4.977905331763024</v>
      </c>
      <c r="P207" s="122"/>
      <c r="Q207" s="122"/>
      <c r="R207" s="122"/>
      <c r="S207" s="122"/>
      <c r="T207" s="122"/>
      <c r="U207" s="122"/>
      <c r="V207" s="122"/>
      <c r="W207" s="122"/>
      <c r="X207" s="122"/>
      <c r="Y207" s="122"/>
      <c r="Z207" s="122"/>
    </row>
    <row r="208" spans="1:26" ht="12.75" x14ac:dyDescent="0.2">
      <c r="A208" s="122"/>
      <c r="B208" s="180"/>
      <c r="C208" s="199" t="s">
        <v>216</v>
      </c>
      <c r="D208" s="182"/>
      <c r="E208" s="182"/>
      <c r="F208" s="127">
        <f>SUM(F206:F207)</f>
        <v>4.8910400000000003</v>
      </c>
      <c r="G208" s="127">
        <f t="shared" ref="G208:O208" si="53">SUM(G206:G207)</f>
        <v>5.27743216</v>
      </c>
      <c r="H208" s="127">
        <f t="shared" si="53"/>
        <v>5.694349300639999</v>
      </c>
      <c r="I208" s="127">
        <f t="shared" si="53"/>
        <v>6.1442028953905599</v>
      </c>
      <c r="J208" s="127">
        <f t="shared" si="53"/>
        <v>6.6295949241264136</v>
      </c>
      <c r="K208" s="127">
        <f t="shared" si="53"/>
        <v>7.1533329231323997</v>
      </c>
      <c r="L208" s="127">
        <f t="shared" si="53"/>
        <v>7.7184462240598588</v>
      </c>
      <c r="M208" s="127">
        <f t="shared" si="53"/>
        <v>8.3282034757605867</v>
      </c>
      <c r="N208" s="127">
        <f t="shared" si="53"/>
        <v>8.9861315503456751</v>
      </c>
      <c r="O208" s="127">
        <f t="shared" si="53"/>
        <v>9.6960359428229808</v>
      </c>
      <c r="P208" s="122"/>
      <c r="Q208" s="122"/>
      <c r="R208" s="122"/>
      <c r="S208" s="122"/>
      <c r="T208" s="122"/>
      <c r="U208" s="122"/>
      <c r="V208" s="122"/>
      <c r="W208" s="122"/>
      <c r="X208" s="122"/>
      <c r="Y208" s="122"/>
      <c r="Z208" s="122"/>
    </row>
    <row r="209" spans="1:26" ht="12.75" x14ac:dyDescent="0.2">
      <c r="A209" s="122"/>
      <c r="B209" s="180"/>
      <c r="C209" s="155"/>
      <c r="D209" s="180"/>
      <c r="E209" s="180"/>
      <c r="F209" s="183"/>
      <c r="G209" s="183"/>
      <c r="H209" s="183"/>
      <c r="I209" s="183"/>
      <c r="J209" s="183"/>
      <c r="K209" s="183"/>
      <c r="L209" s="183"/>
      <c r="M209" s="183"/>
      <c r="N209" s="183"/>
      <c r="O209" s="183"/>
      <c r="P209" s="122"/>
      <c r="Q209" s="122"/>
      <c r="R209" s="122"/>
      <c r="S209" s="122"/>
      <c r="T209" s="122"/>
      <c r="U209" s="122"/>
      <c r="V209" s="122"/>
      <c r="W209" s="122"/>
      <c r="X209" s="122"/>
      <c r="Y209" s="122"/>
      <c r="Z209" s="122"/>
    </row>
    <row r="210" spans="1:26" ht="12.75" x14ac:dyDescent="0.2">
      <c r="A210" s="122"/>
      <c r="B210" s="180"/>
      <c r="C210" s="188" t="s">
        <v>219</v>
      </c>
      <c r="D210" s="180"/>
      <c r="E210" s="180"/>
      <c r="F210" s="183"/>
      <c r="G210" s="183"/>
      <c r="H210" s="183"/>
      <c r="I210" s="183"/>
      <c r="J210" s="183"/>
      <c r="K210" s="183"/>
      <c r="L210" s="183"/>
      <c r="M210" s="183"/>
      <c r="N210" s="183"/>
      <c r="O210" s="183"/>
      <c r="P210" s="122"/>
      <c r="Q210" s="122"/>
      <c r="R210" s="122"/>
      <c r="S210" s="122"/>
      <c r="T210" s="122"/>
      <c r="U210" s="122"/>
      <c r="V210" s="122"/>
      <c r="W210" s="122"/>
      <c r="X210" s="122"/>
      <c r="Y210" s="122"/>
      <c r="Z210" s="122"/>
    </row>
    <row r="211" spans="1:26" ht="12.75" x14ac:dyDescent="0.2">
      <c r="A211" s="122"/>
      <c r="B211" s="180"/>
      <c r="C211" s="152" t="s">
        <v>92</v>
      </c>
      <c r="D211" s="180"/>
      <c r="E211" s="180"/>
      <c r="F211" s="125">
        <f>F176*(1+$F$79)</f>
        <v>5.1000000000000005</v>
      </c>
      <c r="G211" s="125">
        <f t="shared" ref="G211:O211" si="54">G176*(1+$F$79)</f>
        <v>5.5029000000000003</v>
      </c>
      <c r="H211" s="125">
        <f t="shared" si="54"/>
        <v>5.9376290999999997</v>
      </c>
      <c r="I211" s="125">
        <f t="shared" si="54"/>
        <v>6.4067017989000004</v>
      </c>
      <c r="J211" s="125">
        <f t="shared" si="54"/>
        <v>6.9128312410130999</v>
      </c>
      <c r="K211" s="125">
        <f t="shared" si="54"/>
        <v>7.4589449090531348</v>
      </c>
      <c r="L211" s="125">
        <f t="shared" si="54"/>
        <v>8.0482015568683316</v>
      </c>
      <c r="M211" s="125">
        <f t="shared" si="54"/>
        <v>8.6840094798609293</v>
      </c>
      <c r="N211" s="125">
        <f t="shared" si="54"/>
        <v>9.3700462287699438</v>
      </c>
      <c r="O211" s="125">
        <f t="shared" si="54"/>
        <v>10.110279880842768</v>
      </c>
      <c r="P211" s="122"/>
      <c r="Q211" s="122"/>
      <c r="R211" s="122"/>
      <c r="S211" s="122"/>
      <c r="T211" s="122"/>
      <c r="U211" s="122"/>
      <c r="V211" s="122"/>
      <c r="W211" s="122"/>
      <c r="X211" s="122"/>
      <c r="Y211" s="122"/>
      <c r="Z211" s="122"/>
    </row>
    <row r="212" spans="1:26" ht="12.75" x14ac:dyDescent="0.2">
      <c r="A212" s="122"/>
      <c r="B212" s="180"/>
      <c r="C212" s="152" t="s">
        <v>96</v>
      </c>
      <c r="D212" s="180"/>
      <c r="E212" s="180"/>
      <c r="F212" s="125">
        <f>$F63*F$143*$F72/1000*F$123*F$140*(1+$F$79)</f>
        <v>0.637432</v>
      </c>
      <c r="G212" s="125">
        <f>$F63*G$143*$F72/1000*G$123*G$140*(1+$F$79)</f>
        <v>0.68778912800000003</v>
      </c>
      <c r="H212" s="125">
        <f>$F63*H$143*$F72/1000*H$123*H$140*(1+$F$79)</f>
        <v>0.74212446911199992</v>
      </c>
      <c r="I212" s="125">
        <f>$F63*I$143*$F72/1000*I$123*I$140*(1+$F$79)</f>
        <v>0.8007523021718479</v>
      </c>
      <c r="J212" s="125">
        <f>$F63*J$143*$F72/1000*J$123*J$140*(1+$F$79)</f>
        <v>0.86401173404342391</v>
      </c>
      <c r="K212" s="125">
        <f>$F63*K$143*$F72/1000*K$123*K$140*(1+$F$79)</f>
        <v>0.93226866103285433</v>
      </c>
      <c r="L212" s="125">
        <f>$F63*L$143*$F72/1000*L$123*L$140*(1+$F$79)</f>
        <v>1.0059178852544499</v>
      </c>
      <c r="M212" s="125">
        <f>$F63*M$143*$F72/1000*M$123*M$140*(1+$F$79)</f>
        <v>1.0853853981895514</v>
      </c>
      <c r="N212" s="125">
        <f>$F63*N$143*$F72/1000*N$123*N$140*(1+$F$79)</f>
        <v>1.1711308446465258</v>
      </c>
      <c r="O212" s="125">
        <f>$F63*O$143*$F72/1000*O$123*O$140*(1+$F$79)</f>
        <v>1.2636501813736014</v>
      </c>
      <c r="P212" s="122"/>
      <c r="Q212" s="122"/>
      <c r="R212" s="122"/>
      <c r="S212" s="122"/>
      <c r="T212" s="122"/>
      <c r="U212" s="122"/>
      <c r="V212" s="122"/>
      <c r="W212" s="122"/>
      <c r="X212" s="122"/>
      <c r="Y212" s="122"/>
      <c r="Z212" s="122"/>
    </row>
    <row r="213" spans="1:26" ht="12.75" x14ac:dyDescent="0.2">
      <c r="A213" s="122"/>
      <c r="B213" s="180"/>
      <c r="C213" s="152" t="s">
        <v>99</v>
      </c>
      <c r="D213" s="180"/>
      <c r="E213" s="180"/>
      <c r="F213" s="125">
        <f>$F64*F$143*$F73/1000*F$125*(1+$F$79)*F$130</f>
        <v>1.8117352064000001</v>
      </c>
      <c r="G213" s="125">
        <f>$F64*G$143*$F73/1000*G$125*(1+$F$79)*G$130</f>
        <v>1.9548622877055999</v>
      </c>
      <c r="H213" s="125">
        <f>$F64*H$143*$F73/1000*H$125*(1+$F$79)*H$130</f>
        <v>2.109296408434342</v>
      </c>
      <c r="I213" s="125">
        <f>$F64*I$143*$F73/1000*I$125*(1+$F$79)*I$130</f>
        <v>2.2759308247006551</v>
      </c>
      <c r="J213" s="125">
        <f>$F64*J$143*$F73/1000*J$125*(1+$F$79)*J$130</f>
        <v>2.4557293598520067</v>
      </c>
      <c r="K213" s="125">
        <f>$F64*K$143*$F73/1000*K$125*(1+$F$79)*K$130</f>
        <v>2.6497319792803156</v>
      </c>
      <c r="L213" s="125">
        <f>$F64*L$143*$F73/1000*L$125*(1+$F$79)*L$130</f>
        <v>2.8590608056434603</v>
      </c>
      <c r="M213" s="125">
        <f>$F64*M$143*$F73/1000*M$125*(1+$F$79)*M$130</f>
        <v>3.084926609289294</v>
      </c>
      <c r="N213" s="125">
        <f>$F64*N$143*$F73/1000*N$125*(1+$F$79)*N$130</f>
        <v>3.3286358114231476</v>
      </c>
      <c r="O213" s="125">
        <f>$F64*O$143*$F73/1000*O$125*(1+$F$79)*O$130</f>
        <v>3.5915980405255761</v>
      </c>
      <c r="P213" s="122"/>
      <c r="Q213" s="122"/>
      <c r="R213" s="122"/>
      <c r="S213" s="122"/>
      <c r="T213" s="122"/>
      <c r="U213" s="122"/>
      <c r="V213" s="122"/>
      <c r="W213" s="122"/>
      <c r="X213" s="122"/>
      <c r="Y213" s="122"/>
      <c r="Z213" s="122"/>
    </row>
    <row r="214" spans="1:26" ht="12.75" x14ac:dyDescent="0.2">
      <c r="A214" s="122"/>
      <c r="B214" s="180"/>
      <c r="C214" s="152" t="s">
        <v>102</v>
      </c>
      <c r="D214" s="180"/>
      <c r="E214" s="180"/>
      <c r="F214" s="125">
        <f>$F65*F$143*$F74/1000*F$125*(1+$F$79)*F$130</f>
        <v>7.8288557759999993</v>
      </c>
      <c r="G214" s="125">
        <f>$F65*G$143*$F74/1000*G$125*(1+$F$79)*G$130</f>
        <v>8.4473353823039989</v>
      </c>
      <c r="H214" s="125">
        <f>$F65*H$143*$F74/1000*H$125*(1+$F$79)*H$130</f>
        <v>9.1146748775060136</v>
      </c>
      <c r="I214" s="125">
        <f>$F65*I$143*$F74/1000*I$125*(1+$F$79)*I$130</f>
        <v>9.8347341928289893</v>
      </c>
      <c r="J214" s="125">
        <f>$F65*J$143*$F74/1000*J$125*(1+$F$79)*J$130</f>
        <v>10.611678194062479</v>
      </c>
      <c r="K214" s="125">
        <f>$F65*K$143*$F74/1000*K$125*(1+$F$79)*K$130</f>
        <v>11.450000771393414</v>
      </c>
      <c r="L214" s="125">
        <f>$F65*L$143*$F74/1000*L$125*(1+$F$79)*L$130</f>
        <v>12.354550832333494</v>
      </c>
      <c r="M214" s="125">
        <f>$F65*M$143*$F74/1000*M$125*(1+$F$79)*M$130</f>
        <v>13.330560348087841</v>
      </c>
      <c r="N214" s="125">
        <f>$F65*N$143*$F74/1000*N$125*(1+$F$79)*N$130</f>
        <v>14.383674615586779</v>
      </c>
      <c r="O214" s="125">
        <f>$F65*O$143*$F74/1000*O$125*(1+$F$79)*O$130</f>
        <v>15.519984910218135</v>
      </c>
      <c r="P214" s="122"/>
      <c r="Q214" s="122"/>
      <c r="R214" s="122"/>
      <c r="S214" s="122"/>
      <c r="T214" s="122"/>
      <c r="U214" s="122"/>
      <c r="V214" s="122"/>
      <c r="W214" s="122"/>
      <c r="X214" s="122"/>
      <c r="Y214" s="122"/>
      <c r="Z214" s="122"/>
    </row>
    <row r="215" spans="1:26" ht="12.75" x14ac:dyDescent="0.2">
      <c r="A215" s="122"/>
      <c r="B215" s="180"/>
      <c r="C215" s="152" t="s">
        <v>418</v>
      </c>
      <c r="D215" s="180"/>
      <c r="E215" s="180"/>
      <c r="F215" s="125">
        <f>$F66*F$143*$F75/1000*F$125*(1+$F$79)*F$130</f>
        <v>3.7944000000000009</v>
      </c>
      <c r="G215" s="125">
        <f>$F66*G$143*$F75/1000*G$125*(1+$F$79)*G$130</f>
        <v>4.0941576000000008</v>
      </c>
      <c r="H215" s="125">
        <f>$F66*H$143*$F75/1000*H$125*(1+$F$79)*H$130</f>
        <v>4.4175960504000003</v>
      </c>
      <c r="I215" s="125">
        <f>$F66*I$143*$F75/1000*I$125*(1+$F$79)*I$130</f>
        <v>4.7665861383816006</v>
      </c>
      <c r="J215" s="125">
        <f>$F66*J$143*$F75/1000*J$125*(1+$F$79)*J$130</f>
        <v>5.1431464433137464</v>
      </c>
      <c r="K215" s="125">
        <f>$F66*K$143*$F75/1000*K$125*(1+$F$79)*K$130</f>
        <v>5.5494550123355326</v>
      </c>
      <c r="L215" s="125">
        <f>$F66*L$143*$F75/1000*L$125*(1+$F$79)*L$130</f>
        <v>5.9878619583100399</v>
      </c>
      <c r="M215" s="125">
        <f>$F66*M$143*$F75/1000*M$125*(1+$F$79)*M$130</f>
        <v>6.4609030530165326</v>
      </c>
      <c r="N215" s="125">
        <f>$F66*N$143*$F75/1000*N$125*(1+$F$79)*N$130</f>
        <v>6.971314394204839</v>
      </c>
      <c r="O215" s="125">
        <f>$F66*O$143*$F75/1000*O$125*(1+$F$79)*O$130</f>
        <v>7.5220482313470205</v>
      </c>
      <c r="P215" s="122"/>
      <c r="Q215" s="122"/>
      <c r="R215" s="122"/>
      <c r="S215" s="122"/>
      <c r="T215" s="122"/>
      <c r="U215" s="122"/>
      <c r="V215" s="122"/>
      <c r="W215" s="122"/>
      <c r="X215" s="122"/>
      <c r="Y215" s="122"/>
      <c r="Z215" s="122"/>
    </row>
    <row r="216" spans="1:26" ht="12.75" x14ac:dyDescent="0.2">
      <c r="A216" s="122"/>
      <c r="B216" s="180"/>
      <c r="C216" s="152" t="s">
        <v>105</v>
      </c>
      <c r="D216" s="180"/>
      <c r="E216" s="180"/>
      <c r="F216" s="125">
        <f>$F67*F$143*$F76/1000*F$125*(1+$F$79)*F$130</f>
        <v>2.3028879999999998</v>
      </c>
      <c r="G216" s="125">
        <f>$F67*G$143*$F76/1000*G$125*(1+$F$79)*G$130</f>
        <v>2.4848161519999996</v>
      </c>
      <c r="H216" s="125">
        <f>$F67*H$143*$F76/1000*H$125*(1+$F$79)*H$130</f>
        <v>2.6811166280079997</v>
      </c>
      <c r="I216" s="125">
        <f>$F67*I$143*$F76/1000*I$125*(1+$F$79)*I$130</f>
        <v>2.8929248416206317</v>
      </c>
      <c r="J216" s="125">
        <f>$F67*J$143*$F76/1000*J$125*(1+$F$79)*J$130</f>
        <v>3.1214659041086614</v>
      </c>
      <c r="K216" s="125">
        <f>$F67*K$143*$F76/1000*K$125*(1+$F$79)*K$130</f>
        <v>3.3680617105332455</v>
      </c>
      <c r="L216" s="125">
        <f>$F67*L$143*$F76/1000*L$125*(1+$F$79)*L$130</f>
        <v>3.6341385856653718</v>
      </c>
      <c r="M216" s="125">
        <f>$F67*M$143*$F76/1000*M$125*(1+$F$79)*M$130</f>
        <v>3.9212355339329368</v>
      </c>
      <c r="N216" s="125">
        <f>$F67*N$143*$F76/1000*N$125*(1+$F$79)*N$130</f>
        <v>4.2310131411136389</v>
      </c>
      <c r="O216" s="125">
        <f>$F67*O$143*$F76/1000*O$125*(1+$F$79)*O$130</f>
        <v>4.5652631792616152</v>
      </c>
      <c r="P216" s="122"/>
      <c r="Q216" s="122"/>
      <c r="R216" s="122"/>
      <c r="S216" s="122"/>
      <c r="T216" s="122"/>
      <c r="U216" s="122"/>
      <c r="V216" s="122"/>
      <c r="W216" s="122"/>
      <c r="X216" s="122"/>
      <c r="Y216" s="122"/>
      <c r="Z216" s="122"/>
    </row>
    <row r="217" spans="1:26" ht="12.75" x14ac:dyDescent="0.2">
      <c r="A217" s="122"/>
      <c r="B217" s="180"/>
      <c r="C217" s="152" t="s">
        <v>108</v>
      </c>
      <c r="D217" s="180"/>
      <c r="E217" s="180"/>
      <c r="F217" s="125">
        <f>ROUNDUP(F156*1000/$F$68,0)*$F77/1000*F$123</f>
        <v>1.5</v>
      </c>
      <c r="G217" s="125">
        <f>ROUNDUP(G156*1000/$F$68,0)*$F77/1000*G$123</f>
        <v>1.6185</v>
      </c>
      <c r="H217" s="125">
        <f>ROUNDUP(H156*1000/$F$68,0)*$F77/1000*H$123</f>
        <v>1.7463614999999999</v>
      </c>
      <c r="I217" s="125">
        <f>ROUNDUP(I156*1000/$F$68,0)*$F77/1000*I$123</f>
        <v>2.0099456623999998</v>
      </c>
      <c r="J217" s="125">
        <f>ROUNDUP(J156*1000/$F$68,0)*$F77/1000*J$123</f>
        <v>2.1687313697296</v>
      </c>
      <c r="K217" s="125">
        <f>ROUNDUP(K156*1000/$F$68,0)*$F77/1000*K$123</f>
        <v>2.3400611479382381</v>
      </c>
      <c r="L217" s="125">
        <f>ROUNDUP(L156*1000/$F$68,0)*$F77/1000*L$123</f>
        <v>2.6827338522894437</v>
      </c>
      <c r="M217" s="125">
        <f>ROUNDUP(M156*1000/$F$68,0)*$F77/1000*M$123</f>
        <v>2.8946698266203095</v>
      </c>
      <c r="N217" s="125">
        <f>ROUNDUP(N156*1000/$F$68,0)*$F77/1000*N$123</f>
        <v>3.3070751395658622</v>
      </c>
      <c r="O217" s="125">
        <f>ROUNDUP(O156*1000/$F$68,0)*$F77/1000*O$123</f>
        <v>3.5683340755915651</v>
      </c>
      <c r="P217" s="122"/>
      <c r="Q217" s="122"/>
      <c r="R217" s="122"/>
      <c r="S217" s="122"/>
      <c r="T217" s="122"/>
      <c r="U217" s="122"/>
      <c r="V217" s="122"/>
      <c r="W217" s="122"/>
      <c r="X217" s="122"/>
      <c r="Y217" s="122"/>
      <c r="Z217" s="122"/>
    </row>
    <row r="218" spans="1:26" ht="12.75" x14ac:dyDescent="0.2">
      <c r="A218" s="122"/>
      <c r="B218" s="180"/>
      <c r="C218" s="198" t="s">
        <v>217</v>
      </c>
      <c r="D218" s="182"/>
      <c r="E218" s="182"/>
      <c r="F218" s="187">
        <f>SUM(F211:F217)</f>
        <v>22.9753109824</v>
      </c>
      <c r="G218" s="187">
        <f t="shared" ref="G218:N218" si="55">SUM(G211:G217)</f>
        <v>24.790360550009606</v>
      </c>
      <c r="H218" s="187">
        <f t="shared" si="55"/>
        <v>26.748799033460351</v>
      </c>
      <c r="I218" s="187">
        <f t="shared" si="55"/>
        <v>28.987575761003725</v>
      </c>
      <c r="J218" s="187">
        <f t="shared" si="55"/>
        <v>31.277594246123016</v>
      </c>
      <c r="K218" s="187">
        <f t="shared" si="55"/>
        <v>33.74852419156673</v>
      </c>
      <c r="L218" s="187">
        <f t="shared" si="55"/>
        <v>36.572465476364592</v>
      </c>
      <c r="M218" s="187">
        <f t="shared" si="55"/>
        <v>39.461690248997392</v>
      </c>
      <c r="N218" s="187">
        <f t="shared" si="55"/>
        <v>42.762890175310737</v>
      </c>
      <c r="O218" s="187">
        <f>SUM(O211:O217)</f>
        <v>46.141158499160277</v>
      </c>
      <c r="P218" s="122"/>
      <c r="Q218" s="122"/>
      <c r="R218" s="122"/>
      <c r="S218" s="122"/>
      <c r="T218" s="122"/>
      <c r="U218" s="122"/>
      <c r="V218" s="122"/>
      <c r="W218" s="122"/>
      <c r="X218" s="122"/>
      <c r="Y218" s="122"/>
      <c r="Z218" s="122"/>
    </row>
    <row r="219" spans="1:26" ht="12.75" x14ac:dyDescent="0.2">
      <c r="A219" s="122"/>
      <c r="B219" s="180"/>
      <c r="C219" s="189"/>
      <c r="D219" s="201"/>
      <c r="E219" s="201"/>
      <c r="F219" s="202"/>
      <c r="G219" s="202"/>
      <c r="H219" s="202"/>
      <c r="I219" s="202"/>
      <c r="J219" s="202"/>
      <c r="K219" s="202"/>
      <c r="L219" s="202"/>
      <c r="M219" s="202"/>
      <c r="N219" s="202"/>
      <c r="O219" s="202"/>
      <c r="P219" s="122"/>
      <c r="Q219" s="122"/>
      <c r="R219" s="122"/>
      <c r="S219" s="122"/>
      <c r="T219" s="122"/>
      <c r="U219" s="122"/>
      <c r="V219" s="122"/>
      <c r="W219" s="122"/>
      <c r="X219" s="122"/>
      <c r="Y219" s="122"/>
      <c r="Z219" s="122"/>
    </row>
    <row r="220" spans="1:26" ht="12.75" x14ac:dyDescent="0.2">
      <c r="A220" s="122"/>
      <c r="B220" s="180"/>
      <c r="C220" s="188" t="s">
        <v>287</v>
      </c>
      <c r="D220" s="201"/>
      <c r="E220" s="201"/>
      <c r="F220" s="202"/>
      <c r="G220" s="202"/>
      <c r="H220" s="202"/>
      <c r="I220" s="202"/>
      <c r="J220" s="202"/>
      <c r="K220" s="202"/>
      <c r="L220" s="202"/>
      <c r="M220" s="202"/>
      <c r="N220" s="202"/>
      <c r="O220" s="202"/>
      <c r="P220" s="122"/>
      <c r="Q220" s="122"/>
      <c r="R220" s="122"/>
      <c r="S220" s="122"/>
      <c r="T220" s="122"/>
      <c r="U220" s="122"/>
      <c r="V220" s="122"/>
      <c r="W220" s="122"/>
      <c r="X220" s="122"/>
      <c r="Y220" s="122"/>
      <c r="Z220" s="122"/>
    </row>
    <row r="221" spans="1:26" ht="12.75" x14ac:dyDescent="0.2">
      <c r="A221" s="122"/>
      <c r="B221" s="180"/>
      <c r="C221" s="155" t="s">
        <v>375</v>
      </c>
      <c r="D221" s="201"/>
      <c r="E221" s="201"/>
      <c r="F221" s="190">
        <f>$F86*F$123/1000*F$156</f>
        <v>1.349742500779221</v>
      </c>
      <c r="G221" s="190">
        <f>$F86*G$123/1000*G$156</f>
        <v>1.4909406629649395</v>
      </c>
      <c r="H221" s="190">
        <f>$F86*H$123/1000*H$156</f>
        <v>1.6466957813254486</v>
      </c>
      <c r="I221" s="190">
        <f>$F86*I$123/1000*I$156</f>
        <v>1.8184927167032197</v>
      </c>
      <c r="J221" s="190">
        <f>$F86*J$123/1000*J$156</f>
        <v>2.0079665916666056</v>
      </c>
      <c r="K221" s="190">
        <f>$F86*K$123/1000*K$156</f>
        <v>2.2169179049508414</v>
      </c>
      <c r="L221" s="190">
        <f>$F86*L$123/1000*L$156</f>
        <v>2.4473291591976749</v>
      </c>
      <c r="M221" s="190">
        <f>$F86*M$123/1000*M$156</f>
        <v>2.7013831529662458</v>
      </c>
      <c r="N221" s="190">
        <f>$F86*N$123/1000*N$156</f>
        <v>2.9814831030072075</v>
      </c>
      <c r="O221" s="190">
        <f>$F86*O$123/1000*O$156</f>
        <v>3.2902747793025178</v>
      </c>
      <c r="P221" s="122"/>
      <c r="Q221" s="122"/>
      <c r="R221" s="122"/>
      <c r="S221" s="122"/>
      <c r="T221" s="122"/>
      <c r="U221" s="122"/>
      <c r="V221" s="122"/>
      <c r="W221" s="122"/>
      <c r="X221" s="122"/>
      <c r="Y221" s="122"/>
      <c r="Z221" s="122"/>
    </row>
    <row r="222" spans="1:26" ht="12.75" x14ac:dyDescent="0.2">
      <c r="A222" s="122"/>
      <c r="B222" s="180"/>
      <c r="C222" s="184" t="s">
        <v>284</v>
      </c>
      <c r="D222" s="185"/>
      <c r="E222" s="185"/>
      <c r="F222" s="186">
        <f>$F87*F$123/1000*(F$156+F$154+F$155)</f>
        <v>1.2028411200000004</v>
      </c>
      <c r="G222" s="186">
        <f>$F87*G$123/1000*(G$156+G$154+G$155)</f>
        <v>1.3212271487126404</v>
      </c>
      <c r="H222" s="186">
        <f>$F87*H$123/1000*(H$156+H$154+H$155)</f>
        <v>1.4512649671432356</v>
      </c>
      <c r="I222" s="186">
        <f>$F87*I$123/1000*(I$156+I$154+I$155)</f>
        <v>1.5941013677394074</v>
      </c>
      <c r="J222" s="186">
        <f>$F87*J$123/1000*(J$156+J$154+J$155)</f>
        <v>1.7509960125550548</v>
      </c>
      <c r="K222" s="186">
        <f>$F87*K$123/1000*(K$156+K$154+K$155)</f>
        <v>1.923332542102749</v>
      </c>
      <c r="L222" s="186">
        <f>$F87*L$123/1000*(L$156+L$154+L$155)</f>
        <v>2.1126307775615851</v>
      </c>
      <c r="M222" s="186">
        <f>$F87*M$123/1000*(M$156+M$154+M$155)</f>
        <v>2.3205601239507514</v>
      </c>
      <c r="N222" s="186">
        <f>$F87*N$123/1000*(N$156+N$154+N$155)</f>
        <v>2.5489542924702326</v>
      </c>
      <c r="O222" s="186">
        <f>$F87*O$123/1000*(O$156+O$154+O$155)</f>
        <v>2.7998274718437375</v>
      </c>
      <c r="P222" s="122"/>
      <c r="Q222" s="122"/>
      <c r="R222" s="122"/>
      <c r="S222" s="122"/>
      <c r="T222" s="122"/>
      <c r="U222" s="122"/>
      <c r="V222" s="122"/>
      <c r="W222" s="122"/>
      <c r="X222" s="122"/>
      <c r="Y222" s="122"/>
      <c r="Z222" s="122"/>
    </row>
    <row r="223" spans="1:26" ht="12.75" x14ac:dyDescent="0.2">
      <c r="A223" s="122"/>
      <c r="B223" s="180"/>
      <c r="C223" s="189" t="s">
        <v>289</v>
      </c>
      <c r="D223" s="201"/>
      <c r="E223" s="201"/>
      <c r="F223" s="202">
        <f>SUM(F221:F222)</f>
        <v>2.5525836207792212</v>
      </c>
      <c r="G223" s="202">
        <f t="shared" ref="G223:O223" si="56">SUM(G221:G222)</f>
        <v>2.8121678116775799</v>
      </c>
      <c r="H223" s="202">
        <f t="shared" si="56"/>
        <v>3.097960748468684</v>
      </c>
      <c r="I223" s="202">
        <f t="shared" si="56"/>
        <v>3.412594084442627</v>
      </c>
      <c r="J223" s="202">
        <f t="shared" si="56"/>
        <v>3.7589626042216606</v>
      </c>
      <c r="K223" s="202">
        <f t="shared" si="56"/>
        <v>4.1402504470535906</v>
      </c>
      <c r="L223" s="202">
        <f t="shared" si="56"/>
        <v>4.5599599367592596</v>
      </c>
      <c r="M223" s="202">
        <f t="shared" si="56"/>
        <v>5.0219432769169972</v>
      </c>
      <c r="N223" s="202">
        <f t="shared" si="56"/>
        <v>5.5304373954774402</v>
      </c>
      <c r="O223" s="202">
        <f t="shared" si="56"/>
        <v>6.0901022511462557</v>
      </c>
      <c r="P223" s="122"/>
      <c r="Q223" s="122"/>
      <c r="R223" s="122"/>
      <c r="S223" s="122"/>
      <c r="T223" s="122"/>
      <c r="U223" s="122"/>
      <c r="V223" s="122"/>
      <c r="W223" s="122"/>
      <c r="X223" s="122"/>
      <c r="Y223" s="122"/>
      <c r="Z223" s="122"/>
    </row>
    <row r="224" spans="1:26" ht="12.75" x14ac:dyDescent="0.2">
      <c r="A224" s="122"/>
      <c r="B224" s="122"/>
      <c r="C224" s="173"/>
      <c r="D224" s="122"/>
      <c r="E224" s="122"/>
      <c r="F224" s="122"/>
      <c r="G224" s="122"/>
      <c r="H224" s="122"/>
      <c r="I224" s="122"/>
      <c r="J224" s="122"/>
      <c r="K224" s="122"/>
      <c r="L224" s="122"/>
      <c r="M224" s="122"/>
      <c r="N224" s="122"/>
      <c r="O224" s="122"/>
      <c r="P224" s="122"/>
      <c r="Q224" s="122"/>
      <c r="R224" s="122"/>
      <c r="S224" s="122"/>
      <c r="T224" s="122"/>
      <c r="U224" s="122"/>
      <c r="V224" s="122"/>
      <c r="W224" s="122"/>
      <c r="X224" s="122"/>
      <c r="Y224" s="122"/>
      <c r="Z224" s="122"/>
    </row>
    <row r="225" spans="1:26" ht="12.75" x14ac:dyDescent="0.2">
      <c r="A225" s="122"/>
      <c r="B225" s="179" t="s">
        <v>227</v>
      </c>
      <c r="C225" s="155"/>
      <c r="D225" s="180"/>
      <c r="E225" s="180"/>
      <c r="F225" s="180"/>
      <c r="G225" s="180"/>
      <c r="H225" s="180"/>
      <c r="I225" s="180"/>
      <c r="J225" s="180"/>
      <c r="K225" s="180"/>
      <c r="L225" s="180"/>
      <c r="M225" s="180"/>
      <c r="N225" s="180"/>
      <c r="O225" s="180"/>
      <c r="P225" s="122"/>
      <c r="Q225" s="122"/>
      <c r="R225" s="122"/>
      <c r="S225" s="122"/>
      <c r="T225" s="122"/>
      <c r="U225" s="122"/>
      <c r="V225" s="122"/>
      <c r="W225" s="122"/>
      <c r="X225" s="122"/>
      <c r="Y225" s="122"/>
      <c r="Z225" s="122"/>
    </row>
    <row r="226" spans="1:26" ht="12.75" x14ac:dyDescent="0.2">
      <c r="A226" s="122"/>
      <c r="B226" s="180"/>
      <c r="C226" s="188" t="s">
        <v>218</v>
      </c>
      <c r="D226" s="180"/>
      <c r="E226" s="180"/>
      <c r="F226" s="180"/>
      <c r="G226" s="180"/>
      <c r="H226" s="180"/>
      <c r="I226" s="180"/>
      <c r="J226" s="180"/>
      <c r="K226" s="180"/>
      <c r="L226" s="180"/>
      <c r="M226" s="180"/>
      <c r="N226" s="180"/>
      <c r="O226" s="180"/>
      <c r="P226" s="122"/>
      <c r="Q226" s="122"/>
      <c r="R226" s="122"/>
      <c r="S226" s="122"/>
      <c r="T226" s="122"/>
      <c r="U226" s="122"/>
      <c r="V226" s="122"/>
      <c r="W226" s="122"/>
      <c r="X226" s="122"/>
      <c r="Y226" s="122"/>
      <c r="Z226" s="122"/>
    </row>
    <row r="227" spans="1:26" ht="12.75" x14ac:dyDescent="0.2">
      <c r="A227" s="122"/>
      <c r="B227" s="180"/>
      <c r="C227" s="228" t="s">
        <v>272</v>
      </c>
      <c r="D227" s="180"/>
      <c r="E227" s="180"/>
      <c r="F227" s="125">
        <f>$I40*F$144*$I48*F$138*F$123/1000</f>
        <v>9.288120000000001</v>
      </c>
      <c r="G227" s="125">
        <f>$I40*G$144*$I48*G$138*G$123/1000</f>
        <v>10.021881479999999</v>
      </c>
      <c r="H227" s="125">
        <f>$I40*H$144*$I48*H$138*H$123/1000</f>
        <v>10.81361011692</v>
      </c>
      <c r="I227" s="125">
        <f>$I40*I$144*$I48*I$138*I$123/1000</f>
        <v>11.66788531615668</v>
      </c>
      <c r="J227" s="125">
        <f>$I40*J$144*$I48*J$138*J$123/1000</f>
        <v>12.589648256133058</v>
      </c>
      <c r="K227" s="125">
        <f>$I40*K$144*$I48*K$138*K$123/1000</f>
        <v>13.584230468367569</v>
      </c>
      <c r="L227" s="125">
        <f>$I40*L$144*$I48*L$138*L$123/1000</f>
        <v>14.657384675368606</v>
      </c>
      <c r="M227" s="125">
        <f>$I40*M$144*$I48*M$138*M$123/1000</f>
        <v>15.815318064722726</v>
      </c>
      <c r="N227" s="125">
        <f>$I40*N$144*$I48*N$138*N$123/1000</f>
        <v>17.064728191835819</v>
      </c>
      <c r="O227" s="125">
        <f>$I40*O$144*$I48*O$138*O$123/1000</f>
        <v>18.412841718990851</v>
      </c>
      <c r="P227" s="122"/>
      <c r="Q227" s="122"/>
      <c r="R227" s="122"/>
      <c r="S227" s="122"/>
      <c r="T227" s="122"/>
      <c r="U227" s="122"/>
      <c r="V227" s="122"/>
      <c r="W227" s="122"/>
      <c r="X227" s="122"/>
      <c r="Y227" s="122"/>
      <c r="Z227" s="122"/>
    </row>
    <row r="228" spans="1:26" ht="12.75" x14ac:dyDescent="0.2">
      <c r="A228" s="122"/>
      <c r="B228" s="180"/>
      <c r="C228" s="228" t="s">
        <v>273</v>
      </c>
      <c r="D228" s="180"/>
      <c r="E228" s="180"/>
      <c r="F228" s="125">
        <f>$I41*F$144*$I49*F$138*F$123/1000</f>
        <v>8.772000000000002</v>
      </c>
      <c r="G228" s="125">
        <f>$I41*G$144*$I49*G$138*G$123/1000</f>
        <v>9.4649880000000017</v>
      </c>
      <c r="H228" s="125">
        <f>$I41*H$144*$I49*H$138*H$123/1000</f>
        <v>10.212722052</v>
      </c>
      <c r="I228" s="125">
        <f>$I41*I$144*$I49*I$138*I$123/1000</f>
        <v>11.019527094108001</v>
      </c>
      <c r="J228" s="125">
        <f>$I41*J$144*$I49*J$138*J$123/1000</f>
        <v>11.890069734542534</v>
      </c>
      <c r="K228" s="125">
        <f>$I41*K$144*$I49*K$138*K$123/1000</f>
        <v>12.829385243571393</v>
      </c>
      <c r="L228" s="125">
        <f>$I41*L$144*$I49*L$138*L$123/1000</f>
        <v>13.842906677813533</v>
      </c>
      <c r="M228" s="125">
        <f>$I41*M$144*$I49*M$138*M$123/1000</f>
        <v>14.936496305360802</v>
      </c>
      <c r="N228" s="125">
        <f>$I41*N$144*$I49*N$138*N$123/1000</f>
        <v>16.116479513484304</v>
      </c>
      <c r="O228" s="125">
        <f>$I41*O$144*$I49*O$138*O$123/1000</f>
        <v>17.389681395049564</v>
      </c>
      <c r="P228" s="122"/>
      <c r="Q228" s="122"/>
      <c r="R228" s="122"/>
      <c r="S228" s="122"/>
      <c r="T228" s="122"/>
      <c r="U228" s="122"/>
      <c r="V228" s="122"/>
      <c r="W228" s="122"/>
      <c r="X228" s="122"/>
      <c r="Y228" s="122"/>
      <c r="Z228" s="122"/>
    </row>
    <row r="229" spans="1:26" ht="12.75" x14ac:dyDescent="0.2">
      <c r="A229" s="122"/>
      <c r="B229" s="180"/>
      <c r="C229" s="228" t="s">
        <v>274</v>
      </c>
      <c r="D229" s="180"/>
      <c r="E229" s="180"/>
      <c r="F229" s="125">
        <f>$I42*F$144*$I50*F$138*F$123/1000</f>
        <v>6.2016</v>
      </c>
      <c r="G229" s="125">
        <f>$I42*G$144*$I50*G$138*G$123/1000</f>
        <v>6.6915263999999999</v>
      </c>
      <c r="H229" s="125">
        <f>$I42*H$144*$I50*H$138*H$123/1000</f>
        <v>7.2201569856000001</v>
      </c>
      <c r="I229" s="125">
        <f>$I42*I$144*$I50*I$138*I$123/1000</f>
        <v>7.7905493874623994</v>
      </c>
      <c r="J229" s="125">
        <f>$I42*J$144*$I50*J$138*J$123/1000</f>
        <v>8.4060027890719304</v>
      </c>
      <c r="K229" s="125">
        <f>$I42*K$144*$I50*K$138*K$123/1000</f>
        <v>9.0700770094086103</v>
      </c>
      <c r="L229" s="125">
        <f>$I42*L$144*$I50*L$138*L$123/1000</f>
        <v>9.7866130931518907</v>
      </c>
      <c r="M229" s="125">
        <f>$I42*M$144*$I50*M$138*M$123/1000</f>
        <v>10.559755527510889</v>
      </c>
      <c r="N229" s="125">
        <f>$I42*N$144*$I50*N$138*N$123/1000</f>
        <v>11.393976214184251</v>
      </c>
      <c r="O229" s="125">
        <f>$I42*O$144*$I50*O$138*O$123/1000</f>
        <v>12.294100335104806</v>
      </c>
      <c r="P229" s="122"/>
      <c r="Q229" s="122"/>
      <c r="R229" s="122"/>
      <c r="S229" s="122"/>
      <c r="T229" s="122"/>
      <c r="U229" s="122"/>
      <c r="V229" s="122"/>
      <c r="W229" s="122"/>
      <c r="X229" s="122"/>
      <c r="Y229" s="122"/>
      <c r="Z229" s="122"/>
    </row>
    <row r="230" spans="1:26" ht="12.75" x14ac:dyDescent="0.2">
      <c r="A230" s="122"/>
      <c r="B230" s="180"/>
      <c r="C230" s="228" t="s">
        <v>275</v>
      </c>
      <c r="D230" s="180"/>
      <c r="E230" s="180"/>
      <c r="F230" s="125">
        <f>$I43*F$144*$I51*F$138*F$123/1000</f>
        <v>8.9069049350649347</v>
      </c>
      <c r="G230" s="125">
        <f>$I43*G$144*$I51*G$138*G$123/1000</f>
        <v>9.6105504249350631</v>
      </c>
      <c r="H230" s="125">
        <f>$I43*H$144*$I51*H$138*H$123/1000</f>
        <v>10.369783908504933</v>
      </c>
      <c r="I230" s="125">
        <f>$I43*I$144*$I51*I$138*I$123/1000</f>
        <v>11.188996837276823</v>
      </c>
      <c r="J230" s="125">
        <f>$I43*J$144*$I51*J$138*J$123/1000</f>
        <v>12.072927587421693</v>
      </c>
      <c r="K230" s="125">
        <f>$I43*K$144*$I51*K$138*K$123/1000</f>
        <v>13.026688866828007</v>
      </c>
      <c r="L230" s="125">
        <f>$I43*L$144*$I51*L$138*L$123/1000</f>
        <v>14.055797287307417</v>
      </c>
      <c r="M230" s="125">
        <f>$I43*M$144*$I51*M$138*M$123/1000</f>
        <v>15.166205273004703</v>
      </c>
      <c r="N230" s="125">
        <f>$I43*N$144*$I51*N$138*N$123/1000</f>
        <v>16.364335489572074</v>
      </c>
      <c r="O230" s="125">
        <f>$I43*O$144*$I51*O$138*O$123/1000</f>
        <v>17.657117993248267</v>
      </c>
      <c r="P230" s="122"/>
      <c r="Q230" s="122"/>
      <c r="R230" s="122"/>
      <c r="S230" s="122"/>
      <c r="T230" s="122"/>
      <c r="U230" s="122"/>
      <c r="V230" s="122"/>
      <c r="W230" s="122"/>
      <c r="X230" s="122"/>
      <c r="Y230" s="122"/>
      <c r="Z230" s="122"/>
    </row>
    <row r="231" spans="1:26" ht="12.75" x14ac:dyDescent="0.2">
      <c r="A231" s="122"/>
      <c r="B231" s="180"/>
      <c r="C231" s="152" t="s">
        <v>293</v>
      </c>
      <c r="D231" s="180"/>
      <c r="E231" s="180"/>
      <c r="F231" s="125">
        <f>$I44*F$144*$I52*F$138*F$123/1000</f>
        <v>9.0167999999999999</v>
      </c>
      <c r="G231" s="125">
        <f>$I44*G$144*$I52*G$138*G$123/1000</f>
        <v>9.7291271999999989</v>
      </c>
      <c r="H231" s="125">
        <f>$I44*H$144*$I52*H$138*H$123/1000</f>
        <v>10.497728248799998</v>
      </c>
      <c r="I231" s="125">
        <f>$I44*I$144*$I52*I$138*I$123/1000</f>
        <v>11.327048780455197</v>
      </c>
      <c r="J231" s="125">
        <f>$I44*J$144*$I52*J$138*J$123/1000</f>
        <v>12.221885634111159</v>
      </c>
      <c r="K231" s="125">
        <f>$I44*K$144*$I52*K$138*K$123/1000</f>
        <v>13.18741459920594</v>
      </c>
      <c r="L231" s="125">
        <f>$I44*L$144*$I52*L$138*L$123/1000</f>
        <v>14.229220352543209</v>
      </c>
      <c r="M231" s="125">
        <f>$I44*M$144*$I52*M$138*M$123/1000</f>
        <v>15.35332876039412</v>
      </c>
      <c r="N231" s="125">
        <f>$I44*N$144*$I52*N$138*N$123/1000</f>
        <v>16.566241732465254</v>
      </c>
      <c r="O231" s="125">
        <f>$I44*O$144*$I52*O$138*O$123/1000</f>
        <v>17.874974829330011</v>
      </c>
      <c r="P231" s="122"/>
      <c r="Q231" s="122"/>
      <c r="R231" s="122"/>
      <c r="S231" s="122"/>
      <c r="T231" s="122"/>
      <c r="U231" s="122"/>
      <c r="V231" s="122"/>
      <c r="W231" s="122"/>
      <c r="X231" s="122"/>
      <c r="Y231" s="122"/>
      <c r="Z231" s="122"/>
    </row>
    <row r="232" spans="1:26" ht="12.75" x14ac:dyDescent="0.2">
      <c r="A232" s="122"/>
      <c r="B232" s="180"/>
      <c r="C232" s="228" t="s">
        <v>278</v>
      </c>
      <c r="D232" s="180"/>
      <c r="E232" s="180"/>
      <c r="F232" s="125">
        <f>$I45*F$144*$I53*F$138*F$123/1000</f>
        <v>31.385400000000001</v>
      </c>
      <c r="G232" s="125">
        <f>$I45*G$144*$I53*G$138*G$123/1000</f>
        <v>33.8648466</v>
      </c>
      <c r="H232" s="125">
        <f>$I45*H$144*$I53*H$138*H$123/1000</f>
        <v>36.5401694814</v>
      </c>
      <c r="I232" s="125">
        <f>$I45*I$144*$I53*I$138*I$123/1000</f>
        <v>39.426842870430598</v>
      </c>
      <c r="J232" s="125">
        <f>$I45*J$144*$I53*J$138*J$123/1000</f>
        <v>42.541563457194613</v>
      </c>
      <c r="K232" s="125">
        <f>$I45*K$144*$I53*K$138*K$123/1000</f>
        <v>45.90234697031299</v>
      </c>
      <c r="L232" s="125">
        <f>$I45*L$144*$I53*L$138*L$123/1000</f>
        <v>49.528632380967714</v>
      </c>
      <c r="M232" s="125">
        <f>$I45*M$144*$I53*M$138*M$123/1000</f>
        <v>53.441394339064161</v>
      </c>
      <c r="N232" s="125">
        <f>$I45*N$144*$I53*N$138*N$123/1000</f>
        <v>57.663264491850228</v>
      </c>
      <c r="O232" s="125">
        <f>$I45*O$144*$I53*O$138*O$123/1000</f>
        <v>62.218662386706399</v>
      </c>
      <c r="P232" s="122"/>
      <c r="Q232" s="122"/>
      <c r="R232" s="122"/>
      <c r="S232" s="122"/>
      <c r="T232" s="122"/>
      <c r="U232" s="122"/>
      <c r="V232" s="122"/>
      <c r="W232" s="122"/>
      <c r="X232" s="122"/>
      <c r="Y232" s="122"/>
      <c r="Z232" s="122"/>
    </row>
    <row r="233" spans="1:26" ht="12.75" x14ac:dyDescent="0.2">
      <c r="A233" s="122"/>
      <c r="B233" s="180"/>
      <c r="C233" s="152" t="s">
        <v>85</v>
      </c>
      <c r="D233" s="180"/>
      <c r="E233" s="180"/>
      <c r="F233" s="125">
        <f t="shared" ref="F233:O233" si="57">IF(F193&lt;$I$47,$I$46*$I$53*F$138*F$123/1000,0)</f>
        <v>10.86</v>
      </c>
      <c r="G233" s="125">
        <f t="shared" si="57"/>
        <v>11.717939999999999</v>
      </c>
      <c r="H233" s="125">
        <f t="shared" si="57"/>
        <v>12.643657259999998</v>
      </c>
      <c r="I233" s="125">
        <f t="shared" si="57"/>
        <v>13.64250618354</v>
      </c>
      <c r="J233" s="125">
        <f t="shared" si="57"/>
        <v>0</v>
      </c>
      <c r="K233" s="125">
        <f t="shared" si="57"/>
        <v>0</v>
      </c>
      <c r="L233" s="125">
        <f t="shared" si="57"/>
        <v>0</v>
      </c>
      <c r="M233" s="125">
        <f t="shared" si="57"/>
        <v>0</v>
      </c>
      <c r="N233" s="125">
        <f t="shared" si="57"/>
        <v>0</v>
      </c>
      <c r="O233" s="125">
        <f t="shared" si="57"/>
        <v>0</v>
      </c>
      <c r="P233" s="122"/>
      <c r="Q233" s="122"/>
      <c r="R233" s="122"/>
      <c r="S233" s="122"/>
      <c r="T233" s="122"/>
      <c r="U233" s="122"/>
      <c r="V233" s="122"/>
      <c r="W233" s="122"/>
      <c r="X233" s="122"/>
      <c r="Y233" s="122"/>
      <c r="Z233" s="122"/>
    </row>
    <row r="234" spans="1:26" ht="12.75" x14ac:dyDescent="0.2">
      <c r="A234" s="122"/>
      <c r="B234" s="180"/>
      <c r="C234" s="199" t="s">
        <v>207</v>
      </c>
      <c r="D234" s="182"/>
      <c r="E234" s="182"/>
      <c r="F234" s="127">
        <f>SUM(F227:F233)</f>
        <v>84.430824935064948</v>
      </c>
      <c r="G234" s="127">
        <f t="shared" ref="G234:O234" si="58">SUM(G227:G233)</f>
        <v>91.100860104935066</v>
      </c>
      <c r="H234" s="127">
        <f t="shared" si="58"/>
        <v>98.297828053224933</v>
      </c>
      <c r="I234" s="127">
        <f t="shared" si="58"/>
        <v>106.06335646942969</v>
      </c>
      <c r="J234" s="127">
        <f t="shared" si="58"/>
        <v>99.722097458474991</v>
      </c>
      <c r="K234" s="127">
        <f t="shared" si="58"/>
        <v>107.6001431576945</v>
      </c>
      <c r="L234" s="127">
        <f t="shared" si="58"/>
        <v>116.10055446715236</v>
      </c>
      <c r="M234" s="127">
        <f t="shared" si="58"/>
        <v>125.2724982700574</v>
      </c>
      <c r="N234" s="127">
        <f t="shared" si="58"/>
        <v>135.16902563339193</v>
      </c>
      <c r="O234" s="127">
        <f t="shared" si="58"/>
        <v>145.8473786584299</v>
      </c>
      <c r="P234" s="122"/>
      <c r="Q234" s="122"/>
      <c r="R234" s="122"/>
      <c r="S234" s="122"/>
      <c r="T234" s="122"/>
      <c r="U234" s="122"/>
      <c r="V234" s="122"/>
      <c r="W234" s="122"/>
      <c r="X234" s="122"/>
      <c r="Y234" s="122"/>
      <c r="Z234" s="122"/>
    </row>
    <row r="235" spans="1:26" ht="12.75" x14ac:dyDescent="0.2">
      <c r="A235" s="122"/>
      <c r="B235" s="180"/>
      <c r="C235" s="152"/>
      <c r="D235" s="180"/>
      <c r="E235" s="180"/>
      <c r="F235" s="183"/>
      <c r="G235" s="183"/>
      <c r="H235" s="183"/>
      <c r="I235" s="183"/>
      <c r="J235" s="183"/>
      <c r="K235" s="183"/>
      <c r="L235" s="183"/>
      <c r="M235" s="183"/>
      <c r="N235" s="183"/>
      <c r="O235" s="183"/>
      <c r="P235" s="122"/>
      <c r="Q235" s="122"/>
      <c r="R235" s="122"/>
      <c r="S235" s="122"/>
      <c r="T235" s="122"/>
      <c r="U235" s="122"/>
      <c r="V235" s="122"/>
      <c r="W235" s="122"/>
      <c r="X235" s="122"/>
      <c r="Y235" s="122"/>
      <c r="Z235" s="122"/>
    </row>
    <row r="236" spans="1:26" ht="12.75" x14ac:dyDescent="0.2">
      <c r="A236" s="122"/>
      <c r="B236" s="180"/>
      <c r="C236" s="188" t="s">
        <v>215</v>
      </c>
      <c r="D236" s="180"/>
      <c r="E236" s="180"/>
      <c r="F236" s="183"/>
      <c r="G236" s="183"/>
      <c r="H236" s="183"/>
      <c r="I236" s="183"/>
      <c r="J236" s="183"/>
      <c r="K236" s="183"/>
      <c r="L236" s="183"/>
      <c r="M236" s="183"/>
      <c r="N236" s="183"/>
      <c r="O236" s="183"/>
      <c r="P236" s="122"/>
      <c r="Q236" s="122"/>
      <c r="R236" s="122"/>
      <c r="S236" s="122"/>
      <c r="T236" s="122"/>
      <c r="U236" s="122"/>
      <c r="V236" s="122"/>
      <c r="W236" s="122"/>
      <c r="X236" s="122"/>
      <c r="Y236" s="122"/>
      <c r="Z236" s="122"/>
    </row>
    <row r="237" spans="1:26" ht="12.75" x14ac:dyDescent="0.2">
      <c r="A237" s="122"/>
      <c r="B237" s="180"/>
      <c r="C237" s="155" t="s">
        <v>110</v>
      </c>
      <c r="D237" s="180"/>
      <c r="E237" s="180"/>
      <c r="F237" s="125">
        <f t="shared" ref="F237:O237" si="59">$I$57*F$144*F$123/1000</f>
        <v>2.38</v>
      </c>
      <c r="G237" s="125">
        <f t="shared" si="59"/>
        <v>2.5680200000000002</v>
      </c>
      <c r="H237" s="125">
        <f t="shared" si="59"/>
        <v>2.7708935799999996</v>
      </c>
      <c r="I237" s="125">
        <f t="shared" si="59"/>
        <v>2.9897941728199999</v>
      </c>
      <c r="J237" s="125">
        <f t="shared" si="59"/>
        <v>3.2259879124727799</v>
      </c>
      <c r="K237" s="125">
        <f t="shared" si="59"/>
        <v>3.4808409575581289</v>
      </c>
      <c r="L237" s="125">
        <f t="shared" si="59"/>
        <v>3.7558273932052213</v>
      </c>
      <c r="M237" s="125">
        <f t="shared" si="59"/>
        <v>4.0525377572684329</v>
      </c>
      <c r="N237" s="125">
        <f t="shared" si="59"/>
        <v>4.3726882400926401</v>
      </c>
      <c r="O237" s="125">
        <f t="shared" si="59"/>
        <v>4.7181306110599577</v>
      </c>
      <c r="P237" s="122"/>
      <c r="Q237" s="122"/>
      <c r="R237" s="122"/>
      <c r="S237" s="122"/>
      <c r="T237" s="122"/>
      <c r="U237" s="122"/>
      <c r="V237" s="122"/>
      <c r="W237" s="122"/>
      <c r="X237" s="122"/>
      <c r="Y237" s="122"/>
      <c r="Z237" s="122"/>
    </row>
    <row r="238" spans="1:26" ht="12.75" x14ac:dyDescent="0.2">
      <c r="A238" s="122"/>
      <c r="B238" s="180"/>
      <c r="C238" s="184" t="s">
        <v>283</v>
      </c>
      <c r="D238" s="185"/>
      <c r="E238" s="185"/>
      <c r="F238" s="186">
        <f t="shared" ref="F238:O238" si="60">($F$59+$F$59*(F$144-1)*($F$58))/1000*F$123</f>
        <v>2.5110399999999999</v>
      </c>
      <c r="G238" s="186">
        <f t="shared" si="60"/>
        <v>2.7094121599999998</v>
      </c>
      <c r="H238" s="186">
        <f t="shared" si="60"/>
        <v>2.9234557206399994</v>
      </c>
      <c r="I238" s="186">
        <f t="shared" si="60"/>
        <v>3.1544087225705595</v>
      </c>
      <c r="J238" s="186">
        <f t="shared" si="60"/>
        <v>3.4036070116536341</v>
      </c>
      <c r="K238" s="186">
        <f t="shared" si="60"/>
        <v>3.6724919655742707</v>
      </c>
      <c r="L238" s="186">
        <f t="shared" si="60"/>
        <v>3.962618830854638</v>
      </c>
      <c r="M238" s="186">
        <f t="shared" si="60"/>
        <v>4.2756657184921538</v>
      </c>
      <c r="N238" s="186">
        <f t="shared" si="60"/>
        <v>4.6134433102530341</v>
      </c>
      <c r="O238" s="186">
        <f t="shared" si="60"/>
        <v>4.977905331763024</v>
      </c>
      <c r="P238" s="122"/>
      <c r="Q238" s="122"/>
      <c r="R238" s="122"/>
      <c r="S238" s="122"/>
      <c r="T238" s="122"/>
      <c r="U238" s="122"/>
      <c r="V238" s="122"/>
      <c r="W238" s="122"/>
      <c r="X238" s="122"/>
      <c r="Y238" s="122"/>
      <c r="Z238" s="122"/>
    </row>
    <row r="239" spans="1:26" ht="12.75" x14ac:dyDescent="0.2">
      <c r="A239" s="122"/>
      <c r="B239" s="180"/>
      <c r="C239" s="199" t="s">
        <v>216</v>
      </c>
      <c r="D239" s="182"/>
      <c r="E239" s="182"/>
      <c r="F239" s="127">
        <f>SUM(F237:F238)</f>
        <v>4.8910400000000003</v>
      </c>
      <c r="G239" s="127">
        <f t="shared" ref="G239:O239" si="61">SUM(G237:G238)</f>
        <v>5.27743216</v>
      </c>
      <c r="H239" s="127">
        <f t="shared" si="61"/>
        <v>5.694349300639999</v>
      </c>
      <c r="I239" s="127">
        <f t="shared" si="61"/>
        <v>6.1442028953905599</v>
      </c>
      <c r="J239" s="127">
        <f t="shared" si="61"/>
        <v>6.6295949241264136</v>
      </c>
      <c r="K239" s="127">
        <f t="shared" si="61"/>
        <v>7.1533329231323997</v>
      </c>
      <c r="L239" s="127">
        <f t="shared" si="61"/>
        <v>7.7184462240598588</v>
      </c>
      <c r="M239" s="127">
        <f t="shared" si="61"/>
        <v>8.3282034757605867</v>
      </c>
      <c r="N239" s="127">
        <f t="shared" si="61"/>
        <v>8.9861315503456751</v>
      </c>
      <c r="O239" s="127">
        <f t="shared" si="61"/>
        <v>9.6960359428229808</v>
      </c>
      <c r="P239" s="122"/>
      <c r="Q239" s="122"/>
      <c r="R239" s="122"/>
      <c r="S239" s="122"/>
      <c r="T239" s="122"/>
      <c r="U239" s="122"/>
      <c r="V239" s="122"/>
      <c r="W239" s="122"/>
      <c r="X239" s="122"/>
      <c r="Y239" s="122"/>
      <c r="Z239" s="122"/>
    </row>
    <row r="240" spans="1:26" ht="12.75" x14ac:dyDescent="0.2">
      <c r="A240" s="122"/>
      <c r="B240" s="180"/>
      <c r="C240" s="155"/>
      <c r="D240" s="180"/>
      <c r="E240" s="180"/>
      <c r="F240" s="183"/>
      <c r="G240" s="183"/>
      <c r="H240" s="183"/>
      <c r="I240" s="183"/>
      <c r="J240" s="183"/>
      <c r="K240" s="183"/>
      <c r="L240" s="183"/>
      <c r="M240" s="183"/>
      <c r="N240" s="183"/>
      <c r="O240" s="183"/>
      <c r="P240" s="122"/>
      <c r="Q240" s="122"/>
      <c r="R240" s="122"/>
      <c r="S240" s="122"/>
      <c r="T240" s="122"/>
      <c r="U240" s="122"/>
      <c r="V240" s="122"/>
      <c r="W240" s="122"/>
      <c r="X240" s="122"/>
      <c r="Y240" s="122"/>
      <c r="Z240" s="122"/>
    </row>
    <row r="241" spans="1:26" ht="12.75" x14ac:dyDescent="0.2">
      <c r="A241" s="122"/>
      <c r="B241" s="180"/>
      <c r="C241" s="188" t="s">
        <v>219</v>
      </c>
      <c r="D241" s="180"/>
      <c r="E241" s="180"/>
      <c r="F241" s="183"/>
      <c r="G241" s="183"/>
      <c r="H241" s="183"/>
      <c r="I241" s="183"/>
      <c r="J241" s="183"/>
      <c r="K241" s="183"/>
      <c r="L241" s="183"/>
      <c r="M241" s="183"/>
      <c r="N241" s="183"/>
      <c r="O241" s="183"/>
      <c r="P241" s="122"/>
      <c r="Q241" s="122"/>
      <c r="R241" s="122"/>
      <c r="S241" s="122"/>
      <c r="T241" s="122"/>
      <c r="U241" s="122"/>
      <c r="V241" s="122"/>
      <c r="W241" s="122"/>
      <c r="X241" s="122"/>
      <c r="Y241" s="122"/>
      <c r="Z241" s="122"/>
    </row>
    <row r="242" spans="1:26" ht="12.75" x14ac:dyDescent="0.2">
      <c r="A242" s="122"/>
      <c r="B242" s="180"/>
      <c r="C242" s="152" t="s">
        <v>92</v>
      </c>
      <c r="D242" s="180"/>
      <c r="E242" s="180"/>
      <c r="F242" s="125">
        <f>F183*(1+$F$79)</f>
        <v>2.5500000000000003</v>
      </c>
      <c r="G242" s="125">
        <f t="shared" ref="G242:O242" si="62">G183*(1+$F$79)</f>
        <v>2.7514500000000002</v>
      </c>
      <c r="H242" s="125">
        <f t="shared" si="62"/>
        <v>2.9688145499999998</v>
      </c>
      <c r="I242" s="125">
        <f t="shared" si="62"/>
        <v>3.2033508994500002</v>
      </c>
      <c r="J242" s="125">
        <f t="shared" si="62"/>
        <v>3.4564156205065499</v>
      </c>
      <c r="K242" s="125">
        <f t="shared" si="62"/>
        <v>3.7294724545265674</v>
      </c>
      <c r="L242" s="125">
        <f t="shared" si="62"/>
        <v>4.0241007784341658</v>
      </c>
      <c r="M242" s="125">
        <f t="shared" si="62"/>
        <v>4.3420047399304647</v>
      </c>
      <c r="N242" s="125">
        <f t="shared" si="62"/>
        <v>4.6850231143849719</v>
      </c>
      <c r="O242" s="125">
        <f t="shared" si="62"/>
        <v>5.0551399404213839</v>
      </c>
      <c r="P242" s="122"/>
      <c r="Q242" s="122"/>
      <c r="R242" s="122"/>
      <c r="S242" s="122"/>
      <c r="T242" s="122"/>
      <c r="U242" s="122"/>
      <c r="V242" s="122"/>
      <c r="W242" s="122"/>
      <c r="X242" s="122"/>
      <c r="Y242" s="122"/>
      <c r="Z242" s="122"/>
    </row>
    <row r="243" spans="1:26" ht="12.75" x14ac:dyDescent="0.2">
      <c r="A243" s="122"/>
      <c r="B243" s="180"/>
      <c r="C243" s="152" t="s">
        <v>96</v>
      </c>
      <c r="D243" s="180"/>
      <c r="E243" s="180"/>
      <c r="F243" s="125">
        <f>$I63*F$144*$I72/1000*F$123*F$140*(1+$F$79)</f>
        <v>7.4119999999999999</v>
      </c>
      <c r="G243" s="125">
        <f>$I63*G$144*$I72/1000*G$123*G$140*(1+$F$79)</f>
        <v>7.9975479999999992</v>
      </c>
      <c r="H243" s="125">
        <f>$I63*H$144*$I72/1000*H$123*H$140*(1+$F$79)</f>
        <v>8.6293542919999986</v>
      </c>
      <c r="I243" s="125">
        <f>$I63*I$144*$I72/1000*I$123*I$140*(1+$F$79)</f>
        <v>9.3110732810679995</v>
      </c>
      <c r="J243" s="125">
        <f>$I63*J$144*$I72/1000*J$123*J$140*(1+$F$79)</f>
        <v>10.04664807027237</v>
      </c>
      <c r="K243" s="125">
        <f>$I63*K$144*$I72/1000*K$123*K$140*(1+$F$79)</f>
        <v>10.840333267823887</v>
      </c>
      <c r="L243" s="125">
        <f>$I63*L$144*$I72/1000*L$123*L$140*(1+$F$79)</f>
        <v>11.696719595981975</v>
      </c>
      <c r="M243" s="125">
        <f>$I63*M$144*$I72/1000*M$123*M$140*(1+$F$79)</f>
        <v>12.620760444064549</v>
      </c>
      <c r="N243" s="125">
        <f>$I63*N$144*$I72/1000*N$123*N$140*(1+$F$79)</f>
        <v>13.61780051914565</v>
      </c>
      <c r="O243" s="125">
        <f>$I63*O$144*$I72/1000*O$123*O$140*(1+$F$79)</f>
        <v>14.693606760158156</v>
      </c>
      <c r="P243" s="122"/>
      <c r="Q243" s="122"/>
      <c r="R243" s="122"/>
      <c r="S243" s="122"/>
      <c r="T243" s="122"/>
      <c r="U243" s="122"/>
      <c r="V243" s="122"/>
      <c r="W243" s="122"/>
      <c r="X243" s="122"/>
      <c r="Y243" s="122"/>
      <c r="Z243" s="122"/>
    </row>
    <row r="244" spans="1:26" ht="12.75" x14ac:dyDescent="0.2">
      <c r="A244" s="122"/>
      <c r="B244" s="180"/>
      <c r="C244" s="152" t="s">
        <v>99</v>
      </c>
      <c r="D244" s="180"/>
      <c r="E244" s="180"/>
      <c r="F244" s="125">
        <f>$I64*F$144*$I73/1000*F$125*(1+$F$79)*F$130</f>
        <v>6.4704828799999996</v>
      </c>
      <c r="G244" s="125">
        <f>$I64*G$144*$I73/1000*G$125*(1+$F$79)*G$130</f>
        <v>6.9816510275199981</v>
      </c>
      <c r="H244" s="125">
        <f>$I64*H$144*$I73/1000*H$125*(1+$F$79)*H$130</f>
        <v>7.5332014586940774</v>
      </c>
      <c r="I244" s="125">
        <f>$I64*I$144*$I73/1000*I$125*(1+$F$79)*I$130</f>
        <v>8.1283243739309103</v>
      </c>
      <c r="J244" s="125">
        <f>$I64*J$144*$I73/1000*J$125*(1+$F$79)*J$130</f>
        <v>8.7704619994714523</v>
      </c>
      <c r="K244" s="125">
        <f>$I64*K$144*$I73/1000*K$125*(1+$F$79)*K$130</f>
        <v>9.4633284974296981</v>
      </c>
      <c r="L244" s="125">
        <f>$I64*L$144*$I73/1000*L$125*(1+$F$79)*L$130</f>
        <v>10.210931448726642</v>
      </c>
      <c r="M244" s="125">
        <f>$I64*M$144*$I73/1000*M$125*(1+$F$79)*M$130</f>
        <v>11.017595033176047</v>
      </c>
      <c r="N244" s="125">
        <f>$I64*N$144*$I73/1000*N$125*(1+$F$79)*N$130</f>
        <v>11.887985040796954</v>
      </c>
      <c r="O244" s="125">
        <f>$I64*O$144*$I73/1000*O$125*(1+$F$79)*O$130</f>
        <v>12.827135859019913</v>
      </c>
      <c r="P244" s="122"/>
      <c r="Q244" s="122"/>
      <c r="R244" s="122"/>
      <c r="S244" s="122"/>
      <c r="T244" s="122"/>
      <c r="U244" s="122"/>
      <c r="V244" s="122"/>
      <c r="W244" s="122"/>
      <c r="X244" s="122"/>
      <c r="Y244" s="122"/>
      <c r="Z244" s="122"/>
    </row>
    <row r="245" spans="1:26" ht="12.75" x14ac:dyDescent="0.2">
      <c r="A245" s="122"/>
      <c r="B245" s="180"/>
      <c r="C245" s="152" t="s">
        <v>102</v>
      </c>
      <c r="D245" s="180"/>
      <c r="E245" s="180"/>
      <c r="F245" s="125">
        <f>$I65*F$144*$I74/1000*F$125*(1+$F$79)*F$130</f>
        <v>13.048092959999998</v>
      </c>
      <c r="G245" s="125">
        <f>$I65*G$144*$I74/1000*G$125*(1+$F$79)*G$130</f>
        <v>14.078892303839996</v>
      </c>
      <c r="H245" s="125">
        <f>$I65*H$144*$I74/1000*H$125*(1+$F$79)*H$130</f>
        <v>15.191124795843356</v>
      </c>
      <c r="I245" s="125">
        <f>$I65*I$144*$I74/1000*I$125*(1+$F$79)*I$130</f>
        <v>16.391223654714981</v>
      </c>
      <c r="J245" s="125">
        <f>$I65*J$144*$I74/1000*J$125*(1+$F$79)*J$130</f>
        <v>17.686130323437464</v>
      </c>
      <c r="K245" s="125">
        <f>$I65*K$144*$I74/1000*K$125*(1+$F$79)*K$130</f>
        <v>19.083334618989024</v>
      </c>
      <c r="L245" s="125">
        <f>$I65*L$144*$I74/1000*L$125*(1+$F$79)*L$130</f>
        <v>20.590918053889155</v>
      </c>
      <c r="M245" s="125">
        <f>$I65*M$144*$I74/1000*M$125*(1+$F$79)*M$130</f>
        <v>22.217600580146399</v>
      </c>
      <c r="N245" s="125">
        <f>$I65*N$144*$I74/1000*N$125*(1+$F$79)*N$130</f>
        <v>23.972791025977966</v>
      </c>
      <c r="O245" s="125">
        <f>$I65*O$144*$I74/1000*O$125*(1+$F$79)*O$130</f>
        <v>25.866641517030221</v>
      </c>
      <c r="P245" s="122"/>
      <c r="Q245" s="122"/>
      <c r="R245" s="122"/>
      <c r="S245" s="122"/>
      <c r="T245" s="122"/>
      <c r="U245" s="122"/>
      <c r="V245" s="122"/>
      <c r="W245" s="122"/>
      <c r="X245" s="122"/>
      <c r="Y245" s="122"/>
      <c r="Z245" s="122"/>
    </row>
    <row r="246" spans="1:26" ht="12.75" x14ac:dyDescent="0.2">
      <c r="A246" s="122"/>
      <c r="B246" s="180"/>
      <c r="C246" s="152" t="s">
        <v>418</v>
      </c>
      <c r="D246" s="180"/>
      <c r="E246" s="180"/>
      <c r="F246" s="125">
        <f>$I66*F$144*$I75/1000*F$125*(1+$F$79)*F$130</f>
        <v>18.972000000000001</v>
      </c>
      <c r="G246" s="125">
        <f>$I66*G$144*$I75/1000*G$125*(1+$F$79)*G$130</f>
        <v>20.470787999999999</v>
      </c>
      <c r="H246" s="125">
        <f>$I66*H$144*$I75/1000*H$125*(1+$F$79)*H$130</f>
        <v>22.087980251999994</v>
      </c>
      <c r="I246" s="125">
        <f>$I66*I$144*$I75/1000*I$125*(1+$F$79)*I$130</f>
        <v>23.832930691908</v>
      </c>
      <c r="J246" s="125">
        <f>$I66*J$144*$I75/1000*J$125*(1+$F$79)*J$130</f>
        <v>25.715732216568728</v>
      </c>
      <c r="K246" s="125">
        <f>$I66*K$144*$I75/1000*K$125*(1+$F$79)*K$130</f>
        <v>27.747275061677662</v>
      </c>
      <c r="L246" s="125">
        <f>$I66*L$144*$I75/1000*L$125*(1+$F$79)*L$130</f>
        <v>29.939309791550194</v>
      </c>
      <c r="M246" s="125">
        <f>$I66*M$144*$I75/1000*M$125*(1+$F$79)*M$130</f>
        <v>32.304515265082664</v>
      </c>
      <c r="N246" s="125">
        <f>$I66*N$144*$I75/1000*N$125*(1+$F$79)*N$130</f>
        <v>34.856571971024188</v>
      </c>
      <c r="O246" s="125">
        <f>$I66*O$144*$I75/1000*O$125*(1+$F$79)*O$130</f>
        <v>37.610241156735093</v>
      </c>
      <c r="P246" s="122"/>
      <c r="Q246" s="122"/>
      <c r="R246" s="122"/>
      <c r="S246" s="122"/>
      <c r="T246" s="122"/>
      <c r="U246" s="122"/>
      <c r="V246" s="122"/>
      <c r="W246" s="122"/>
      <c r="X246" s="122"/>
      <c r="Y246" s="122"/>
      <c r="Z246" s="122"/>
    </row>
    <row r="247" spans="1:26" ht="12.75" x14ac:dyDescent="0.2">
      <c r="A247" s="122"/>
      <c r="B247" s="180"/>
      <c r="C247" s="152" t="s">
        <v>105</v>
      </c>
      <c r="D247" s="180"/>
      <c r="E247" s="180"/>
      <c r="F247" s="125">
        <f>$I67*F$144*$I76/1000*F$125*(1+$F$79)*F$130</f>
        <v>2.2467200000000003</v>
      </c>
      <c r="G247" s="125">
        <f>$I67*G$144*$I76/1000*G$125*(1+$F$79)*G$130</f>
        <v>2.42421088</v>
      </c>
      <c r="H247" s="125">
        <f>$I67*H$144*$I76/1000*H$125*(1+$F$79)*H$130</f>
        <v>2.6157235395199998</v>
      </c>
      <c r="I247" s="125">
        <f>$I67*I$144*$I76/1000*I$125*(1+$F$79)*I$130</f>
        <v>2.8223656991420802</v>
      </c>
      <c r="J247" s="125">
        <f>$I67*J$144*$I76/1000*J$125*(1+$F$79)*J$130</f>
        <v>3.0453325893743046</v>
      </c>
      <c r="K247" s="125">
        <f>$I67*K$144*$I76/1000*K$125*(1+$F$79)*K$130</f>
        <v>3.2859138639348742</v>
      </c>
      <c r="L247" s="125">
        <f>$I67*L$144*$I76/1000*L$125*(1+$F$79)*L$130</f>
        <v>3.545501059185729</v>
      </c>
      <c r="M247" s="125">
        <f>$I67*M$144*$I76/1000*M$125*(1+$F$79)*M$130</f>
        <v>3.8255956428614017</v>
      </c>
      <c r="N247" s="125">
        <f>$I67*N$144*$I76/1000*N$125*(1+$F$79)*N$130</f>
        <v>4.1278176986474522</v>
      </c>
      <c r="O247" s="125">
        <f>$I67*O$144*$I76/1000*O$125*(1+$F$79)*O$130</f>
        <v>4.4539152968406004</v>
      </c>
      <c r="P247" s="122"/>
      <c r="Q247" s="122"/>
      <c r="R247" s="122"/>
      <c r="S247" s="122"/>
      <c r="T247" s="122"/>
      <c r="U247" s="122"/>
      <c r="V247" s="122"/>
      <c r="W247" s="122"/>
      <c r="X247" s="122"/>
      <c r="Y247" s="122"/>
      <c r="Z247" s="122"/>
    </row>
    <row r="248" spans="1:26" ht="12.75" x14ac:dyDescent="0.2">
      <c r="A248" s="122"/>
      <c r="B248" s="180"/>
      <c r="C248" s="152" t="s">
        <v>108</v>
      </c>
      <c r="D248" s="180"/>
      <c r="E248" s="180"/>
      <c r="F248" s="125">
        <f>ROUNDUP(F163*1000/$F$68,0)*$I77/1000*F$123</f>
        <v>3.5</v>
      </c>
      <c r="G248" s="125">
        <f>ROUNDUP(G163*1000/$F$68,0)*$I77/1000*G$123</f>
        <v>4.4238999999999997</v>
      </c>
      <c r="H248" s="125">
        <f>ROUNDUP(H163*1000/$F$68,0)*$I77/1000*H$123</f>
        <v>5.4719327</v>
      </c>
      <c r="I248" s="125">
        <f>ROUNDUP(I163*1000/$F$68,0)*$I77/1000*I$123</f>
        <v>6.7835666106000003</v>
      </c>
      <c r="J248" s="125">
        <f>ROUNDUP(J163*1000/$F$68,0)*$I77/1000*J$123</f>
        <v>7.4550140834454997</v>
      </c>
      <c r="K248" s="125">
        <f>ROUNDUP(K163*1000/$F$68,0)*$I77/1000*K$123</f>
        <v>8.043960196037693</v>
      </c>
      <c r="L248" s="125">
        <f>ROUNDUP(L163*1000/$F$68,0)*$I77/1000*L$123</f>
        <v>8.679433051524672</v>
      </c>
      <c r="M248" s="125">
        <f>ROUNDUP(M163*1000/$F$68,0)*$I77/1000*M$123</f>
        <v>9.3651082625951201</v>
      </c>
      <c r="N248" s="125">
        <f>ROUNDUP(N163*1000/$F$68,0)*$I77/1000*N$123</f>
        <v>10.104951815340133</v>
      </c>
      <c r="O248" s="125">
        <f>ROUNDUP(O163*1000/$F$68,0)*$I77/1000*O$123</f>
        <v>10.903243008752003</v>
      </c>
      <c r="P248" s="122"/>
      <c r="Q248" s="122"/>
      <c r="R248" s="122"/>
      <c r="S248" s="122"/>
      <c r="T248" s="122"/>
      <c r="U248" s="122"/>
      <c r="V248" s="122"/>
      <c r="W248" s="122"/>
      <c r="X248" s="122"/>
      <c r="Y248" s="122"/>
      <c r="Z248" s="122"/>
    </row>
    <row r="249" spans="1:26" ht="12.75" x14ac:dyDescent="0.2">
      <c r="A249" s="122"/>
      <c r="B249" s="180"/>
      <c r="C249" s="198" t="s">
        <v>217</v>
      </c>
      <c r="D249" s="182"/>
      <c r="E249" s="182"/>
      <c r="F249" s="187">
        <f>SUM(F242:F248)</f>
        <v>54.199295839999998</v>
      </c>
      <c r="G249" s="187">
        <f t="shared" ref="G249:O249" si="63">SUM(G242:G248)</f>
        <v>59.128440211359987</v>
      </c>
      <c r="H249" s="187">
        <f t="shared" si="63"/>
        <v>64.498131588057419</v>
      </c>
      <c r="I249" s="187">
        <f t="shared" si="63"/>
        <v>70.472835210813983</v>
      </c>
      <c r="J249" s="187">
        <f t="shared" si="63"/>
        <v>76.175734903076375</v>
      </c>
      <c r="K249" s="187">
        <f t="shared" si="63"/>
        <v>82.193617960419417</v>
      </c>
      <c r="L249" s="187">
        <f t="shared" si="63"/>
        <v>88.686913779292524</v>
      </c>
      <c r="M249" s="187">
        <f t="shared" si="63"/>
        <v>95.693179967856636</v>
      </c>
      <c r="N249" s="187">
        <f t="shared" si="63"/>
        <v>103.25294118531731</v>
      </c>
      <c r="O249" s="187">
        <f t="shared" si="63"/>
        <v>111.40992353895737</v>
      </c>
      <c r="P249" s="122"/>
      <c r="Q249" s="122"/>
      <c r="R249" s="122"/>
      <c r="S249" s="122"/>
      <c r="T249" s="122"/>
      <c r="U249" s="122"/>
      <c r="V249" s="122"/>
      <c r="W249" s="122"/>
      <c r="X249" s="122"/>
      <c r="Y249" s="122"/>
      <c r="Z249" s="122"/>
    </row>
    <row r="250" spans="1:26" ht="12.75" x14ac:dyDescent="0.2">
      <c r="A250" s="122"/>
      <c r="B250" s="155"/>
      <c r="C250" s="155"/>
      <c r="D250" s="155"/>
      <c r="E250" s="155"/>
      <c r="F250" s="155"/>
      <c r="G250" s="155"/>
      <c r="H250" s="155"/>
      <c r="I250" s="155"/>
      <c r="J250" s="155"/>
      <c r="K250" s="155"/>
      <c r="L250" s="155"/>
      <c r="M250" s="155"/>
      <c r="N250" s="155"/>
      <c r="O250" s="155"/>
      <c r="P250" s="122"/>
      <c r="Q250" s="122"/>
      <c r="R250" s="122"/>
      <c r="S250" s="122"/>
      <c r="T250" s="122"/>
      <c r="U250" s="122"/>
      <c r="V250" s="122"/>
      <c r="W250" s="122"/>
      <c r="X250" s="122"/>
      <c r="Y250" s="122"/>
      <c r="Z250" s="122"/>
    </row>
    <row r="251" spans="1:26" ht="12.75" x14ac:dyDescent="0.2">
      <c r="A251" s="122"/>
      <c r="B251" s="180"/>
      <c r="C251" s="188" t="s">
        <v>287</v>
      </c>
      <c r="D251" s="201"/>
      <c r="E251" s="201"/>
      <c r="F251" s="202"/>
      <c r="G251" s="202"/>
      <c r="H251" s="202"/>
      <c r="I251" s="202"/>
      <c r="J251" s="202"/>
      <c r="K251" s="202"/>
      <c r="L251" s="202"/>
      <c r="M251" s="202"/>
      <c r="N251" s="202"/>
      <c r="O251" s="202"/>
      <c r="P251" s="122"/>
      <c r="Q251" s="122"/>
      <c r="R251" s="122"/>
      <c r="S251" s="122"/>
      <c r="T251" s="122"/>
      <c r="U251" s="122"/>
      <c r="V251" s="122"/>
      <c r="W251" s="122"/>
      <c r="X251" s="122"/>
      <c r="Y251" s="122"/>
      <c r="Z251" s="122"/>
    </row>
    <row r="252" spans="1:26" ht="12.75" x14ac:dyDescent="0.2">
      <c r="A252" s="122"/>
      <c r="B252" s="180"/>
      <c r="C252" s="155" t="s">
        <v>375</v>
      </c>
      <c r="D252" s="201"/>
      <c r="E252" s="201"/>
      <c r="F252" s="190">
        <f>$I86*F$123/1000*F$163</f>
        <v>6.7999272673300739</v>
      </c>
      <c r="G252" s="190">
        <f>$I86*G$123/1000*G$163</f>
        <v>8.4980210601852075</v>
      </c>
      <c r="H252" s="190">
        <f>$I86*H$123/1000*H$163</f>
        <v>10.597340810557514</v>
      </c>
      <c r="I252" s="190">
        <f>$I86*I$123/1000*I$163</f>
        <v>13.191026999696492</v>
      </c>
      <c r="J252" s="190">
        <f>$I86*J$123/1000*J$163</f>
        <v>14.425369093293419</v>
      </c>
      <c r="K252" s="190">
        <f>$I86*K$123/1000*K$163</f>
        <v>15.564973251663597</v>
      </c>
      <c r="L252" s="190">
        <f>$I86*L$123/1000*L$163</f>
        <v>16.794606138545021</v>
      </c>
      <c r="M252" s="190">
        <f>$I86*M$123/1000*M$163</f>
        <v>18.121380023490079</v>
      </c>
      <c r="N252" s="190">
        <f>$I86*N$123/1000*N$163</f>
        <v>19.552969045345794</v>
      </c>
      <c r="O252" s="190">
        <f>$I86*O$123/1000*O$163</f>
        <v>21.097653599928112</v>
      </c>
      <c r="P252" s="122"/>
      <c r="Q252" s="122"/>
      <c r="R252" s="122"/>
      <c r="S252" s="122"/>
      <c r="T252" s="122"/>
      <c r="U252" s="122"/>
      <c r="V252" s="122"/>
      <c r="W252" s="122"/>
      <c r="X252" s="122"/>
      <c r="Y252" s="122"/>
      <c r="Z252" s="122"/>
    </row>
    <row r="253" spans="1:26" ht="12.75" x14ac:dyDescent="0.2">
      <c r="A253" s="122"/>
      <c r="B253" s="180"/>
      <c r="C253" s="184" t="s">
        <v>284</v>
      </c>
      <c r="D253" s="185"/>
      <c r="E253" s="185"/>
      <c r="F253" s="186">
        <f>$I87*F$123/1000*(F$163+F$162+F$161)</f>
        <v>5.193579469050432</v>
      </c>
      <c r="G253" s="186">
        <f>$I87*G$123/1000*(G$163+G$162+G$161)</f>
        <v>6.3884143617001747</v>
      </c>
      <c r="H253" s="186">
        <f>$I87*H$123/1000*(H$163+H$162+H$161)</f>
        <v>7.8581329697529156</v>
      </c>
      <c r="I253" s="186">
        <f>$I87*I$123/1000*(I$163+I$162+I$161)</f>
        <v>9.6659750407742706</v>
      </c>
      <c r="J253" s="186">
        <f>$I87*J$123/1000*(J$163+J$162+J$161)</f>
        <v>10.55951129598119</v>
      </c>
      <c r="K253" s="186">
        <f>$I87*K$123/1000*(K$163+K$162+K$161)</f>
        <v>11.393712688363703</v>
      </c>
      <c r="L253" s="186">
        <f>$I87*L$123/1000*(L$163+L$162+L$161)</f>
        <v>12.293815990744436</v>
      </c>
      <c r="M253" s="186">
        <f>$I87*M$123/1000*(M$163+M$162+M$161)</f>
        <v>13.265027454013245</v>
      </c>
      <c r="N253" s="186">
        <f>$I87*N$123/1000*(N$163+N$162+N$161)</f>
        <v>14.312964622880292</v>
      </c>
      <c r="O253" s="186">
        <f>$I87*O$123/1000*(O$163+O$162+O$161)</f>
        <v>15.443688828087835</v>
      </c>
      <c r="P253" s="122"/>
      <c r="Q253" s="122"/>
      <c r="R253" s="122"/>
      <c r="S253" s="122"/>
      <c r="T253" s="122"/>
      <c r="U253" s="122"/>
      <c r="V253" s="122"/>
      <c r="W253" s="122"/>
      <c r="X253" s="122"/>
      <c r="Y253" s="122"/>
      <c r="Z253" s="122"/>
    </row>
    <row r="254" spans="1:26" ht="12.75" x14ac:dyDescent="0.2">
      <c r="A254" s="122"/>
      <c r="B254" s="180"/>
      <c r="C254" s="189" t="s">
        <v>289</v>
      </c>
      <c r="D254" s="201"/>
      <c r="E254" s="201"/>
      <c r="F254" s="202">
        <f t="shared" ref="F254:O254" si="64">SUM(F252:F253)</f>
        <v>11.993506736380507</v>
      </c>
      <c r="G254" s="202">
        <f t="shared" si="64"/>
        <v>14.886435421885382</v>
      </c>
      <c r="H254" s="202">
        <f t="shared" si="64"/>
        <v>18.455473780310427</v>
      </c>
      <c r="I254" s="202">
        <f t="shared" si="64"/>
        <v>22.857002040470761</v>
      </c>
      <c r="J254" s="202">
        <f t="shared" si="64"/>
        <v>24.984880389274608</v>
      </c>
      <c r="K254" s="202">
        <f t="shared" si="64"/>
        <v>26.958685940027301</v>
      </c>
      <c r="L254" s="202">
        <f t="shared" si="64"/>
        <v>29.088422129289455</v>
      </c>
      <c r="M254" s="202">
        <f t="shared" si="64"/>
        <v>31.386407477503326</v>
      </c>
      <c r="N254" s="202">
        <f t="shared" si="64"/>
        <v>33.865933668226084</v>
      </c>
      <c r="O254" s="202">
        <f t="shared" si="64"/>
        <v>36.541342428015945</v>
      </c>
      <c r="P254" s="122"/>
      <c r="Q254" s="122"/>
      <c r="R254" s="122"/>
      <c r="S254" s="122"/>
      <c r="T254" s="122"/>
      <c r="U254" s="122"/>
      <c r="V254" s="122"/>
      <c r="W254" s="122"/>
      <c r="X254" s="122"/>
      <c r="Y254" s="122"/>
      <c r="Z254" s="122"/>
    </row>
    <row r="255" spans="1:26" ht="12.75" x14ac:dyDescent="0.2">
      <c r="A255" s="122"/>
      <c r="B255" s="122"/>
      <c r="C255" s="173"/>
      <c r="D255" s="122"/>
      <c r="E255" s="122"/>
      <c r="F255" s="122"/>
      <c r="G255" s="122"/>
      <c r="H255" s="122"/>
      <c r="I255" s="122"/>
      <c r="J255" s="122"/>
      <c r="K255" s="122"/>
      <c r="L255" s="122"/>
      <c r="M255" s="122"/>
      <c r="N255" s="122"/>
      <c r="O255" s="122"/>
      <c r="P255" s="122"/>
      <c r="Q255" s="122"/>
      <c r="R255" s="122"/>
      <c r="S255" s="122"/>
      <c r="T255" s="122"/>
      <c r="U255" s="122"/>
      <c r="V255" s="122"/>
      <c r="W255" s="122"/>
      <c r="X255" s="122"/>
      <c r="Y255" s="122"/>
      <c r="Z255" s="122"/>
    </row>
    <row r="256" spans="1:26" ht="12.75" x14ac:dyDescent="0.2">
      <c r="A256" s="122"/>
      <c r="B256" s="179" t="s">
        <v>228</v>
      </c>
      <c r="C256" s="155"/>
      <c r="D256" s="180"/>
      <c r="E256" s="180"/>
      <c r="F256" s="180"/>
      <c r="G256" s="180"/>
      <c r="H256" s="180"/>
      <c r="I256" s="180"/>
      <c r="J256" s="180"/>
      <c r="K256" s="180"/>
      <c r="L256" s="180"/>
      <c r="M256" s="180"/>
      <c r="N256" s="180"/>
      <c r="O256" s="180"/>
      <c r="P256" s="122"/>
      <c r="Q256" s="122"/>
      <c r="R256" s="122"/>
      <c r="S256" s="122"/>
      <c r="T256" s="122"/>
      <c r="U256" s="122"/>
      <c r="V256" s="122"/>
      <c r="W256" s="122"/>
      <c r="X256" s="122"/>
      <c r="Y256" s="122"/>
      <c r="Z256" s="122"/>
    </row>
    <row r="257" spans="1:26" ht="12.75" x14ac:dyDescent="0.2">
      <c r="A257" s="122"/>
      <c r="B257" s="180"/>
      <c r="C257" s="188" t="s">
        <v>218</v>
      </c>
      <c r="D257" s="180"/>
      <c r="E257" s="180"/>
      <c r="F257" s="180"/>
      <c r="G257" s="180"/>
      <c r="H257" s="180"/>
      <c r="I257" s="180"/>
      <c r="J257" s="180"/>
      <c r="K257" s="180"/>
      <c r="L257" s="180"/>
      <c r="M257" s="180"/>
      <c r="N257" s="180"/>
      <c r="O257" s="180"/>
      <c r="P257" s="122"/>
      <c r="Q257" s="122"/>
      <c r="R257" s="122"/>
      <c r="S257" s="122"/>
      <c r="T257" s="122"/>
      <c r="U257" s="122"/>
      <c r="V257" s="122"/>
      <c r="W257" s="122"/>
      <c r="X257" s="122"/>
      <c r="Y257" s="122"/>
      <c r="Z257" s="122"/>
    </row>
    <row r="258" spans="1:26" ht="12.75" x14ac:dyDescent="0.2">
      <c r="A258" s="122"/>
      <c r="B258" s="180"/>
      <c r="C258" s="228" t="s">
        <v>272</v>
      </c>
      <c r="D258" s="180"/>
      <c r="E258" s="180"/>
      <c r="F258" s="125" t="e">
        <f>$M40*#REF!*$M48*F$138*F$123/1000</f>
        <v>#REF!</v>
      </c>
      <c r="G258" s="125" t="e">
        <f>$M40*#REF!*$M48*G$138*G$123/1000</f>
        <v>#REF!</v>
      </c>
      <c r="H258" s="125" t="e">
        <f>$M40*#REF!*$M48*H$138*H$123/1000</f>
        <v>#REF!</v>
      </c>
      <c r="I258" s="125" t="e">
        <f>$M40*#REF!*$M48*I$138*I$123/1000</f>
        <v>#REF!</v>
      </c>
      <c r="J258" s="125" t="e">
        <f>$M40*#REF!*$M48*J$138*J$123/1000</f>
        <v>#REF!</v>
      </c>
      <c r="K258" s="125" t="e">
        <f>$M40*#REF!*$M48*K$138*K$123/1000</f>
        <v>#REF!</v>
      </c>
      <c r="L258" s="125" t="e">
        <f>$M40*#REF!*$M48*L$138*L$123/1000</f>
        <v>#REF!</v>
      </c>
      <c r="M258" s="125" t="e">
        <f>$M40*#REF!*$M48*M$138*M$123/1000</f>
        <v>#REF!</v>
      </c>
      <c r="N258" s="125" t="e">
        <f>$M40*#REF!*$M48*N$138*N$123/1000</f>
        <v>#REF!</v>
      </c>
      <c r="O258" s="125" t="e">
        <f>$M40*#REF!*$M48*O$138*O$123/1000</f>
        <v>#REF!</v>
      </c>
      <c r="P258" s="122"/>
      <c r="Q258" s="122"/>
      <c r="R258" s="122"/>
      <c r="S258" s="122"/>
      <c r="T258" s="122"/>
      <c r="U258" s="122"/>
      <c r="V258" s="122"/>
      <c r="W258" s="122"/>
      <c r="X258" s="122"/>
      <c r="Y258" s="122"/>
      <c r="Z258" s="122"/>
    </row>
    <row r="259" spans="1:26" ht="12.75" x14ac:dyDescent="0.2">
      <c r="A259" s="122"/>
      <c r="B259" s="180"/>
      <c r="C259" s="228" t="s">
        <v>273</v>
      </c>
      <c r="D259" s="180"/>
      <c r="E259" s="180"/>
      <c r="F259" s="125" t="e">
        <f>$M41*#REF!*$M49*F$138*F$123/1000</f>
        <v>#REF!</v>
      </c>
      <c r="G259" s="125" t="e">
        <f>$M41*#REF!*$M49*G$138*G$123/1000</f>
        <v>#REF!</v>
      </c>
      <c r="H259" s="125" t="e">
        <f>$M41*#REF!*$M49*H$138*H$123/1000</f>
        <v>#REF!</v>
      </c>
      <c r="I259" s="125" t="e">
        <f>$M41*#REF!*$M49*I$138*I$123/1000</f>
        <v>#REF!</v>
      </c>
      <c r="J259" s="125" t="e">
        <f>$M41*#REF!*$M49*J$138*J$123/1000</f>
        <v>#REF!</v>
      </c>
      <c r="K259" s="125" t="e">
        <f>$M41*#REF!*$M49*K$138*K$123/1000</f>
        <v>#REF!</v>
      </c>
      <c r="L259" s="125" t="e">
        <f>$M41*#REF!*$M49*L$138*L$123/1000</f>
        <v>#REF!</v>
      </c>
      <c r="M259" s="125" t="e">
        <f>$M41*#REF!*$M49*M$138*M$123/1000</f>
        <v>#REF!</v>
      </c>
      <c r="N259" s="125" t="e">
        <f>$M41*#REF!*$M49*N$138*N$123/1000</f>
        <v>#REF!</v>
      </c>
      <c r="O259" s="125" t="e">
        <f>$M41*#REF!*$M49*O$138*O$123/1000</f>
        <v>#REF!</v>
      </c>
      <c r="P259" s="122"/>
      <c r="Q259" s="122"/>
      <c r="R259" s="122"/>
      <c r="S259" s="122"/>
      <c r="T259" s="122"/>
      <c r="U259" s="122"/>
      <c r="V259" s="122"/>
      <c r="W259" s="122"/>
      <c r="X259" s="122"/>
      <c r="Y259" s="122"/>
      <c r="Z259" s="122"/>
    </row>
    <row r="260" spans="1:26" ht="12.75" x14ac:dyDescent="0.2">
      <c r="A260" s="122"/>
      <c r="B260" s="180"/>
      <c r="C260" s="228" t="s">
        <v>274</v>
      </c>
      <c r="D260" s="180"/>
      <c r="E260" s="180"/>
      <c r="F260" s="125" t="e">
        <f>$M42*#REF!*$M50*F$138*F$123/1000</f>
        <v>#REF!</v>
      </c>
      <c r="G260" s="125" t="e">
        <f>$M42*#REF!*$M50*G$138*G$123/1000</f>
        <v>#REF!</v>
      </c>
      <c r="H260" s="125" t="e">
        <f>$M42*#REF!*$M50*H$138*H$123/1000</f>
        <v>#REF!</v>
      </c>
      <c r="I260" s="125" t="e">
        <f>$M42*#REF!*$M50*I$138*I$123/1000</f>
        <v>#REF!</v>
      </c>
      <c r="J260" s="125" t="e">
        <f>$M42*#REF!*$M50*J$138*J$123/1000</f>
        <v>#REF!</v>
      </c>
      <c r="K260" s="125" t="e">
        <f>$M42*#REF!*$M50*K$138*K$123/1000</f>
        <v>#REF!</v>
      </c>
      <c r="L260" s="125" t="e">
        <f>$M42*#REF!*$M50*L$138*L$123/1000</f>
        <v>#REF!</v>
      </c>
      <c r="M260" s="125" t="e">
        <f>$M42*#REF!*$M50*M$138*M$123/1000</f>
        <v>#REF!</v>
      </c>
      <c r="N260" s="125" t="e">
        <f>$M42*#REF!*$M50*N$138*N$123/1000</f>
        <v>#REF!</v>
      </c>
      <c r="O260" s="125" t="e">
        <f>$M42*#REF!*$M50*O$138*O$123/1000</f>
        <v>#REF!</v>
      </c>
      <c r="P260" s="122"/>
      <c r="Q260" s="122"/>
      <c r="R260" s="122"/>
      <c r="S260" s="122"/>
      <c r="T260" s="122"/>
      <c r="U260" s="122"/>
      <c r="V260" s="122"/>
      <c r="W260" s="122"/>
      <c r="X260" s="122"/>
      <c r="Y260" s="122"/>
      <c r="Z260" s="122"/>
    </row>
    <row r="261" spans="1:26" ht="12.75" x14ac:dyDescent="0.2">
      <c r="A261" s="122"/>
      <c r="B261" s="180"/>
      <c r="C261" s="228" t="s">
        <v>275</v>
      </c>
      <c r="D261" s="180"/>
      <c r="E261" s="180"/>
      <c r="F261" s="125" t="e">
        <f>$M43*#REF!*$M51*F$138*F$123/1000</f>
        <v>#REF!</v>
      </c>
      <c r="G261" s="125" t="e">
        <f>$M43*#REF!*$M51*G$138*G$123/1000</f>
        <v>#REF!</v>
      </c>
      <c r="H261" s="125" t="e">
        <f>$M43*#REF!*$M51*H$138*H$123/1000</f>
        <v>#REF!</v>
      </c>
      <c r="I261" s="125" t="e">
        <f>$M43*#REF!*$M51*I$138*I$123/1000</f>
        <v>#REF!</v>
      </c>
      <c r="J261" s="125" t="e">
        <f>$M43*#REF!*$M51*J$138*J$123/1000</f>
        <v>#REF!</v>
      </c>
      <c r="K261" s="125" t="e">
        <f>$M43*#REF!*$M51*K$138*K$123/1000</f>
        <v>#REF!</v>
      </c>
      <c r="L261" s="125" t="e">
        <f>$M43*#REF!*$M51*L$138*L$123/1000</f>
        <v>#REF!</v>
      </c>
      <c r="M261" s="125" t="e">
        <f>$M43*#REF!*$M51*M$138*M$123/1000</f>
        <v>#REF!</v>
      </c>
      <c r="N261" s="125" t="e">
        <f>$M43*#REF!*$M51*N$138*N$123/1000</f>
        <v>#REF!</v>
      </c>
      <c r="O261" s="125" t="e">
        <f>$M43*#REF!*$M51*O$138*O$123/1000</f>
        <v>#REF!</v>
      </c>
      <c r="P261" s="122"/>
      <c r="Q261" s="122"/>
      <c r="R261" s="122"/>
      <c r="S261" s="122"/>
      <c r="T261" s="122"/>
      <c r="U261" s="122"/>
      <c r="V261" s="122"/>
      <c r="W261" s="122"/>
      <c r="X261" s="122"/>
      <c r="Y261" s="122"/>
      <c r="Z261" s="122"/>
    </row>
    <row r="262" spans="1:26" ht="12.75" x14ac:dyDescent="0.2">
      <c r="A262" s="122"/>
      <c r="B262" s="180"/>
      <c r="C262" s="152" t="s">
        <v>293</v>
      </c>
      <c r="D262" s="180"/>
      <c r="E262" s="180"/>
      <c r="F262" s="125" t="e">
        <f>$M44*#REF!*$M52*F$138*F$123/1000</f>
        <v>#REF!</v>
      </c>
      <c r="G262" s="125" t="e">
        <f>$M44*#REF!*$M52*G$138*G$123/1000</f>
        <v>#REF!</v>
      </c>
      <c r="H262" s="125" t="e">
        <f>$M44*#REF!*$M52*H$138*H$123/1000</f>
        <v>#REF!</v>
      </c>
      <c r="I262" s="125" t="e">
        <f>$M44*#REF!*$M52*I$138*I$123/1000</f>
        <v>#REF!</v>
      </c>
      <c r="J262" s="125" t="e">
        <f>$M44*#REF!*$M52*J$138*J$123/1000</f>
        <v>#REF!</v>
      </c>
      <c r="K262" s="125" t="e">
        <f>$M44*#REF!*$M52*K$138*K$123/1000</f>
        <v>#REF!</v>
      </c>
      <c r="L262" s="125" t="e">
        <f>$M44*#REF!*$M52*L$138*L$123/1000</f>
        <v>#REF!</v>
      </c>
      <c r="M262" s="125" t="e">
        <f>$M44*#REF!*$M52*M$138*M$123/1000</f>
        <v>#REF!</v>
      </c>
      <c r="N262" s="125" t="e">
        <f>$M44*#REF!*$M52*N$138*N$123/1000</f>
        <v>#REF!</v>
      </c>
      <c r="O262" s="125" t="e">
        <f>$M44*#REF!*$M52*O$138*O$123/1000</f>
        <v>#REF!</v>
      </c>
      <c r="P262" s="122"/>
      <c r="Q262" s="122"/>
      <c r="R262" s="122"/>
      <c r="S262" s="122"/>
      <c r="T262" s="122"/>
      <c r="U262" s="122"/>
      <c r="V262" s="122"/>
      <c r="W262" s="122"/>
      <c r="X262" s="122"/>
      <c r="Y262" s="122"/>
      <c r="Z262" s="122"/>
    </row>
    <row r="263" spans="1:26" ht="12.75" x14ac:dyDescent="0.2">
      <c r="A263" s="122"/>
      <c r="B263" s="180"/>
      <c r="C263" s="228" t="s">
        <v>278</v>
      </c>
      <c r="D263" s="180"/>
      <c r="E263" s="180"/>
      <c r="F263" s="125" t="e">
        <f>$M45*#REF!*$M53*F$138*F$123/1000</f>
        <v>#REF!</v>
      </c>
      <c r="G263" s="125" t="e">
        <f>$M45*#REF!*$M53*G$138*G$123/1000</f>
        <v>#REF!</v>
      </c>
      <c r="H263" s="125" t="e">
        <f>$M45*#REF!*$M53*H$138*H$123/1000</f>
        <v>#REF!</v>
      </c>
      <c r="I263" s="125" t="e">
        <f>$M45*#REF!*$M53*I$138*I$123/1000</f>
        <v>#REF!</v>
      </c>
      <c r="J263" s="125" t="e">
        <f>$M45*#REF!*$M53*J$138*J$123/1000</f>
        <v>#REF!</v>
      </c>
      <c r="K263" s="125" t="e">
        <f>$M45*#REF!*$M53*K$138*K$123/1000</f>
        <v>#REF!</v>
      </c>
      <c r="L263" s="125" t="e">
        <f>$M45*#REF!*$M53*L$138*L$123/1000</f>
        <v>#REF!</v>
      </c>
      <c r="M263" s="125" t="e">
        <f>$M45*#REF!*$M53*M$138*M$123/1000</f>
        <v>#REF!</v>
      </c>
      <c r="N263" s="125" t="e">
        <f>$M45*#REF!*$M53*N$138*N$123/1000</f>
        <v>#REF!</v>
      </c>
      <c r="O263" s="125" t="e">
        <f>$M45*#REF!*$M53*O$138*O$123/1000</f>
        <v>#REF!</v>
      </c>
      <c r="P263" s="122"/>
      <c r="Q263" s="122"/>
      <c r="R263" s="122"/>
      <c r="S263" s="122"/>
      <c r="T263" s="122"/>
      <c r="U263" s="122"/>
      <c r="V263" s="122"/>
      <c r="W263" s="122"/>
      <c r="X263" s="122"/>
      <c r="Y263" s="122"/>
      <c r="Z263" s="122"/>
    </row>
    <row r="264" spans="1:26" ht="12.75" x14ac:dyDescent="0.2">
      <c r="A264" s="122"/>
      <c r="B264" s="180"/>
      <c r="C264" s="152" t="s">
        <v>85</v>
      </c>
      <c r="D264" s="180"/>
      <c r="E264" s="180"/>
      <c r="F264" s="125">
        <f t="shared" ref="F264:O264" si="65">IF(F193&lt;$I$47,$M$46*$M$53*F$138*F$123/1000,0)</f>
        <v>0</v>
      </c>
      <c r="G264" s="125">
        <f t="shared" si="65"/>
        <v>0</v>
      </c>
      <c r="H264" s="125">
        <f t="shared" si="65"/>
        <v>0</v>
      </c>
      <c r="I264" s="125">
        <f t="shared" si="65"/>
        <v>0</v>
      </c>
      <c r="J264" s="125">
        <f t="shared" si="65"/>
        <v>0</v>
      </c>
      <c r="K264" s="125">
        <f t="shared" si="65"/>
        <v>0</v>
      </c>
      <c r="L264" s="125">
        <f t="shared" si="65"/>
        <v>0</v>
      </c>
      <c r="M264" s="125">
        <f t="shared" si="65"/>
        <v>0</v>
      </c>
      <c r="N264" s="125">
        <f t="shared" si="65"/>
        <v>0</v>
      </c>
      <c r="O264" s="125">
        <f t="shared" si="65"/>
        <v>0</v>
      </c>
      <c r="P264" s="122"/>
      <c r="Q264" s="122"/>
      <c r="R264" s="122"/>
      <c r="S264" s="122"/>
      <c r="T264" s="122"/>
      <c r="U264" s="122"/>
      <c r="V264" s="122"/>
      <c r="W264" s="122"/>
      <c r="X264" s="122"/>
      <c r="Y264" s="122"/>
      <c r="Z264" s="122"/>
    </row>
    <row r="265" spans="1:26" ht="12.75" x14ac:dyDescent="0.2">
      <c r="A265" s="122"/>
      <c r="B265" s="180"/>
      <c r="C265" s="199" t="s">
        <v>207</v>
      </c>
      <c r="D265" s="182"/>
      <c r="E265" s="182"/>
      <c r="F265" s="127" t="e">
        <f>SUM(F258:F264)</f>
        <v>#REF!</v>
      </c>
      <c r="G265" s="127" t="e">
        <f t="shared" ref="G265:O265" si="66">SUM(G258:G264)</f>
        <v>#REF!</v>
      </c>
      <c r="H265" s="127" t="e">
        <f t="shared" si="66"/>
        <v>#REF!</v>
      </c>
      <c r="I265" s="127" t="e">
        <f t="shared" si="66"/>
        <v>#REF!</v>
      </c>
      <c r="J265" s="127" t="e">
        <f t="shared" si="66"/>
        <v>#REF!</v>
      </c>
      <c r="K265" s="127" t="e">
        <f t="shared" si="66"/>
        <v>#REF!</v>
      </c>
      <c r="L265" s="127" t="e">
        <f t="shared" si="66"/>
        <v>#REF!</v>
      </c>
      <c r="M265" s="127" t="e">
        <f t="shared" si="66"/>
        <v>#REF!</v>
      </c>
      <c r="N265" s="127" t="e">
        <f t="shared" si="66"/>
        <v>#REF!</v>
      </c>
      <c r="O265" s="127" t="e">
        <f t="shared" si="66"/>
        <v>#REF!</v>
      </c>
      <c r="P265" s="122"/>
      <c r="Q265" s="122"/>
      <c r="R265" s="122"/>
      <c r="S265" s="122"/>
      <c r="T265" s="122"/>
      <c r="U265" s="122"/>
      <c r="V265" s="122"/>
      <c r="W265" s="122"/>
      <c r="X265" s="122"/>
      <c r="Y265" s="122"/>
      <c r="Z265" s="122"/>
    </row>
    <row r="266" spans="1:26" ht="12.75" x14ac:dyDescent="0.2">
      <c r="A266" s="122"/>
      <c r="B266" s="180"/>
      <c r="C266" s="152"/>
      <c r="D266" s="180"/>
      <c r="E266" s="180"/>
      <c r="F266" s="183"/>
      <c r="G266" s="183"/>
      <c r="H266" s="183"/>
      <c r="I266" s="183"/>
      <c r="J266" s="183"/>
      <c r="K266" s="183"/>
      <c r="L266" s="183"/>
      <c r="M266" s="183"/>
      <c r="N266" s="183"/>
      <c r="O266" s="183"/>
      <c r="P266" s="122"/>
      <c r="Q266" s="122"/>
      <c r="R266" s="122"/>
      <c r="S266" s="122"/>
      <c r="T266" s="122"/>
      <c r="U266" s="122"/>
      <c r="V266" s="122"/>
      <c r="W266" s="122"/>
      <c r="X266" s="122"/>
      <c r="Y266" s="122"/>
      <c r="Z266" s="122"/>
    </row>
    <row r="267" spans="1:26" ht="12.75" x14ac:dyDescent="0.2">
      <c r="A267" s="122"/>
      <c r="B267" s="180"/>
      <c r="C267" s="188" t="s">
        <v>215</v>
      </c>
      <c r="D267" s="180"/>
      <c r="E267" s="180"/>
      <c r="F267" s="183"/>
      <c r="G267" s="183"/>
      <c r="H267" s="183"/>
      <c r="I267" s="183"/>
      <c r="J267" s="183"/>
      <c r="K267" s="183"/>
      <c r="L267" s="183"/>
      <c r="M267" s="183"/>
      <c r="N267" s="183"/>
      <c r="O267" s="183"/>
      <c r="P267" s="122"/>
      <c r="Q267" s="122"/>
      <c r="R267" s="122"/>
      <c r="S267" s="122"/>
      <c r="T267" s="122"/>
      <c r="U267" s="122"/>
      <c r="V267" s="122"/>
      <c r="W267" s="122"/>
      <c r="X267" s="122"/>
      <c r="Y267" s="122"/>
      <c r="Z267" s="122"/>
    </row>
    <row r="268" spans="1:26" ht="12.75" x14ac:dyDescent="0.2">
      <c r="A268" s="122"/>
      <c r="B268" s="180"/>
      <c r="C268" s="155" t="s">
        <v>110</v>
      </c>
      <c r="D268" s="180"/>
      <c r="E268" s="180"/>
      <c r="F268" s="125" t="e">
        <f>$M$57*#REF!*F$123/1000</f>
        <v>#REF!</v>
      </c>
      <c r="G268" s="125" t="e">
        <f>$M$57*#REF!*G$123/1000</f>
        <v>#REF!</v>
      </c>
      <c r="H268" s="125" t="e">
        <f>$M$57*#REF!*H$123/1000</f>
        <v>#REF!</v>
      </c>
      <c r="I268" s="125" t="e">
        <f>$M$57*#REF!*I$123/1000</f>
        <v>#REF!</v>
      </c>
      <c r="J268" s="125" t="e">
        <f>$M$57*#REF!*J$123/1000</f>
        <v>#REF!</v>
      </c>
      <c r="K268" s="125" t="e">
        <f>$M$57*#REF!*K$123/1000</f>
        <v>#REF!</v>
      </c>
      <c r="L268" s="125" t="e">
        <f>$M$57*#REF!*L$123/1000</f>
        <v>#REF!</v>
      </c>
      <c r="M268" s="125" t="e">
        <f>$M$57*#REF!*M$123/1000</f>
        <v>#REF!</v>
      </c>
      <c r="N268" s="125" t="e">
        <f>$M$57*#REF!*N$123/1000</f>
        <v>#REF!</v>
      </c>
      <c r="O268" s="125" t="e">
        <f>$M$57*#REF!*O$123/1000</f>
        <v>#REF!</v>
      </c>
      <c r="P268" s="122"/>
      <c r="Q268" s="122"/>
      <c r="R268" s="122"/>
      <c r="S268" s="122"/>
      <c r="T268" s="122"/>
      <c r="U268" s="122"/>
      <c r="V268" s="122"/>
      <c r="W268" s="122"/>
      <c r="X268" s="122"/>
      <c r="Y268" s="122"/>
      <c r="Z268" s="122"/>
    </row>
    <row r="269" spans="1:26" ht="12.75" x14ac:dyDescent="0.2">
      <c r="A269" s="122"/>
      <c r="B269" s="180"/>
      <c r="C269" s="184" t="s">
        <v>283</v>
      </c>
      <c r="D269" s="185"/>
      <c r="E269" s="185"/>
      <c r="F269" s="186" t="e">
        <f>($M$59+$M$59*(#REF!-1)*($M$58))/1000*F$123</f>
        <v>#REF!</v>
      </c>
      <c r="G269" s="186" t="e">
        <f>($M$59+$M$59*(#REF!-1)*($M$58))/1000*G$123</f>
        <v>#REF!</v>
      </c>
      <c r="H269" s="186" t="e">
        <f>($M$59+$M$59*(#REF!-1)*($M$58))/1000*H$123</f>
        <v>#REF!</v>
      </c>
      <c r="I269" s="186" t="e">
        <f>($M$59+$M$59*(#REF!-1)*($M$58))/1000*I$123</f>
        <v>#REF!</v>
      </c>
      <c r="J269" s="186" t="e">
        <f>($M$59+$M$59*(#REF!-1)*($M$58))/1000*J$123</f>
        <v>#REF!</v>
      </c>
      <c r="K269" s="186" t="e">
        <f>($M$59+$M$59*(#REF!-1)*($M$58))/1000*K$123</f>
        <v>#REF!</v>
      </c>
      <c r="L269" s="186" t="e">
        <f>($M$59+$M$59*(#REF!-1)*($M$58))/1000*L$123</f>
        <v>#REF!</v>
      </c>
      <c r="M269" s="186" t="e">
        <f>($M$59+$M$59*(#REF!-1)*($M$58))/1000*M$123</f>
        <v>#REF!</v>
      </c>
      <c r="N269" s="186" t="e">
        <f>($M$59+$M$59*(#REF!-1)*($M$58))/1000*N$123</f>
        <v>#REF!</v>
      </c>
      <c r="O269" s="186" t="e">
        <f>($M$59+$M$59*(#REF!-1)*($M$58))/1000*O$123</f>
        <v>#REF!</v>
      </c>
      <c r="P269" s="122"/>
      <c r="Q269" s="122"/>
      <c r="R269" s="122"/>
      <c r="S269" s="122"/>
      <c r="T269" s="122"/>
      <c r="U269" s="122"/>
      <c r="V269" s="122"/>
      <c r="W269" s="122"/>
      <c r="X269" s="122"/>
      <c r="Y269" s="122"/>
      <c r="Z269" s="122"/>
    </row>
    <row r="270" spans="1:26" ht="12.75" x14ac:dyDescent="0.2">
      <c r="A270" s="122"/>
      <c r="B270" s="180"/>
      <c r="C270" s="199" t="s">
        <v>216</v>
      </c>
      <c r="D270" s="182"/>
      <c r="E270" s="182"/>
      <c r="F270" s="127" t="e">
        <f>SUM(F268:F269)</f>
        <v>#REF!</v>
      </c>
      <c r="G270" s="127" t="e">
        <f t="shared" ref="G270:O270" si="67">SUM(G268:G269)</f>
        <v>#REF!</v>
      </c>
      <c r="H270" s="127" t="e">
        <f t="shared" si="67"/>
        <v>#REF!</v>
      </c>
      <c r="I270" s="127" t="e">
        <f t="shared" si="67"/>
        <v>#REF!</v>
      </c>
      <c r="J270" s="127" t="e">
        <f t="shared" si="67"/>
        <v>#REF!</v>
      </c>
      <c r="K270" s="127" t="e">
        <f t="shared" si="67"/>
        <v>#REF!</v>
      </c>
      <c r="L270" s="127" t="e">
        <f t="shared" si="67"/>
        <v>#REF!</v>
      </c>
      <c r="M270" s="127" t="e">
        <f t="shared" si="67"/>
        <v>#REF!</v>
      </c>
      <c r="N270" s="127" t="e">
        <f t="shared" si="67"/>
        <v>#REF!</v>
      </c>
      <c r="O270" s="127" t="e">
        <f t="shared" si="67"/>
        <v>#REF!</v>
      </c>
      <c r="P270" s="122"/>
      <c r="Q270" s="122"/>
      <c r="R270" s="122"/>
      <c r="S270" s="122"/>
      <c r="T270" s="122"/>
      <c r="U270" s="122"/>
      <c r="V270" s="122"/>
      <c r="W270" s="122"/>
      <c r="X270" s="122"/>
      <c r="Y270" s="122"/>
      <c r="Z270" s="122"/>
    </row>
    <row r="271" spans="1:26" ht="12.75" x14ac:dyDescent="0.2">
      <c r="A271" s="122"/>
      <c r="B271" s="180"/>
      <c r="C271" s="231"/>
      <c r="D271" s="201"/>
      <c r="E271" s="201"/>
      <c r="F271" s="128"/>
      <c r="G271" s="128"/>
      <c r="H271" s="128"/>
      <c r="I271" s="128"/>
      <c r="J271" s="128"/>
      <c r="K271" s="128"/>
      <c r="L271" s="128"/>
      <c r="M271" s="128"/>
      <c r="N271" s="128"/>
      <c r="O271" s="128"/>
      <c r="P271" s="122"/>
      <c r="Q271" s="122"/>
      <c r="R271" s="122"/>
      <c r="S271" s="122"/>
      <c r="T271" s="122"/>
      <c r="U271" s="122"/>
      <c r="V271" s="122"/>
      <c r="W271" s="122"/>
      <c r="X271" s="122"/>
      <c r="Y271" s="122"/>
      <c r="Z271" s="122"/>
    </row>
    <row r="272" spans="1:26" ht="12.75" x14ac:dyDescent="0.2">
      <c r="A272" s="122"/>
      <c r="B272" s="180"/>
      <c r="C272" s="188" t="s">
        <v>219</v>
      </c>
      <c r="D272" s="201"/>
      <c r="E272" s="201"/>
      <c r="F272" s="128"/>
      <c r="G272" s="128"/>
      <c r="H272" s="128"/>
      <c r="I272" s="128"/>
      <c r="J272" s="128"/>
      <c r="K272" s="128"/>
      <c r="L272" s="128"/>
      <c r="M272" s="128"/>
      <c r="N272" s="128"/>
      <c r="O272" s="128"/>
      <c r="P272" s="122"/>
      <c r="Q272" s="122"/>
      <c r="R272" s="122"/>
      <c r="S272" s="122"/>
      <c r="T272" s="122"/>
      <c r="U272" s="122"/>
      <c r="V272" s="122"/>
      <c r="W272" s="122"/>
      <c r="X272" s="122"/>
      <c r="Y272" s="122"/>
      <c r="Z272" s="122"/>
    </row>
    <row r="273" spans="1:26" ht="12.75" x14ac:dyDescent="0.2">
      <c r="A273" s="122"/>
      <c r="B273" s="180"/>
      <c r="C273" s="152" t="s">
        <v>92</v>
      </c>
      <c r="D273" s="180"/>
      <c r="E273" s="180"/>
      <c r="F273" s="125" t="e">
        <f>F190*(1+$F$79)</f>
        <v>#REF!</v>
      </c>
      <c r="G273" s="125" t="e">
        <f t="shared" ref="G273:O273" si="68">G190*(1+$F$79)</f>
        <v>#REF!</v>
      </c>
      <c r="H273" s="125" t="e">
        <f t="shared" si="68"/>
        <v>#REF!</v>
      </c>
      <c r="I273" s="125" t="e">
        <f t="shared" si="68"/>
        <v>#REF!</v>
      </c>
      <c r="J273" s="125" t="e">
        <f t="shared" si="68"/>
        <v>#REF!</v>
      </c>
      <c r="K273" s="125" t="e">
        <f t="shared" si="68"/>
        <v>#REF!</v>
      </c>
      <c r="L273" s="125" t="e">
        <f t="shared" si="68"/>
        <v>#REF!</v>
      </c>
      <c r="M273" s="125" t="e">
        <f t="shared" si="68"/>
        <v>#REF!</v>
      </c>
      <c r="N273" s="125" t="e">
        <f t="shared" si="68"/>
        <v>#REF!</v>
      </c>
      <c r="O273" s="125" t="e">
        <f t="shared" si="68"/>
        <v>#REF!</v>
      </c>
      <c r="P273" s="122"/>
      <c r="Q273" s="122"/>
      <c r="R273" s="122"/>
      <c r="S273" s="122"/>
      <c r="T273" s="122"/>
      <c r="U273" s="122"/>
      <c r="V273" s="122"/>
      <c r="W273" s="122"/>
      <c r="X273" s="122"/>
      <c r="Y273" s="122"/>
      <c r="Z273" s="122"/>
    </row>
    <row r="274" spans="1:26" ht="12.75" x14ac:dyDescent="0.2">
      <c r="A274" s="122"/>
      <c r="B274" s="180"/>
      <c r="C274" s="152" t="s">
        <v>96</v>
      </c>
      <c r="D274" s="180"/>
      <c r="E274" s="180"/>
      <c r="F274" s="125" t="e">
        <f>$M63*#REF!*$M72/1000*F$123*F$140*(1+$F$79)</f>
        <v>#REF!</v>
      </c>
      <c r="G274" s="125" t="e">
        <f>$M63*#REF!*$M72/1000*G$123*G$140*(1+$F$79)</f>
        <v>#REF!</v>
      </c>
      <c r="H274" s="125" t="e">
        <f>$M63*#REF!*$M72/1000*H$123*H$140*(1+$F$79)</f>
        <v>#REF!</v>
      </c>
      <c r="I274" s="125" t="e">
        <f>$M63*#REF!*$M72/1000*I$123*I$140*(1+$F$79)</f>
        <v>#REF!</v>
      </c>
      <c r="J274" s="125" t="e">
        <f>$M63*#REF!*$M72/1000*J$123*J$140*(1+$F$79)</f>
        <v>#REF!</v>
      </c>
      <c r="K274" s="125" t="e">
        <f>$M63*#REF!*$M72/1000*K$123*K$140*(1+$F$79)</f>
        <v>#REF!</v>
      </c>
      <c r="L274" s="125" t="e">
        <f>$M63*#REF!*$M72/1000*L$123*L$140*(1+$F$79)</f>
        <v>#REF!</v>
      </c>
      <c r="M274" s="125" t="e">
        <f>$M63*#REF!*$M72/1000*M$123*M$140*(1+$F$79)</f>
        <v>#REF!</v>
      </c>
      <c r="N274" s="125" t="e">
        <f>$M63*#REF!*$M72/1000*N$123*N$140*(1+$F$79)</f>
        <v>#REF!</v>
      </c>
      <c r="O274" s="125" t="e">
        <f>$M63*#REF!*$M72/1000*O$123*O$140*(1+$F$79)</f>
        <v>#REF!</v>
      </c>
      <c r="P274" s="122"/>
      <c r="Q274" s="122"/>
      <c r="R274" s="122"/>
      <c r="S274" s="122"/>
      <c r="T274" s="122"/>
      <c r="U274" s="122"/>
      <c r="V274" s="122"/>
      <c r="W274" s="122"/>
      <c r="X274" s="122"/>
      <c r="Y274" s="122"/>
      <c r="Z274" s="122"/>
    </row>
    <row r="275" spans="1:26" ht="12.75" x14ac:dyDescent="0.2">
      <c r="A275" s="122"/>
      <c r="B275" s="180"/>
      <c r="C275" s="152" t="s">
        <v>99</v>
      </c>
      <c r="D275" s="180"/>
      <c r="E275" s="180"/>
      <c r="F275" s="125" t="e">
        <f>$M64*#REF!*$M73/1000*F$125*(1+$F$79)*F$130</f>
        <v>#REF!</v>
      </c>
      <c r="G275" s="125" t="e">
        <f>$M64*#REF!*$M73/1000*G$125*(1+$F$79)*G$130</f>
        <v>#REF!</v>
      </c>
      <c r="H275" s="125" t="e">
        <f>$M64*#REF!*$M73/1000*H$125*(1+$F$79)*H$130</f>
        <v>#REF!</v>
      </c>
      <c r="I275" s="125" t="e">
        <f>$M64*#REF!*$M73/1000*I$125*(1+$F$79)*I$130</f>
        <v>#REF!</v>
      </c>
      <c r="J275" s="125" t="e">
        <f>$M64*#REF!*$M73/1000*J$125*(1+$F$79)*J$130</f>
        <v>#REF!</v>
      </c>
      <c r="K275" s="125" t="e">
        <f>$M64*#REF!*$M73/1000*K$125*(1+$F$79)*K$130</f>
        <v>#REF!</v>
      </c>
      <c r="L275" s="125" t="e">
        <f>$M64*#REF!*$M73/1000*L$125*(1+$F$79)*L$130</f>
        <v>#REF!</v>
      </c>
      <c r="M275" s="125" t="e">
        <f>$M64*#REF!*$M73/1000*M$125*(1+$F$79)*M$130</f>
        <v>#REF!</v>
      </c>
      <c r="N275" s="125" t="e">
        <f>$M64*#REF!*$M73/1000*N$125*(1+$F$79)*N$130</f>
        <v>#REF!</v>
      </c>
      <c r="O275" s="125" t="e">
        <f>$M64*#REF!*$M73/1000*O$125*(1+$F$79)*O$130</f>
        <v>#REF!</v>
      </c>
      <c r="P275" s="122"/>
      <c r="Q275" s="122"/>
      <c r="R275" s="122"/>
      <c r="S275" s="122"/>
      <c r="T275" s="122"/>
      <c r="U275" s="122"/>
      <c r="V275" s="122"/>
      <c r="W275" s="122"/>
      <c r="X275" s="122"/>
      <c r="Y275" s="122"/>
      <c r="Z275" s="122"/>
    </row>
    <row r="276" spans="1:26" ht="12.75" x14ac:dyDescent="0.2">
      <c r="A276" s="122"/>
      <c r="B276" s="180"/>
      <c r="C276" s="152" t="s">
        <v>102</v>
      </c>
      <c r="D276" s="180"/>
      <c r="E276" s="180"/>
      <c r="F276" s="125" t="e">
        <f>$M65*#REF!*$M74/1000*F$125*(1+$F$79)*F$130</f>
        <v>#REF!</v>
      </c>
      <c r="G276" s="125" t="e">
        <f>$M65*#REF!*$M74/1000*G$125*(1+$F$79)*G$130</f>
        <v>#REF!</v>
      </c>
      <c r="H276" s="125" t="e">
        <f>$M65*#REF!*$M74/1000*H$125*(1+$F$79)*H$130</f>
        <v>#REF!</v>
      </c>
      <c r="I276" s="125" t="e">
        <f>$M65*#REF!*$M74/1000*I$125*(1+$F$79)*I$130</f>
        <v>#REF!</v>
      </c>
      <c r="J276" s="125" t="e">
        <f>$M65*#REF!*$M74/1000*J$125*(1+$F$79)*J$130</f>
        <v>#REF!</v>
      </c>
      <c r="K276" s="125" t="e">
        <f>$M65*#REF!*$M74/1000*K$125*(1+$F$79)*K$130</f>
        <v>#REF!</v>
      </c>
      <c r="L276" s="125" t="e">
        <f>$M65*#REF!*$M74/1000*L$125*(1+$F$79)*L$130</f>
        <v>#REF!</v>
      </c>
      <c r="M276" s="125" t="e">
        <f>$M65*#REF!*$M74/1000*M$125*(1+$F$79)*M$130</f>
        <v>#REF!</v>
      </c>
      <c r="N276" s="125" t="e">
        <f>$M65*#REF!*$M74/1000*N$125*(1+$F$79)*N$130</f>
        <v>#REF!</v>
      </c>
      <c r="O276" s="125" t="e">
        <f>$M65*#REF!*$M74/1000*O$125*(1+$F$79)*O$130</f>
        <v>#REF!</v>
      </c>
      <c r="P276" s="122"/>
      <c r="Q276" s="122"/>
      <c r="R276" s="122"/>
      <c r="S276" s="122"/>
      <c r="T276" s="122"/>
      <c r="U276" s="122"/>
      <c r="V276" s="122"/>
      <c r="W276" s="122"/>
      <c r="X276" s="122"/>
      <c r="Y276" s="122"/>
      <c r="Z276" s="122"/>
    </row>
    <row r="277" spans="1:26" ht="12.75" x14ac:dyDescent="0.2">
      <c r="A277" s="122"/>
      <c r="B277" s="180"/>
      <c r="C277" s="152" t="s">
        <v>418</v>
      </c>
      <c r="D277" s="180"/>
      <c r="E277" s="180"/>
      <c r="F277" s="125" t="e">
        <f>$M66*#REF!*$M75/1000*F$125*(1+$F$79)*F$130</f>
        <v>#REF!</v>
      </c>
      <c r="G277" s="125" t="e">
        <f>$M66*#REF!*$M75/1000*G$125*(1+$F$79)*G$130</f>
        <v>#REF!</v>
      </c>
      <c r="H277" s="125" t="e">
        <f>$M66*#REF!*$M75/1000*H$125*(1+$F$79)*H$130</f>
        <v>#REF!</v>
      </c>
      <c r="I277" s="125" t="e">
        <f>$M66*#REF!*$M75/1000*I$125*(1+$F$79)*I$130</f>
        <v>#REF!</v>
      </c>
      <c r="J277" s="125" t="e">
        <f>$M66*#REF!*$M75/1000*J$125*(1+$F$79)*J$130</f>
        <v>#REF!</v>
      </c>
      <c r="K277" s="125" t="e">
        <f>$M66*#REF!*$M75/1000*K$125*(1+$F$79)*K$130</f>
        <v>#REF!</v>
      </c>
      <c r="L277" s="125" t="e">
        <f>$M66*#REF!*$M75/1000*L$125*(1+$F$79)*L$130</f>
        <v>#REF!</v>
      </c>
      <c r="M277" s="125" t="e">
        <f>$M66*#REF!*$M75/1000*M$125*(1+$F$79)*M$130</f>
        <v>#REF!</v>
      </c>
      <c r="N277" s="125" t="e">
        <f>$M66*#REF!*$M75/1000*N$125*(1+$F$79)*N$130</f>
        <v>#REF!</v>
      </c>
      <c r="O277" s="125" t="e">
        <f>$M66*#REF!*$M75/1000*O$125*(1+$F$79)*O$130</f>
        <v>#REF!</v>
      </c>
      <c r="P277" s="122"/>
      <c r="Q277" s="122"/>
      <c r="R277" s="122"/>
      <c r="S277" s="122"/>
      <c r="T277" s="122"/>
      <c r="U277" s="122"/>
      <c r="V277" s="122"/>
      <c r="W277" s="122"/>
      <c r="X277" s="122"/>
      <c r="Y277" s="122"/>
      <c r="Z277" s="122"/>
    </row>
    <row r="278" spans="1:26" ht="12.75" x14ac:dyDescent="0.2">
      <c r="A278" s="122"/>
      <c r="B278" s="180"/>
      <c r="C278" s="152" t="s">
        <v>105</v>
      </c>
      <c r="D278" s="180"/>
      <c r="E278" s="180"/>
      <c r="F278" s="125" t="e">
        <f>$M67*#REF!*$M76/1000*F$125*(1+$F$79)*F$130</f>
        <v>#REF!</v>
      </c>
      <c r="G278" s="125" t="e">
        <f>$M67*#REF!*$M76/1000*G$125*(1+$F$79)*G$130</f>
        <v>#REF!</v>
      </c>
      <c r="H278" s="125" t="e">
        <f>$M67*#REF!*$M76/1000*H$125*(1+$F$79)*H$130</f>
        <v>#REF!</v>
      </c>
      <c r="I278" s="125" t="e">
        <f>$M67*#REF!*$M76/1000*I$125*(1+$F$79)*I$130</f>
        <v>#REF!</v>
      </c>
      <c r="J278" s="125" t="e">
        <f>$M67*#REF!*$M76/1000*J$125*(1+$F$79)*J$130</f>
        <v>#REF!</v>
      </c>
      <c r="K278" s="125" t="e">
        <f>$M67*#REF!*$M76/1000*K$125*(1+$F$79)*K$130</f>
        <v>#REF!</v>
      </c>
      <c r="L278" s="125" t="e">
        <f>$M67*#REF!*$M76/1000*L$125*(1+$F$79)*L$130</f>
        <v>#REF!</v>
      </c>
      <c r="M278" s="125" t="e">
        <f>$M67*#REF!*$M76/1000*M$125*(1+$F$79)*M$130</f>
        <v>#REF!</v>
      </c>
      <c r="N278" s="125" t="e">
        <f>$M67*#REF!*$M76/1000*N$125*(1+$F$79)*N$130</f>
        <v>#REF!</v>
      </c>
      <c r="O278" s="125" t="e">
        <f>$M67*#REF!*$M76/1000*O$125*(1+$F$79)*O$130</f>
        <v>#REF!</v>
      </c>
      <c r="P278" s="122"/>
      <c r="Q278" s="122"/>
      <c r="R278" s="122"/>
      <c r="S278" s="122"/>
      <c r="T278" s="122"/>
      <c r="U278" s="122"/>
      <c r="V278" s="122"/>
      <c r="W278" s="122"/>
      <c r="X278" s="122"/>
      <c r="Y278" s="122"/>
      <c r="Z278" s="122"/>
    </row>
    <row r="279" spans="1:26" ht="12.75" x14ac:dyDescent="0.2">
      <c r="A279" s="122"/>
      <c r="B279" s="180"/>
      <c r="C279" s="152" t="s">
        <v>108</v>
      </c>
      <c r="D279" s="180"/>
      <c r="E279" s="180"/>
      <c r="F279" s="125" t="e">
        <f>ROUNDUP(F170*1000/$F$68,0)*$M77/1000*F$123</f>
        <v>#REF!</v>
      </c>
      <c r="G279" s="125" t="e">
        <f>ROUNDUP(G170*1000/$F$68,0)*$M77/1000*G$123</f>
        <v>#REF!</v>
      </c>
      <c r="H279" s="125" t="e">
        <f>ROUNDUP(H170*1000/$F$68,0)*$M77/1000*H$123</f>
        <v>#REF!</v>
      </c>
      <c r="I279" s="125" t="e">
        <f>ROUNDUP(I170*1000/$F$68,0)*$M77/1000*I$123</f>
        <v>#REF!</v>
      </c>
      <c r="J279" s="125" t="e">
        <f>ROUNDUP(J170*1000/$F$68,0)*$M77/1000*J$123</f>
        <v>#REF!</v>
      </c>
      <c r="K279" s="125" t="e">
        <f>ROUNDUP(K170*1000/$F$68,0)*$M77/1000*K$123</f>
        <v>#REF!</v>
      </c>
      <c r="L279" s="125" t="e">
        <f>ROUNDUP(L170*1000/$F$68,0)*$M77/1000*L$123</f>
        <v>#REF!</v>
      </c>
      <c r="M279" s="125" t="e">
        <f>ROUNDUP(M170*1000/$F$68,0)*$M77/1000*M$123</f>
        <v>#REF!</v>
      </c>
      <c r="N279" s="125" t="e">
        <f>ROUNDUP(N170*1000/$F$68,0)*$M77/1000*N$123</f>
        <v>#REF!</v>
      </c>
      <c r="O279" s="125" t="e">
        <f>ROUNDUP(O170*1000/$F$68,0)*$M77/1000*O$123</f>
        <v>#REF!</v>
      </c>
      <c r="P279" s="122"/>
      <c r="Q279" s="122"/>
      <c r="R279" s="122"/>
      <c r="S279" s="122"/>
      <c r="T279" s="122"/>
      <c r="U279" s="122"/>
      <c r="V279" s="122"/>
      <c r="W279" s="122"/>
      <c r="X279" s="122"/>
      <c r="Y279" s="122"/>
      <c r="Z279" s="122"/>
    </row>
    <row r="280" spans="1:26" ht="12.75" x14ac:dyDescent="0.2">
      <c r="A280" s="122"/>
      <c r="B280" s="180"/>
      <c r="C280" s="198" t="s">
        <v>217</v>
      </c>
      <c r="D280" s="182"/>
      <c r="E280" s="182"/>
      <c r="F280" s="187" t="e">
        <f>SUM(F273:F279)</f>
        <v>#REF!</v>
      </c>
      <c r="G280" s="187" t="e">
        <f t="shared" ref="G280:O280" si="69">SUM(G273:G279)</f>
        <v>#REF!</v>
      </c>
      <c r="H280" s="187" t="e">
        <f t="shared" si="69"/>
        <v>#REF!</v>
      </c>
      <c r="I280" s="187" t="e">
        <f t="shared" si="69"/>
        <v>#REF!</v>
      </c>
      <c r="J280" s="187" t="e">
        <f t="shared" si="69"/>
        <v>#REF!</v>
      </c>
      <c r="K280" s="187" t="e">
        <f t="shared" si="69"/>
        <v>#REF!</v>
      </c>
      <c r="L280" s="187" t="e">
        <f t="shared" si="69"/>
        <v>#REF!</v>
      </c>
      <c r="M280" s="187" t="e">
        <f t="shared" si="69"/>
        <v>#REF!</v>
      </c>
      <c r="N280" s="187" t="e">
        <f t="shared" si="69"/>
        <v>#REF!</v>
      </c>
      <c r="O280" s="187" t="e">
        <f t="shared" si="69"/>
        <v>#REF!</v>
      </c>
      <c r="P280" s="122"/>
      <c r="Q280" s="122"/>
      <c r="R280" s="122"/>
      <c r="S280" s="122"/>
      <c r="T280" s="122"/>
      <c r="U280" s="122"/>
      <c r="V280" s="122"/>
      <c r="W280" s="122"/>
      <c r="X280" s="122"/>
      <c r="Y280" s="122"/>
      <c r="Z280" s="122"/>
    </row>
    <row r="281" spans="1:26" ht="12.75" x14ac:dyDescent="0.2">
      <c r="A281" s="122"/>
      <c r="B281" s="180"/>
      <c r="C281" s="155"/>
      <c r="D281" s="180"/>
      <c r="E281" s="180"/>
      <c r="F281" s="180"/>
      <c r="G281" s="180"/>
      <c r="H281" s="180"/>
      <c r="I281" s="180"/>
      <c r="J281" s="180"/>
      <c r="K281" s="180"/>
      <c r="L281" s="180"/>
      <c r="M281" s="180"/>
      <c r="N281" s="180"/>
      <c r="O281" s="180"/>
      <c r="P281" s="122"/>
      <c r="Q281" s="122"/>
      <c r="R281" s="122"/>
      <c r="S281" s="122"/>
      <c r="T281" s="122"/>
      <c r="U281" s="122"/>
      <c r="V281" s="122"/>
      <c r="W281" s="122"/>
      <c r="X281" s="122"/>
      <c r="Y281" s="122"/>
      <c r="Z281" s="122"/>
    </row>
    <row r="282" spans="1:26" ht="12.75" x14ac:dyDescent="0.2">
      <c r="A282" s="122"/>
      <c r="B282" s="180"/>
      <c r="C282" s="188" t="s">
        <v>214</v>
      </c>
      <c r="D282" s="180"/>
      <c r="E282" s="180"/>
      <c r="F282" s="180"/>
      <c r="G282" s="180"/>
      <c r="H282" s="180"/>
      <c r="I282" s="180"/>
      <c r="J282" s="180"/>
      <c r="K282" s="180"/>
      <c r="L282" s="180"/>
      <c r="M282" s="180"/>
      <c r="N282" s="180"/>
      <c r="O282" s="180"/>
      <c r="P282" s="122"/>
      <c r="Q282" s="122"/>
      <c r="R282" s="122"/>
      <c r="S282" s="122"/>
      <c r="T282" s="122"/>
      <c r="U282" s="122"/>
      <c r="V282" s="122"/>
      <c r="W282" s="122"/>
      <c r="X282" s="122"/>
      <c r="Y282" s="122"/>
      <c r="Z282" s="122"/>
    </row>
    <row r="283" spans="1:26" ht="12.75" x14ac:dyDescent="0.2">
      <c r="A283" s="122"/>
      <c r="B283" s="180"/>
      <c r="C283" s="152" t="s">
        <v>373</v>
      </c>
      <c r="D283" s="180"/>
      <c r="E283" s="180"/>
      <c r="F283" s="125">
        <f t="shared" ref="F283:O283" si="70">$M$82/1000*F$123</f>
        <v>0</v>
      </c>
      <c r="G283" s="125">
        <f t="shared" si="70"/>
        <v>0</v>
      </c>
      <c r="H283" s="125">
        <f t="shared" si="70"/>
        <v>0</v>
      </c>
      <c r="I283" s="125">
        <f t="shared" si="70"/>
        <v>0</v>
      </c>
      <c r="J283" s="125">
        <f t="shared" si="70"/>
        <v>0</v>
      </c>
      <c r="K283" s="125">
        <f t="shared" si="70"/>
        <v>0</v>
      </c>
      <c r="L283" s="125">
        <f t="shared" si="70"/>
        <v>0</v>
      </c>
      <c r="M283" s="125">
        <f t="shared" si="70"/>
        <v>0</v>
      </c>
      <c r="N283" s="125">
        <f t="shared" si="70"/>
        <v>0</v>
      </c>
      <c r="O283" s="125">
        <f t="shared" si="70"/>
        <v>0</v>
      </c>
      <c r="P283" s="122"/>
      <c r="Q283" s="122"/>
      <c r="R283" s="122"/>
      <c r="S283" s="122"/>
      <c r="T283" s="122"/>
      <c r="U283" s="122"/>
      <c r="V283" s="122"/>
      <c r="W283" s="122"/>
      <c r="X283" s="122"/>
      <c r="Y283" s="122"/>
      <c r="Z283" s="122"/>
    </row>
    <row r="284" spans="1:26" ht="12.75" x14ac:dyDescent="0.2">
      <c r="A284" s="122"/>
      <c r="B284" s="180"/>
      <c r="C284" s="152" t="s">
        <v>374</v>
      </c>
      <c r="D284" s="180"/>
      <c r="E284" s="180"/>
      <c r="F284" s="125">
        <f t="shared" ref="F284:O284" si="71">$M$83/1000*F$123</f>
        <v>0</v>
      </c>
      <c r="G284" s="125">
        <f t="shared" si="71"/>
        <v>0</v>
      </c>
      <c r="H284" s="125">
        <f t="shared" si="71"/>
        <v>0</v>
      </c>
      <c r="I284" s="125">
        <f t="shared" si="71"/>
        <v>0</v>
      </c>
      <c r="J284" s="125">
        <f t="shared" si="71"/>
        <v>0</v>
      </c>
      <c r="K284" s="125">
        <f t="shared" si="71"/>
        <v>0</v>
      </c>
      <c r="L284" s="125">
        <f t="shared" si="71"/>
        <v>0</v>
      </c>
      <c r="M284" s="125">
        <f t="shared" si="71"/>
        <v>0</v>
      </c>
      <c r="N284" s="125">
        <f t="shared" si="71"/>
        <v>0</v>
      </c>
      <c r="O284" s="125">
        <f t="shared" si="71"/>
        <v>0</v>
      </c>
      <c r="P284" s="122"/>
      <c r="Q284" s="122"/>
      <c r="R284" s="122"/>
      <c r="S284" s="122"/>
      <c r="T284" s="122"/>
      <c r="U284" s="122"/>
      <c r="V284" s="122"/>
      <c r="W284" s="122"/>
      <c r="X284" s="122"/>
      <c r="Y284" s="122"/>
      <c r="Z284" s="122"/>
    </row>
    <row r="285" spans="1:26" ht="12.75" x14ac:dyDescent="0.2">
      <c r="A285" s="122"/>
      <c r="B285" s="180"/>
      <c r="C285" s="198" t="s">
        <v>220</v>
      </c>
      <c r="D285" s="182"/>
      <c r="E285" s="182"/>
      <c r="F285" s="193">
        <f>SUM(F283:F284)</f>
        <v>0</v>
      </c>
      <c r="G285" s="193">
        <f t="shared" ref="G285:O285" si="72">SUM(G283:G284)</f>
        <v>0</v>
      </c>
      <c r="H285" s="193">
        <f t="shared" si="72"/>
        <v>0</v>
      </c>
      <c r="I285" s="193">
        <f t="shared" si="72"/>
        <v>0</v>
      </c>
      <c r="J285" s="193">
        <f t="shared" si="72"/>
        <v>0</v>
      </c>
      <c r="K285" s="193">
        <f t="shared" si="72"/>
        <v>0</v>
      </c>
      <c r="L285" s="193">
        <f t="shared" si="72"/>
        <v>0</v>
      </c>
      <c r="M285" s="193">
        <f t="shared" si="72"/>
        <v>0</v>
      </c>
      <c r="N285" s="193">
        <f t="shared" si="72"/>
        <v>0</v>
      </c>
      <c r="O285" s="193">
        <f t="shared" si="72"/>
        <v>0</v>
      </c>
      <c r="P285" s="122"/>
      <c r="Q285" s="122"/>
      <c r="R285" s="122"/>
      <c r="S285" s="122"/>
      <c r="T285" s="122"/>
      <c r="U285" s="122"/>
      <c r="V285" s="122"/>
      <c r="W285" s="122"/>
      <c r="X285" s="122"/>
      <c r="Y285" s="122"/>
      <c r="Z285" s="122"/>
    </row>
    <row r="286" spans="1:26" ht="12.75" x14ac:dyDescent="0.2">
      <c r="A286" s="122"/>
      <c r="B286" s="155"/>
      <c r="C286" s="155"/>
      <c r="D286" s="155"/>
      <c r="E286" s="155"/>
      <c r="F286" s="155"/>
      <c r="G286" s="155"/>
      <c r="H286" s="155"/>
      <c r="I286" s="155"/>
      <c r="J286" s="155"/>
      <c r="K286" s="155"/>
      <c r="L286" s="155"/>
      <c r="M286" s="155"/>
      <c r="N286" s="155"/>
      <c r="O286" s="155"/>
      <c r="P286" s="122"/>
      <c r="Q286" s="122"/>
      <c r="R286" s="122"/>
      <c r="S286" s="122"/>
      <c r="T286" s="122"/>
      <c r="U286" s="122"/>
      <c r="V286" s="122"/>
      <c r="W286" s="122"/>
      <c r="X286" s="122"/>
      <c r="Y286" s="122"/>
      <c r="Z286" s="122"/>
    </row>
    <row r="287" spans="1:26" ht="12.75" x14ac:dyDescent="0.2">
      <c r="A287" s="122"/>
      <c r="B287" s="180"/>
      <c r="C287" s="188" t="s">
        <v>287</v>
      </c>
      <c r="D287" s="201"/>
      <c r="E287" s="201"/>
      <c r="F287" s="202"/>
      <c r="G287" s="202"/>
      <c r="H287" s="202"/>
      <c r="I287" s="202"/>
      <c r="J287" s="202"/>
      <c r="K287" s="202"/>
      <c r="L287" s="202"/>
      <c r="M287" s="202"/>
      <c r="N287" s="202"/>
      <c r="O287" s="202"/>
      <c r="P287" s="122"/>
      <c r="Q287" s="122"/>
      <c r="R287" s="122"/>
      <c r="S287" s="122"/>
      <c r="T287" s="122"/>
      <c r="U287" s="122"/>
      <c r="V287" s="122"/>
      <c r="W287" s="122"/>
      <c r="X287" s="122"/>
      <c r="Y287" s="122"/>
      <c r="Z287" s="122"/>
    </row>
    <row r="288" spans="1:26" ht="12.75" x14ac:dyDescent="0.2">
      <c r="A288" s="122"/>
      <c r="B288" s="180"/>
      <c r="C288" s="155" t="s">
        <v>375</v>
      </c>
      <c r="D288" s="201"/>
      <c r="E288" s="201"/>
      <c r="F288" s="190" t="e">
        <f>$M86*F$123/1000*F$170</f>
        <v>#REF!</v>
      </c>
      <c r="G288" s="190" t="e">
        <f>$M86*G$123/1000*G$170</f>
        <v>#REF!</v>
      </c>
      <c r="H288" s="190" t="e">
        <f>$M86*H$123/1000*H$170</f>
        <v>#REF!</v>
      </c>
      <c r="I288" s="190" t="e">
        <f>$M86*I$123/1000*I$170</f>
        <v>#REF!</v>
      </c>
      <c r="J288" s="190" t="e">
        <f>$M86*J$123/1000*J$170</f>
        <v>#REF!</v>
      </c>
      <c r="K288" s="190" t="e">
        <f>$M86*K$123/1000*K$170</f>
        <v>#REF!</v>
      </c>
      <c r="L288" s="190" t="e">
        <f>$M86*L$123/1000*L$170</f>
        <v>#REF!</v>
      </c>
      <c r="M288" s="190" t="e">
        <f>$M86*M$123/1000*M$170</f>
        <v>#REF!</v>
      </c>
      <c r="N288" s="190" t="e">
        <f>$M86*N$123/1000*N$170</f>
        <v>#REF!</v>
      </c>
      <c r="O288" s="190" t="e">
        <f>$M86*O$123/1000*O$170</f>
        <v>#REF!</v>
      </c>
      <c r="P288" s="122"/>
      <c r="Q288" s="122"/>
      <c r="R288" s="122"/>
      <c r="S288" s="122"/>
      <c r="T288" s="122"/>
      <c r="U288" s="122"/>
      <c r="V288" s="122"/>
      <c r="W288" s="122"/>
      <c r="X288" s="122"/>
      <c r="Y288" s="122"/>
      <c r="Z288" s="122"/>
    </row>
    <row r="289" spans="1:26" ht="12.75" x14ac:dyDescent="0.2">
      <c r="A289" s="122"/>
      <c r="B289" s="180"/>
      <c r="C289" s="184" t="s">
        <v>284</v>
      </c>
      <c r="D289" s="185"/>
      <c r="E289" s="185"/>
      <c r="F289" s="186" t="e">
        <f>$M87*F$123/1000*(F$170+F$169+F$168)</f>
        <v>#REF!</v>
      </c>
      <c r="G289" s="186" t="e">
        <f>$M87*G$123/1000*(G$170+G$169+G$168)</f>
        <v>#REF!</v>
      </c>
      <c r="H289" s="186" t="e">
        <f>$M87*H$123/1000*(H$170+H$169+H$168)</f>
        <v>#REF!</v>
      </c>
      <c r="I289" s="186" t="e">
        <f>$M87*I$123/1000*(I$170+I$169+I$168)</f>
        <v>#REF!</v>
      </c>
      <c r="J289" s="186" t="e">
        <f>$M87*J$123/1000*(J$170+J$169+J$168)</f>
        <v>#REF!</v>
      </c>
      <c r="K289" s="186" t="e">
        <f>$M87*K$123/1000*(K$170+K$169+K$168)</f>
        <v>#REF!</v>
      </c>
      <c r="L289" s="186" t="e">
        <f>$M87*L$123/1000*(L$170+L$169+L$168)</f>
        <v>#REF!</v>
      </c>
      <c r="M289" s="186" t="e">
        <f>$M87*M$123/1000*(M$170+M$169+M$168)</f>
        <v>#REF!</v>
      </c>
      <c r="N289" s="186" t="e">
        <f>$M87*N$123/1000*(N$170+N$169+N$168)</f>
        <v>#REF!</v>
      </c>
      <c r="O289" s="186" t="e">
        <f>$M87*O$123/1000*(O$170+O$169+O$168)</f>
        <v>#REF!</v>
      </c>
      <c r="P289" s="122"/>
      <c r="Q289" s="122"/>
      <c r="R289" s="122"/>
      <c r="S289" s="122"/>
      <c r="T289" s="122"/>
      <c r="U289" s="122"/>
      <c r="V289" s="122"/>
      <c r="W289" s="122"/>
      <c r="X289" s="122"/>
      <c r="Y289" s="122"/>
      <c r="Z289" s="122"/>
    </row>
    <row r="290" spans="1:26" ht="12.75" x14ac:dyDescent="0.2">
      <c r="A290" s="122"/>
      <c r="B290" s="180"/>
      <c r="C290" s="189" t="s">
        <v>289</v>
      </c>
      <c r="D290" s="201"/>
      <c r="E290" s="201"/>
      <c r="F290" s="202" t="e">
        <f t="shared" ref="F290:O290" si="73">SUM(F288:F289)</f>
        <v>#REF!</v>
      </c>
      <c r="G290" s="202" t="e">
        <f t="shared" si="73"/>
        <v>#REF!</v>
      </c>
      <c r="H290" s="202" t="e">
        <f t="shared" si="73"/>
        <v>#REF!</v>
      </c>
      <c r="I290" s="202" t="e">
        <f t="shared" si="73"/>
        <v>#REF!</v>
      </c>
      <c r="J290" s="202" t="e">
        <f t="shared" si="73"/>
        <v>#REF!</v>
      </c>
      <c r="K290" s="202" t="e">
        <f t="shared" si="73"/>
        <v>#REF!</v>
      </c>
      <c r="L290" s="202" t="e">
        <f t="shared" si="73"/>
        <v>#REF!</v>
      </c>
      <c r="M290" s="202" t="e">
        <f t="shared" si="73"/>
        <v>#REF!</v>
      </c>
      <c r="N290" s="202" t="e">
        <f t="shared" si="73"/>
        <v>#REF!</v>
      </c>
      <c r="O290" s="202" t="e">
        <f t="shared" si="73"/>
        <v>#REF!</v>
      </c>
      <c r="P290" s="122"/>
      <c r="Q290" s="122"/>
      <c r="R290" s="122"/>
      <c r="S290" s="122"/>
      <c r="T290" s="122"/>
      <c r="U290" s="122"/>
      <c r="V290" s="122"/>
      <c r="W290" s="122"/>
      <c r="X290" s="122"/>
      <c r="Y290" s="122"/>
      <c r="Z290" s="122"/>
    </row>
    <row r="291" spans="1:26" ht="12.75" x14ac:dyDescent="0.2">
      <c r="A291" s="122"/>
      <c r="B291" s="122"/>
      <c r="C291" s="173"/>
      <c r="D291" s="122"/>
      <c r="E291" s="122"/>
      <c r="F291" s="122"/>
      <c r="G291" s="122"/>
      <c r="H291" s="122"/>
      <c r="I291" s="122"/>
      <c r="J291" s="122"/>
      <c r="K291" s="122"/>
      <c r="L291" s="122"/>
      <c r="M291" s="122"/>
      <c r="N291" s="122"/>
      <c r="O291" s="122"/>
      <c r="P291" s="122"/>
      <c r="Q291" s="122"/>
      <c r="R291" s="122"/>
      <c r="S291" s="122"/>
      <c r="T291" s="122"/>
      <c r="U291" s="122"/>
      <c r="V291" s="122"/>
      <c r="W291" s="122"/>
      <c r="X291" s="122"/>
      <c r="Y291" s="122"/>
      <c r="Z291" s="122"/>
    </row>
    <row r="292" spans="1:26" ht="12.75" x14ac:dyDescent="0.2">
      <c r="A292" s="145" t="s">
        <v>221</v>
      </c>
      <c r="B292" s="119"/>
      <c r="C292" s="150"/>
      <c r="D292" s="161" t="s">
        <v>174</v>
      </c>
      <c r="E292" s="161"/>
      <c r="F292" s="162">
        <v>0</v>
      </c>
      <c r="G292" s="162">
        <v>1</v>
      </c>
      <c r="H292" s="162">
        <v>2</v>
      </c>
      <c r="I292" s="162">
        <v>3</v>
      </c>
      <c r="J292" s="162">
        <v>4</v>
      </c>
      <c r="K292" s="162">
        <v>5</v>
      </c>
      <c r="L292" s="162">
        <v>6</v>
      </c>
      <c r="M292" s="162">
        <v>7</v>
      </c>
      <c r="N292" s="162">
        <v>8</v>
      </c>
      <c r="O292" s="162">
        <v>9</v>
      </c>
      <c r="P292" s="119"/>
      <c r="Q292" s="119"/>
      <c r="R292" s="119"/>
      <c r="S292" s="119"/>
      <c r="T292" s="119"/>
      <c r="U292" s="119"/>
      <c r="V292" s="119"/>
      <c r="W292" s="119"/>
      <c r="X292" s="119"/>
      <c r="Y292" s="119"/>
      <c r="Z292" s="119"/>
    </row>
    <row r="293" spans="1:26" ht="12.75" x14ac:dyDescent="0.2">
      <c r="A293" s="122"/>
      <c r="B293" s="154" t="s">
        <v>244</v>
      </c>
      <c r="C293" s="155"/>
      <c r="D293" s="155"/>
      <c r="E293" s="155"/>
      <c r="F293" s="155"/>
      <c r="G293" s="155"/>
      <c r="H293" s="155"/>
      <c r="I293" s="155"/>
      <c r="J293" s="155"/>
      <c r="K293" s="155"/>
      <c r="L293" s="155"/>
      <c r="M293" s="155"/>
      <c r="N293" s="155"/>
      <c r="O293" s="155"/>
      <c r="P293" s="122"/>
      <c r="Q293" s="122"/>
      <c r="R293" s="122"/>
      <c r="S293" s="122"/>
      <c r="T293" s="122"/>
      <c r="U293" s="122"/>
      <c r="V293" s="122"/>
      <c r="W293" s="122"/>
      <c r="X293" s="122"/>
      <c r="Y293" s="122"/>
      <c r="Z293" s="122"/>
    </row>
    <row r="294" spans="1:26" ht="12.75" x14ac:dyDescent="0.2">
      <c r="A294" s="122"/>
      <c r="B294" s="122"/>
      <c r="C294" s="173"/>
      <c r="D294" s="122"/>
      <c r="E294" s="122"/>
      <c r="F294" s="122"/>
      <c r="G294" s="122"/>
      <c r="H294" s="122"/>
      <c r="I294" s="122"/>
      <c r="J294" s="122"/>
      <c r="K294" s="122"/>
      <c r="L294" s="122"/>
      <c r="M294" s="122"/>
      <c r="N294" s="122"/>
      <c r="O294" s="122"/>
      <c r="P294" s="122"/>
      <c r="Q294" s="122"/>
      <c r="R294" s="122"/>
      <c r="S294" s="122"/>
      <c r="T294" s="122"/>
      <c r="U294" s="122"/>
      <c r="V294" s="122"/>
      <c r="W294" s="122"/>
      <c r="X294" s="122"/>
      <c r="Y294" s="122"/>
      <c r="Z294" s="122"/>
    </row>
    <row r="295" spans="1:26" ht="12.75" x14ac:dyDescent="0.2">
      <c r="A295" s="122"/>
      <c r="B295" s="179" t="s">
        <v>229</v>
      </c>
      <c r="C295" s="155"/>
      <c r="D295" s="180"/>
      <c r="E295" s="180"/>
      <c r="F295" s="125"/>
      <c r="G295" s="125"/>
      <c r="H295" s="125"/>
      <c r="I295" s="125"/>
      <c r="J295" s="125"/>
      <c r="K295" s="125"/>
      <c r="L295" s="125"/>
      <c r="M295" s="125"/>
      <c r="N295" s="125"/>
      <c r="O295" s="125"/>
      <c r="P295" s="122"/>
      <c r="Q295" s="122"/>
      <c r="R295" s="122"/>
      <c r="S295" s="122"/>
      <c r="T295" s="122"/>
      <c r="U295" s="122"/>
      <c r="V295" s="122"/>
      <c r="W295" s="122"/>
      <c r="X295" s="122"/>
      <c r="Y295" s="122"/>
      <c r="Z295" s="122"/>
    </row>
    <row r="296" spans="1:26" ht="12.75" x14ac:dyDescent="0.2">
      <c r="A296" s="122"/>
      <c r="C296" s="232" t="s">
        <v>222</v>
      </c>
      <c r="D296" s="180"/>
      <c r="E296" s="180"/>
      <c r="F296" s="125"/>
      <c r="G296" s="125"/>
      <c r="H296" s="125"/>
      <c r="I296" s="125"/>
      <c r="J296" s="125"/>
      <c r="K296" s="125"/>
      <c r="L296" s="125"/>
      <c r="M296" s="125"/>
      <c r="N296" s="125"/>
      <c r="O296" s="125"/>
      <c r="P296" s="122"/>
      <c r="Q296" s="122"/>
      <c r="R296" s="122"/>
      <c r="S296" s="122"/>
      <c r="T296" s="122"/>
      <c r="U296" s="122"/>
      <c r="V296" s="122"/>
      <c r="W296" s="122"/>
      <c r="X296" s="122"/>
      <c r="Y296" s="122"/>
      <c r="Z296" s="122"/>
    </row>
    <row r="297" spans="1:26" ht="12.75" x14ac:dyDescent="0.2">
      <c r="A297" s="122"/>
      <c r="B297" s="192"/>
      <c r="C297" s="188" t="s">
        <v>431</v>
      </c>
      <c r="D297" s="180"/>
      <c r="E297" s="180"/>
      <c r="F297" s="125"/>
      <c r="G297" s="125"/>
      <c r="H297" s="125"/>
      <c r="I297" s="125"/>
      <c r="J297" s="125"/>
      <c r="K297" s="125"/>
      <c r="L297" s="125"/>
      <c r="M297" s="125"/>
      <c r="N297" s="125"/>
      <c r="O297" s="125"/>
      <c r="P297" s="122"/>
      <c r="Q297" s="122"/>
      <c r="R297" s="122"/>
      <c r="S297" s="122"/>
      <c r="T297" s="122"/>
      <c r="U297" s="122"/>
      <c r="V297" s="122"/>
      <c r="W297" s="122"/>
      <c r="X297" s="122"/>
      <c r="Y297" s="122"/>
      <c r="Z297" s="122"/>
    </row>
    <row r="298" spans="1:26" ht="12.75" x14ac:dyDescent="0.2">
      <c r="A298" s="122"/>
      <c r="B298" s="180"/>
      <c r="C298" s="152" t="s">
        <v>428</v>
      </c>
      <c r="D298" s="180"/>
      <c r="E298" s="180"/>
      <c r="F298" s="125">
        <f>IF(AND(E$147=1,F$147=0),Maize!F289*(1+$F$36),IF(AND(E$147=0,F$147=0),Maize!F289,F173/F$123))</f>
        <v>78.540000000000006</v>
      </c>
      <c r="G298" s="125">
        <f>IF(AND(F$147=1,G$147=0),Maize!G289*(1+$F$36),IF(AND(F$147=0,G$147=0),Maize!G289,G173/G$123))</f>
        <v>105.31808052791446</v>
      </c>
      <c r="H298" s="125">
        <f>IF(AND(G$147=1,H$147=0),Maize!H289*(1+$F$36),IF(AND(G$147=0,H$147=0),Maize!H289,H173/H$123))</f>
        <v>93.474351748823736</v>
      </c>
      <c r="I298" s="125">
        <f>IF(AND(H$147=1,I$147=0),Maize!I289*(1+$F$36),IF(AND(H$147=0,I$147=0),Maize!I289,I173/I$123))</f>
        <v>95.904684894293169</v>
      </c>
      <c r="J298" s="125">
        <f>IF(AND(I$147=1,J$147=0),Maize!J289*(1+$F$36),IF(AND(I$147=0,J$147=0),Maize!J289,J173/J$123))</f>
        <v>84.349402185935048</v>
      </c>
      <c r="K298" s="125">
        <f>IF(AND(J$147=1,K$147=0),Maize!K289*(1+$F$36),IF(AND(J$147=0,K$147=0),Maize!K289,K173/K$123))</f>
        <v>116.70578344760742</v>
      </c>
      <c r="L298" s="125">
        <f>IF(AND(K$147=1,L$147=0),Maize!L289*(1+$F$36),IF(AND(K$147=0,L$147=0),Maize!L289,L173/L$123))</f>
        <v>103.5814306377554</v>
      </c>
      <c r="M298" s="125">
        <f>IF(AND(L$147=1,M$147=0),Maize!M289*(1+$F$36),IF(AND(L$147=0,M$147=0),Maize!M289,M173/M$123))</f>
        <v>106.27454783433704</v>
      </c>
      <c r="N298" s="125">
        <f>IF(AND(M$147=1,N$147=0),Maize!N289*(1+$F$36),IF(AND(M$147=0,N$147=0),Maize!N289,N173/N$123))</f>
        <v>90.58851093868887</v>
      </c>
      <c r="O298" s="125">
        <f>IF(AND(N$147=1,O$147=0),Maize!O289*(1+$F$36),IF(AND(N$147=0,O$147=0),Maize!O289,O173/O$123))</f>
        <v>129.3248017989637</v>
      </c>
      <c r="P298" s="122"/>
      <c r="Q298" s="122"/>
      <c r="R298" s="122"/>
      <c r="S298" s="122"/>
      <c r="T298" s="122"/>
      <c r="U298" s="122"/>
      <c r="V298" s="122"/>
      <c r="W298" s="122"/>
      <c r="X298" s="122"/>
      <c r="Y298" s="122"/>
      <c r="Z298" s="122"/>
    </row>
    <row r="299" spans="1:26" ht="12.75" x14ac:dyDescent="0.2">
      <c r="A299" s="122"/>
      <c r="B299" s="180"/>
      <c r="C299" s="152" t="s">
        <v>231</v>
      </c>
      <c r="D299" s="180"/>
      <c r="E299" s="180"/>
      <c r="F299" s="125">
        <f>IF(AND(E$147=1,F$147=0),Maize!F290*(1+$F$36),IF(AND(E$147=0,F$147=0),Maize!F290,F174/F$123))</f>
        <v>8.08962</v>
      </c>
      <c r="G299" s="125">
        <f>IF(AND(F$147=1,G$147=0),Maize!G290*(1+$F$36),IF(AND(F$147=0,G$147=0),Maize!G290,G174/G$123))</f>
        <v>10.321171891735618</v>
      </c>
      <c r="H299" s="125">
        <f>IF(AND(G$147=1,H$147=0),Maize!H290*(1+$F$36),IF(AND(G$147=0,H$147=0),Maize!H290,H174/H$123))</f>
        <v>9.1604864713847274</v>
      </c>
      <c r="I299" s="125">
        <f>IF(AND(H$147=1,I$147=0),Maize!I290*(1+$F$36),IF(AND(H$147=0,I$147=0),Maize!I290,I174/I$123))</f>
        <v>9.3986591196407314</v>
      </c>
      <c r="J299" s="125">
        <f>IF(AND(I$147=1,J$147=0),Maize!J290*(1+$F$36),IF(AND(I$147=0,J$147=0),Maize!J290,J174/J$123))</f>
        <v>8.6879884251513104</v>
      </c>
      <c r="K299" s="125">
        <f>IF(AND(J$147=1,K$147=0),Maize!K290*(1+$F$36),IF(AND(J$147=0,K$147=0),Maize!K290,K174/K$123))</f>
        <v>11.437166777865528</v>
      </c>
      <c r="L299" s="125">
        <f>IF(AND(K$147=1,L$147=0),Maize!L290*(1+$F$36),IF(AND(K$147=0,L$147=0),Maize!L290,L174/L$123))</f>
        <v>10.150980202500028</v>
      </c>
      <c r="M299" s="125">
        <f>IF(AND(L$147=1,M$147=0),Maize!M290*(1+$F$36),IF(AND(L$147=0,M$147=0),Maize!M290,M174/M$123))</f>
        <v>10.41490568776503</v>
      </c>
      <c r="N299" s="125">
        <f>IF(AND(M$147=1,N$147=0),Maize!N290*(1+$F$36),IF(AND(M$147=0,N$147=0),Maize!N290,N174/N$123))</f>
        <v>9.3306166266849537</v>
      </c>
      <c r="O299" s="125">
        <f>IF(AND(N$147=1,O$147=0),Maize!O290*(1+$F$36),IF(AND(N$147=0,O$147=0),Maize!O290,O174/O$123))</f>
        <v>12.673830576298442</v>
      </c>
      <c r="P299" s="122"/>
      <c r="Q299" s="122"/>
      <c r="R299" s="122"/>
      <c r="S299" s="122"/>
      <c r="T299" s="122"/>
      <c r="U299" s="122"/>
      <c r="V299" s="122"/>
      <c r="W299" s="122"/>
      <c r="X299" s="122"/>
      <c r="Y299" s="122"/>
      <c r="Z299" s="122"/>
    </row>
    <row r="300" spans="1:26" ht="12.75" x14ac:dyDescent="0.2">
      <c r="A300" s="122"/>
      <c r="B300" s="180"/>
      <c r="C300" s="198" t="s">
        <v>432</v>
      </c>
      <c r="D300" s="182"/>
      <c r="E300" s="182"/>
      <c r="F300" s="193">
        <f t="shared" ref="F300:O300" si="74">F298-F299</f>
        <v>70.45038000000001</v>
      </c>
      <c r="G300" s="193">
        <f t="shared" si="74"/>
        <v>94.996908636178844</v>
      </c>
      <c r="H300" s="193">
        <f t="shared" si="74"/>
        <v>84.313865277439007</v>
      </c>
      <c r="I300" s="193">
        <f t="shared" si="74"/>
        <v>86.506025774652443</v>
      </c>
      <c r="J300" s="193">
        <f t="shared" si="74"/>
        <v>75.661413760783745</v>
      </c>
      <c r="K300" s="193">
        <f t="shared" si="74"/>
        <v>105.26861666974189</v>
      </c>
      <c r="L300" s="193">
        <f t="shared" si="74"/>
        <v>93.430450435255381</v>
      </c>
      <c r="M300" s="193">
        <f t="shared" si="74"/>
        <v>95.859642146572014</v>
      </c>
      <c r="N300" s="193">
        <f t="shared" si="74"/>
        <v>81.257894312003913</v>
      </c>
      <c r="O300" s="193">
        <f t="shared" si="74"/>
        <v>116.65097122266526</v>
      </c>
      <c r="P300" s="122"/>
      <c r="Q300" s="122"/>
      <c r="R300" s="122"/>
      <c r="S300" s="122"/>
      <c r="T300" s="122"/>
      <c r="U300" s="122"/>
      <c r="V300" s="122"/>
      <c r="W300" s="122"/>
      <c r="X300" s="122"/>
      <c r="Y300" s="122"/>
      <c r="Z300" s="122"/>
    </row>
    <row r="301" spans="1:26" ht="12.75" x14ac:dyDescent="0.2">
      <c r="A301" s="122"/>
      <c r="B301" s="180"/>
      <c r="C301" s="152"/>
      <c r="D301" s="180"/>
      <c r="E301" s="180"/>
      <c r="F301" s="194"/>
      <c r="G301" s="194"/>
      <c r="H301" s="194"/>
      <c r="I301" s="194"/>
      <c r="J301" s="194"/>
      <c r="K301" s="194"/>
      <c r="L301" s="194"/>
      <c r="M301" s="194"/>
      <c r="N301" s="194"/>
      <c r="O301" s="194"/>
      <c r="P301" s="122"/>
      <c r="Q301" s="122"/>
      <c r="R301" s="122"/>
      <c r="S301" s="122"/>
      <c r="T301" s="122"/>
      <c r="U301" s="122"/>
      <c r="V301" s="122"/>
      <c r="W301" s="122"/>
      <c r="X301" s="122"/>
      <c r="Y301" s="122"/>
      <c r="Z301" s="122"/>
    </row>
    <row r="302" spans="1:26" ht="12.75" x14ac:dyDescent="0.2">
      <c r="A302" s="122"/>
      <c r="B302" s="180"/>
      <c r="C302" s="188" t="s">
        <v>266</v>
      </c>
      <c r="D302" s="180"/>
      <c r="E302" s="180"/>
      <c r="F302" s="194"/>
      <c r="G302" s="194"/>
      <c r="H302" s="194"/>
      <c r="I302" s="194"/>
      <c r="J302" s="194"/>
      <c r="K302" s="194"/>
      <c r="L302" s="194"/>
      <c r="M302" s="194"/>
      <c r="N302" s="194"/>
      <c r="O302" s="194"/>
      <c r="P302" s="122"/>
      <c r="Q302" s="122"/>
      <c r="R302" s="122"/>
      <c r="S302" s="122"/>
      <c r="T302" s="122"/>
      <c r="U302" s="122"/>
      <c r="V302" s="122"/>
      <c r="W302" s="122"/>
      <c r="X302" s="122"/>
      <c r="Y302" s="122"/>
      <c r="Z302" s="122"/>
    </row>
    <row r="303" spans="1:26" ht="12.75" x14ac:dyDescent="0.2">
      <c r="A303" s="122"/>
      <c r="B303" s="180"/>
      <c r="C303" s="155" t="s">
        <v>267</v>
      </c>
      <c r="D303" s="180"/>
      <c r="E303" s="180"/>
      <c r="F303" s="125">
        <f t="shared" ref="F303:O303" si="75">$F$98/1000</f>
        <v>0</v>
      </c>
      <c r="G303" s="125">
        <f t="shared" si="75"/>
        <v>0</v>
      </c>
      <c r="H303" s="125">
        <f t="shared" si="75"/>
        <v>0</v>
      </c>
      <c r="I303" s="125">
        <f t="shared" si="75"/>
        <v>0</v>
      </c>
      <c r="J303" s="125">
        <f t="shared" si="75"/>
        <v>0</v>
      </c>
      <c r="K303" s="125">
        <f t="shared" si="75"/>
        <v>0</v>
      </c>
      <c r="L303" s="125">
        <f t="shared" si="75"/>
        <v>0</v>
      </c>
      <c r="M303" s="125">
        <f t="shared" si="75"/>
        <v>0</v>
      </c>
      <c r="N303" s="125">
        <f t="shared" si="75"/>
        <v>0</v>
      </c>
      <c r="O303" s="125">
        <f t="shared" si="75"/>
        <v>0</v>
      </c>
      <c r="P303" s="122"/>
      <c r="Q303" s="122"/>
      <c r="R303" s="122"/>
      <c r="S303" s="122"/>
      <c r="T303" s="122"/>
      <c r="U303" s="122"/>
      <c r="V303" s="122"/>
      <c r="W303" s="122"/>
      <c r="X303" s="122"/>
      <c r="Y303" s="122"/>
      <c r="Z303" s="122"/>
    </row>
    <row r="304" spans="1:26" ht="12.75" x14ac:dyDescent="0.2">
      <c r="A304" s="122"/>
      <c r="B304" s="180"/>
      <c r="C304" s="155" t="s">
        <v>138</v>
      </c>
      <c r="D304" s="180"/>
      <c r="E304" s="180"/>
      <c r="F304" s="125">
        <f t="shared" ref="F304:O304" si="76">$F$93/1000</f>
        <v>0</v>
      </c>
      <c r="G304" s="125">
        <f t="shared" si="76"/>
        <v>0</v>
      </c>
      <c r="H304" s="125">
        <f t="shared" si="76"/>
        <v>0</v>
      </c>
      <c r="I304" s="125">
        <f t="shared" si="76"/>
        <v>0</v>
      </c>
      <c r="J304" s="125">
        <f t="shared" si="76"/>
        <v>0</v>
      </c>
      <c r="K304" s="125">
        <f t="shared" si="76"/>
        <v>0</v>
      </c>
      <c r="L304" s="125">
        <f t="shared" si="76"/>
        <v>0</v>
      </c>
      <c r="M304" s="125">
        <f t="shared" si="76"/>
        <v>0</v>
      </c>
      <c r="N304" s="125">
        <f t="shared" si="76"/>
        <v>0</v>
      </c>
      <c r="O304" s="125">
        <f t="shared" si="76"/>
        <v>0</v>
      </c>
      <c r="P304" s="122"/>
      <c r="Q304" s="122"/>
      <c r="R304" s="122"/>
      <c r="S304" s="122"/>
      <c r="T304" s="122"/>
      <c r="U304" s="122"/>
      <c r="V304" s="122"/>
      <c r="W304" s="122"/>
      <c r="X304" s="122"/>
      <c r="Y304" s="122"/>
      <c r="Z304" s="122"/>
    </row>
    <row r="305" spans="1:26" ht="12.75" x14ac:dyDescent="0.2">
      <c r="A305" s="122"/>
      <c r="B305" s="180"/>
      <c r="C305" s="198" t="s">
        <v>247</v>
      </c>
      <c r="D305" s="182"/>
      <c r="E305" s="182"/>
      <c r="F305" s="193">
        <f t="shared" ref="F305:O305" si="77">SUM(F303:F304)</f>
        <v>0</v>
      </c>
      <c r="G305" s="193">
        <f t="shared" si="77"/>
        <v>0</v>
      </c>
      <c r="H305" s="193">
        <f t="shared" si="77"/>
        <v>0</v>
      </c>
      <c r="I305" s="193">
        <f t="shared" si="77"/>
        <v>0</v>
      </c>
      <c r="J305" s="193">
        <f t="shared" si="77"/>
        <v>0</v>
      </c>
      <c r="K305" s="193">
        <f t="shared" si="77"/>
        <v>0</v>
      </c>
      <c r="L305" s="193">
        <f t="shared" si="77"/>
        <v>0</v>
      </c>
      <c r="M305" s="193">
        <f t="shared" si="77"/>
        <v>0</v>
      </c>
      <c r="N305" s="193">
        <f t="shared" si="77"/>
        <v>0</v>
      </c>
      <c r="O305" s="193">
        <f t="shared" si="77"/>
        <v>0</v>
      </c>
      <c r="P305" s="122"/>
      <c r="Q305" s="122"/>
      <c r="R305" s="122"/>
      <c r="S305" s="122"/>
      <c r="T305" s="122"/>
      <c r="U305" s="122"/>
      <c r="V305" s="122"/>
      <c r="W305" s="122"/>
      <c r="X305" s="122"/>
      <c r="Y305" s="122"/>
      <c r="Z305" s="122"/>
    </row>
    <row r="306" spans="1:26" ht="12.75" x14ac:dyDescent="0.2">
      <c r="A306" s="122"/>
      <c r="B306" s="180"/>
      <c r="C306" s="152"/>
      <c r="D306" s="180"/>
      <c r="E306" s="180"/>
      <c r="F306" s="194"/>
      <c r="G306" s="194"/>
      <c r="H306" s="194"/>
      <c r="I306" s="194"/>
      <c r="J306" s="194"/>
      <c r="K306" s="194"/>
      <c r="L306" s="194"/>
      <c r="M306" s="194"/>
      <c r="N306" s="194"/>
      <c r="O306" s="194"/>
      <c r="P306" s="122"/>
      <c r="Q306" s="122"/>
      <c r="R306" s="122"/>
      <c r="S306" s="122"/>
      <c r="T306" s="122"/>
      <c r="U306" s="122"/>
      <c r="V306" s="122"/>
      <c r="W306" s="122"/>
      <c r="X306" s="122"/>
      <c r="Y306" s="122"/>
      <c r="Z306" s="122"/>
    </row>
    <row r="307" spans="1:26" ht="12.75" x14ac:dyDescent="0.2">
      <c r="A307" s="122"/>
      <c r="B307" s="180"/>
      <c r="C307" s="203" t="s">
        <v>230</v>
      </c>
      <c r="D307" s="195"/>
      <c r="E307" s="195"/>
      <c r="F307" s="196">
        <f t="shared" ref="F307:O307" si="78">F300+F305</f>
        <v>70.45038000000001</v>
      </c>
      <c r="G307" s="196">
        <f t="shared" si="78"/>
        <v>94.996908636178844</v>
      </c>
      <c r="H307" s="196">
        <f t="shared" si="78"/>
        <v>84.313865277439007</v>
      </c>
      <c r="I307" s="196">
        <f t="shared" si="78"/>
        <v>86.506025774652443</v>
      </c>
      <c r="J307" s="196">
        <f t="shared" si="78"/>
        <v>75.661413760783745</v>
      </c>
      <c r="K307" s="196">
        <f t="shared" si="78"/>
        <v>105.26861666974189</v>
      </c>
      <c r="L307" s="196">
        <f t="shared" si="78"/>
        <v>93.430450435255381</v>
      </c>
      <c r="M307" s="196">
        <f t="shared" si="78"/>
        <v>95.859642146572014</v>
      </c>
      <c r="N307" s="196">
        <f t="shared" si="78"/>
        <v>81.257894312003913</v>
      </c>
      <c r="O307" s="196">
        <f t="shared" si="78"/>
        <v>116.65097122266526</v>
      </c>
      <c r="P307" s="122"/>
      <c r="Q307" s="122"/>
      <c r="R307" s="122"/>
      <c r="S307" s="122"/>
      <c r="T307" s="122"/>
      <c r="U307" s="122"/>
      <c r="V307" s="122"/>
      <c r="W307" s="122"/>
      <c r="X307" s="122"/>
      <c r="Y307" s="122"/>
      <c r="Z307" s="122"/>
    </row>
    <row r="308" spans="1:26" ht="12.75" x14ac:dyDescent="0.2">
      <c r="A308" s="122"/>
      <c r="B308" s="180"/>
      <c r="C308" s="155"/>
      <c r="D308" s="180"/>
      <c r="E308" s="180"/>
      <c r="F308" s="180"/>
      <c r="G308" s="180"/>
      <c r="H308" s="180"/>
      <c r="I308" s="180"/>
      <c r="J308" s="180"/>
      <c r="K308" s="180"/>
      <c r="L308" s="180"/>
      <c r="M308" s="180"/>
      <c r="N308" s="180"/>
      <c r="O308" s="180"/>
      <c r="P308" s="122"/>
      <c r="Q308" s="122"/>
      <c r="R308" s="122"/>
      <c r="S308" s="122"/>
      <c r="T308" s="122"/>
      <c r="U308" s="122"/>
      <c r="V308" s="122"/>
      <c r="W308" s="122"/>
      <c r="X308" s="122"/>
      <c r="Y308" s="122"/>
      <c r="Z308" s="122"/>
    </row>
    <row r="309" spans="1:26" ht="12.75" x14ac:dyDescent="0.2">
      <c r="A309" s="122"/>
      <c r="C309" s="232" t="s">
        <v>235</v>
      </c>
      <c r="D309" s="180"/>
      <c r="E309" s="180"/>
      <c r="F309" s="180"/>
      <c r="G309" s="180"/>
      <c r="H309" s="180"/>
      <c r="I309" s="180"/>
      <c r="J309" s="180"/>
      <c r="K309" s="180"/>
      <c r="L309" s="180"/>
      <c r="M309" s="180"/>
      <c r="N309" s="180"/>
      <c r="O309" s="180"/>
      <c r="P309" s="122"/>
      <c r="Q309" s="122"/>
      <c r="R309" s="122"/>
      <c r="S309" s="122"/>
      <c r="T309" s="122"/>
      <c r="U309" s="122"/>
      <c r="V309" s="122"/>
      <c r="W309" s="122"/>
      <c r="X309" s="122"/>
      <c r="Y309" s="122"/>
      <c r="Z309" s="122"/>
    </row>
    <row r="310" spans="1:26" ht="12.75" x14ac:dyDescent="0.2">
      <c r="A310" s="122"/>
      <c r="B310" s="192"/>
      <c r="C310" s="188" t="s">
        <v>144</v>
      </c>
      <c r="D310" s="180"/>
      <c r="E310" s="180"/>
      <c r="F310" s="180"/>
      <c r="G310" s="180"/>
      <c r="H310" s="180"/>
      <c r="I310" s="180"/>
      <c r="J310" s="180"/>
      <c r="K310" s="180"/>
      <c r="L310" s="180"/>
      <c r="M310" s="180"/>
      <c r="N310" s="180"/>
      <c r="O310" s="180"/>
      <c r="P310" s="122"/>
      <c r="Q310" s="122"/>
      <c r="R310" s="122"/>
      <c r="S310" s="122"/>
      <c r="T310" s="122"/>
      <c r="U310" s="122"/>
      <c r="V310" s="122"/>
      <c r="W310" s="122"/>
      <c r="X310" s="122"/>
      <c r="Y310" s="122"/>
      <c r="Z310" s="122"/>
    </row>
    <row r="311" spans="1:26" ht="12.75" x14ac:dyDescent="0.2">
      <c r="A311" s="122"/>
      <c r="B311" s="192"/>
      <c r="C311" s="155" t="s">
        <v>245</v>
      </c>
      <c r="D311" s="180"/>
      <c r="E311" s="180"/>
      <c r="F311" s="125">
        <f t="shared" ref="F311:O311" si="79">$F$98*(1+$F$99)/1000</f>
        <v>0</v>
      </c>
      <c r="G311" s="125">
        <f t="shared" si="79"/>
        <v>0</v>
      </c>
      <c r="H311" s="125">
        <f t="shared" si="79"/>
        <v>0</v>
      </c>
      <c r="I311" s="125">
        <f t="shared" si="79"/>
        <v>0</v>
      </c>
      <c r="J311" s="125">
        <f t="shared" si="79"/>
        <v>0</v>
      </c>
      <c r="K311" s="125">
        <f t="shared" si="79"/>
        <v>0</v>
      </c>
      <c r="L311" s="125">
        <f t="shared" si="79"/>
        <v>0</v>
      </c>
      <c r="M311" s="125">
        <f t="shared" si="79"/>
        <v>0</v>
      </c>
      <c r="N311" s="125">
        <f t="shared" si="79"/>
        <v>0</v>
      </c>
      <c r="O311" s="125">
        <f t="shared" si="79"/>
        <v>0</v>
      </c>
      <c r="P311" s="122"/>
      <c r="Q311" s="122"/>
      <c r="R311" s="122"/>
      <c r="S311" s="122"/>
      <c r="T311" s="122"/>
      <c r="U311" s="122"/>
      <c r="V311" s="122"/>
      <c r="W311" s="122"/>
      <c r="X311" s="122"/>
      <c r="Y311" s="122"/>
      <c r="Z311" s="122"/>
    </row>
    <row r="312" spans="1:26" ht="12.75" x14ac:dyDescent="0.2">
      <c r="A312" s="122"/>
      <c r="B312" s="192"/>
      <c r="C312" s="198" t="s">
        <v>245</v>
      </c>
      <c r="D312" s="182"/>
      <c r="E312" s="182"/>
      <c r="F312" s="193">
        <f t="shared" ref="F312:O312" si="80">F311</f>
        <v>0</v>
      </c>
      <c r="G312" s="193">
        <f t="shared" si="80"/>
        <v>0</v>
      </c>
      <c r="H312" s="193">
        <f t="shared" si="80"/>
        <v>0</v>
      </c>
      <c r="I312" s="193">
        <f t="shared" si="80"/>
        <v>0</v>
      </c>
      <c r="J312" s="193">
        <f t="shared" si="80"/>
        <v>0</v>
      </c>
      <c r="K312" s="193">
        <f t="shared" si="80"/>
        <v>0</v>
      </c>
      <c r="L312" s="193">
        <f t="shared" si="80"/>
        <v>0</v>
      </c>
      <c r="M312" s="193">
        <f t="shared" si="80"/>
        <v>0</v>
      </c>
      <c r="N312" s="193">
        <f t="shared" si="80"/>
        <v>0</v>
      </c>
      <c r="O312" s="193">
        <f t="shared" si="80"/>
        <v>0</v>
      </c>
      <c r="P312" s="122"/>
      <c r="Q312" s="122"/>
      <c r="R312" s="122"/>
      <c r="S312" s="122"/>
      <c r="T312" s="122"/>
      <c r="U312" s="122"/>
      <c r="V312" s="122"/>
      <c r="W312" s="122"/>
      <c r="X312" s="122"/>
      <c r="Y312" s="122"/>
      <c r="Z312" s="122"/>
    </row>
    <row r="313" spans="1:26" ht="12.75" x14ac:dyDescent="0.2">
      <c r="A313" s="122"/>
      <c r="B313" s="192"/>
      <c r="C313" s="232"/>
      <c r="D313" s="180"/>
      <c r="E313" s="180"/>
      <c r="F313" s="180"/>
      <c r="G313" s="180"/>
      <c r="H313" s="180"/>
      <c r="I313" s="180"/>
      <c r="J313" s="180"/>
      <c r="K313" s="180"/>
      <c r="L313" s="180"/>
      <c r="M313" s="180"/>
      <c r="N313" s="180"/>
      <c r="O313" s="180"/>
      <c r="P313" s="122"/>
      <c r="Q313" s="122"/>
      <c r="R313" s="122"/>
      <c r="S313" s="122"/>
      <c r="T313" s="122"/>
      <c r="U313" s="122"/>
      <c r="V313" s="122"/>
      <c r="W313" s="122"/>
      <c r="X313" s="122"/>
      <c r="Y313" s="122"/>
      <c r="Z313" s="122"/>
    </row>
    <row r="314" spans="1:26" ht="12.75" x14ac:dyDescent="0.2">
      <c r="A314" s="122"/>
      <c r="B314" s="180"/>
      <c r="C314" s="188" t="s">
        <v>218</v>
      </c>
      <c r="D314" s="180"/>
      <c r="E314" s="180"/>
      <c r="F314" s="180"/>
      <c r="G314" s="180"/>
      <c r="H314" s="180"/>
      <c r="I314" s="180"/>
      <c r="J314" s="180"/>
      <c r="K314" s="180"/>
      <c r="L314" s="180"/>
      <c r="M314" s="180"/>
      <c r="N314" s="180"/>
      <c r="O314" s="180"/>
      <c r="P314" s="122"/>
      <c r="Q314" s="122"/>
      <c r="R314" s="122"/>
      <c r="S314" s="122"/>
      <c r="T314" s="122"/>
      <c r="U314" s="122"/>
      <c r="V314" s="122"/>
      <c r="W314" s="122"/>
      <c r="X314" s="122"/>
      <c r="Y314" s="122"/>
      <c r="Z314" s="122"/>
    </row>
    <row r="315" spans="1:26" ht="12.75" x14ac:dyDescent="0.2">
      <c r="A315" s="122"/>
      <c r="B315" s="180"/>
      <c r="C315" s="228" t="s">
        <v>272</v>
      </c>
      <c r="D315" s="180"/>
      <c r="E315" s="180"/>
      <c r="F315" s="125">
        <f>IF(F$147=1,F196/F$123,Maize!F306)</f>
        <v>6.1920799999999998</v>
      </c>
      <c r="G315" s="125">
        <f>IF(G$147=1,G196/G$123,Maize!G306)</f>
        <v>7.5218930769230772</v>
      </c>
      <c r="H315" s="125">
        <f>IF(H$147=1,H196/H$123,Maize!H306)</f>
        <v>7.5218930769230772</v>
      </c>
      <c r="I315" s="125">
        <f>IF(I$147=1,I196/I$123,Maize!I306)</f>
        <v>7.5218930769230772</v>
      </c>
      <c r="J315" s="125">
        <f>IF(J$147=1,J196/J$123,Maize!J306)</f>
        <v>6.1920799999999998</v>
      </c>
      <c r="K315" s="125">
        <f>IF(K$147=1,K196/K$123,Maize!K306)</f>
        <v>7.5218930769230772</v>
      </c>
      <c r="L315" s="125">
        <f>IF(L$147=1,L196/L$123,Maize!L306)</f>
        <v>7.5218930769230772</v>
      </c>
      <c r="M315" s="125">
        <f>IF(M$147=1,M196/M$123,Maize!M306)</f>
        <v>7.5218930769230763</v>
      </c>
      <c r="N315" s="125">
        <f>IF(N$147=1,N196/N$123,Maize!N306)</f>
        <v>6.1920799999999998</v>
      </c>
      <c r="O315" s="125">
        <f>IF(O$147=1,O196/O$123,Maize!O306)</f>
        <v>7.5218930769230763</v>
      </c>
      <c r="P315" s="122"/>
      <c r="Q315" s="122"/>
      <c r="R315" s="122"/>
      <c r="S315" s="122"/>
      <c r="T315" s="122"/>
      <c r="U315" s="122"/>
      <c r="V315" s="122"/>
      <c r="W315" s="122"/>
      <c r="X315" s="122"/>
      <c r="Y315" s="122"/>
      <c r="Z315" s="122"/>
    </row>
    <row r="316" spans="1:26" ht="12.75" x14ac:dyDescent="0.2">
      <c r="A316" s="122"/>
      <c r="B316" s="180"/>
      <c r="C316" s="228" t="s">
        <v>273</v>
      </c>
      <c r="D316" s="180"/>
      <c r="E316" s="180"/>
      <c r="F316" s="125">
        <f>IF(F$147=1,F197/F$123,Maize!F307)</f>
        <v>4.386000000000001</v>
      </c>
      <c r="G316" s="125">
        <f>IF(G$147=1,G197/G$123,Maize!G307)</f>
        <v>4.1604954999999997</v>
      </c>
      <c r="H316" s="125">
        <f>IF(H$147=1,H197/H$123,Maize!H307)</f>
        <v>4.1604954999999997</v>
      </c>
      <c r="I316" s="125">
        <f>IF(I$147=1,I197/I$123,Maize!I307)</f>
        <v>4.1604954999999988</v>
      </c>
      <c r="J316" s="125">
        <f>IF(J$147=1,J197/J$123,Maize!J307)</f>
        <v>4.386000000000001</v>
      </c>
      <c r="K316" s="125">
        <f>IF(K$147=1,K197/K$123,Maize!K307)</f>
        <v>4.1604954999999988</v>
      </c>
      <c r="L316" s="125">
        <f>IF(L$147=1,L197/L$123,Maize!L307)</f>
        <v>4.1604954999999997</v>
      </c>
      <c r="M316" s="125">
        <f>IF(M$147=1,M197/M$123,Maize!M307)</f>
        <v>4.1604954999999988</v>
      </c>
      <c r="N316" s="125">
        <f>IF(N$147=1,N197/N$123,Maize!N307)</f>
        <v>4.386000000000001</v>
      </c>
      <c r="O316" s="125">
        <f>IF(O$147=1,O197/O$123,Maize!O307)</f>
        <v>4.1604954999999988</v>
      </c>
      <c r="P316" s="122"/>
      <c r="Q316" s="122"/>
      <c r="R316" s="122"/>
      <c r="S316" s="122"/>
      <c r="T316" s="122"/>
      <c r="U316" s="122"/>
      <c r="V316" s="122"/>
      <c r="W316" s="122"/>
      <c r="X316" s="122"/>
      <c r="Y316" s="122"/>
      <c r="Z316" s="122"/>
    </row>
    <row r="317" spans="1:26" ht="12.75" x14ac:dyDescent="0.2">
      <c r="A317" s="122"/>
      <c r="B317" s="180"/>
      <c r="C317" s="228" t="s">
        <v>274</v>
      </c>
      <c r="D317" s="180"/>
      <c r="E317" s="180"/>
      <c r="F317" s="125">
        <f>IF(F$147=1,F198/F$123,Maize!F308)</f>
        <v>3.1008</v>
      </c>
      <c r="G317" s="125">
        <f>IF(G$147=1,G198/G$123,Maize!G308)</f>
        <v>4.4537594594594587</v>
      </c>
      <c r="H317" s="125">
        <f>IF(H$147=1,H198/H$123,Maize!H308)</f>
        <v>4.4537594594594596</v>
      </c>
      <c r="I317" s="125">
        <f>IF(I$147=1,I198/I$123,Maize!I308)</f>
        <v>4.4537594594594587</v>
      </c>
      <c r="J317" s="125">
        <f>IF(J$147=1,J198/J$123,Maize!J308)</f>
        <v>3.1008000000000004</v>
      </c>
      <c r="K317" s="125">
        <f>IF(K$147=1,K198/K$123,Maize!K308)</f>
        <v>4.4537594594594596</v>
      </c>
      <c r="L317" s="125">
        <f>IF(L$147=1,L198/L$123,Maize!L308)</f>
        <v>4.4537594594594596</v>
      </c>
      <c r="M317" s="125">
        <f>IF(M$147=1,M198/M$123,Maize!M308)</f>
        <v>4.4537594594594596</v>
      </c>
      <c r="N317" s="125">
        <f>IF(N$147=1,N198/N$123,Maize!N308)</f>
        <v>3.1008000000000004</v>
      </c>
      <c r="O317" s="125">
        <f>IF(O$147=1,O198/O$123,Maize!O308)</f>
        <v>4.4537594594594596</v>
      </c>
      <c r="P317" s="122"/>
      <c r="Q317" s="122"/>
      <c r="R317" s="122"/>
      <c r="S317" s="122"/>
      <c r="T317" s="122"/>
      <c r="U317" s="122"/>
      <c r="V317" s="122"/>
      <c r="W317" s="122"/>
      <c r="X317" s="122"/>
      <c r="Y317" s="122"/>
      <c r="Z317" s="122"/>
    </row>
    <row r="318" spans="1:26" ht="12.75" x14ac:dyDescent="0.2">
      <c r="A318" s="122"/>
      <c r="B318" s="180"/>
      <c r="C318" s="228" t="s">
        <v>275</v>
      </c>
      <c r="D318" s="180"/>
      <c r="E318" s="180"/>
      <c r="F318" s="125">
        <f>IF(AND(E$147=1,F$147=0),Maize!F309*(1+$F$36),IF(AND(E$147=0,F$147=0),Maize!F309,F199/F$123))</f>
        <v>4.286448</v>
      </c>
      <c r="G318" s="125">
        <f>IF(AND(F$147=1,G$147=0),Maize!G309*(1+$F$36),IF(AND(F$147=0,G$147=0),Maize!G309,G199/G$123))</f>
        <v>9.570024856694122</v>
      </c>
      <c r="H318" s="125">
        <f>IF(AND(G$147=1,H$147=0),Maize!H309*(1+$F$36),IF(AND(G$147=0,H$147=0),Maize!H309,H199/H$123))</f>
        <v>8.2785682151333244</v>
      </c>
      <c r="I318" s="125">
        <f>IF(AND(H$147=1,I$147=0),Maize!I309*(1+$F$36),IF(AND(H$147=0,I$147=0),Maize!I309,I199/I$123))</f>
        <v>8.2785682151333226</v>
      </c>
      <c r="J318" s="125">
        <f>IF(AND(I$147=1,J$147=0),Maize!J309*(1+$F$36),IF(AND(I$147=0,J$147=0),Maize!J309,J199/J$123))</f>
        <v>4.286448</v>
      </c>
      <c r="K318" s="125">
        <f>IF(AND(J$147=1,K$147=0),Maize!K309*(1+$F$36),IF(AND(J$147=0,K$147=0),Maize!K309,K199/K$123))</f>
        <v>9.570024856694122</v>
      </c>
      <c r="L318" s="125">
        <f>IF(AND(K$147=1,L$147=0),Maize!L309*(1+$F$36),IF(AND(K$147=0,L$147=0),Maize!L309,L199/L$123))</f>
        <v>8.2785682151333244</v>
      </c>
      <c r="M318" s="125">
        <f>IF(AND(L$147=1,M$147=0),Maize!M309*(1+$F$36),IF(AND(L$147=0,M$147=0),Maize!M309,M199/M$123))</f>
        <v>8.2785682151333244</v>
      </c>
      <c r="N318" s="125">
        <f>IF(AND(M$147=1,N$147=0),Maize!N309*(1+$F$36),IF(AND(M$147=0,N$147=0),Maize!N309,N199/N$123))</f>
        <v>4.286448</v>
      </c>
      <c r="O318" s="125">
        <f>IF(AND(N$147=1,O$147=0),Maize!O309*(1+$F$36),IF(AND(N$147=0,O$147=0),Maize!O309,O199/O$123))</f>
        <v>9.570024856694122</v>
      </c>
      <c r="P318" s="122"/>
      <c r="Q318" s="122"/>
      <c r="R318" s="122"/>
      <c r="S318" s="122"/>
      <c r="T318" s="122"/>
      <c r="U318" s="122"/>
      <c r="V318" s="122"/>
      <c r="W318" s="122"/>
      <c r="X318" s="122"/>
      <c r="Y318" s="122"/>
      <c r="Z318" s="122"/>
    </row>
    <row r="319" spans="1:26" ht="12.75" x14ac:dyDescent="0.2">
      <c r="A319" s="122"/>
      <c r="B319" s="180"/>
      <c r="C319" s="152" t="s">
        <v>293</v>
      </c>
      <c r="D319" s="180"/>
      <c r="E319" s="180"/>
      <c r="F319" s="125">
        <f>IF(F$147=1,F200/F$123,Maize!F310)</f>
        <v>6.0112000000000005</v>
      </c>
      <c r="G319" s="125">
        <f>IF(G$147=1,G200/G$123,Maize!G310)</f>
        <v>7.131086511627907</v>
      </c>
      <c r="H319" s="125">
        <f>IF(H$147=1,H200/H$123,Maize!H310)</f>
        <v>7.131086511627907</v>
      </c>
      <c r="I319" s="125">
        <f>IF(I$147=1,I200/I$123,Maize!I310)</f>
        <v>7.131086511627907</v>
      </c>
      <c r="J319" s="125">
        <f>IF(J$147=1,J200/J$123,Maize!J310)</f>
        <v>6.0112000000000005</v>
      </c>
      <c r="K319" s="125">
        <f>IF(K$147=1,K200/K$123,Maize!K310)</f>
        <v>7.1310865116279079</v>
      </c>
      <c r="L319" s="125">
        <f>IF(L$147=1,L200/L$123,Maize!L310)</f>
        <v>7.131086511627907</v>
      </c>
      <c r="M319" s="125">
        <f>IF(M$147=1,M200/M$123,Maize!M310)</f>
        <v>7.1310865116279079</v>
      </c>
      <c r="N319" s="125">
        <f>IF(N$147=1,N200/N$123,Maize!N310)</f>
        <v>6.0112000000000014</v>
      </c>
      <c r="O319" s="125">
        <f>IF(O$147=1,O200/O$123,Maize!O310)</f>
        <v>7.131086511627907</v>
      </c>
      <c r="P319" s="122"/>
      <c r="Q319" s="122"/>
      <c r="R319" s="122"/>
      <c r="S319" s="122"/>
      <c r="T319" s="122"/>
      <c r="U319" s="122"/>
      <c r="V319" s="122"/>
      <c r="W319" s="122"/>
      <c r="X319" s="122"/>
      <c r="Y319" s="122"/>
      <c r="Z319" s="122"/>
    </row>
    <row r="320" spans="1:26" ht="12.75" x14ac:dyDescent="0.2">
      <c r="A320" s="122"/>
      <c r="B320" s="180"/>
      <c r="C320" s="228" t="s">
        <v>278</v>
      </c>
      <c r="D320" s="180"/>
      <c r="E320" s="180"/>
      <c r="F320" s="125">
        <f>IF(F$147=1,F201/F$123,Maize!F311)</f>
        <v>31.385400000000001</v>
      </c>
      <c r="G320" s="125">
        <f>IF(G$147=1,G201/G$123,Maize!G311)</f>
        <v>24.550149391110523</v>
      </c>
      <c r="H320" s="125">
        <f>IF(H$147=1,H201/H$123,Maize!H311)</f>
        <v>24.550149391110526</v>
      </c>
      <c r="I320" s="125">
        <f>IF(I$147=1,I201/I$123,Maize!I311)</f>
        <v>24.550149391110526</v>
      </c>
      <c r="J320" s="125">
        <f>IF(J$147=1,J201/J$123,Maize!J311)</f>
        <v>31.385400000000001</v>
      </c>
      <c r="K320" s="125">
        <f>IF(K$147=1,K201/K$123,Maize!K311)</f>
        <v>24.550149391110523</v>
      </c>
      <c r="L320" s="125">
        <f>IF(L$147=1,L201/L$123,Maize!L311)</f>
        <v>24.550149391110526</v>
      </c>
      <c r="M320" s="125">
        <f>IF(M$147=1,M201/M$123,Maize!M311)</f>
        <v>24.550149391110523</v>
      </c>
      <c r="N320" s="125">
        <f>IF(N$147=1,N201/N$123,Maize!N311)</f>
        <v>31.385400000000001</v>
      </c>
      <c r="O320" s="125">
        <f>IF(O$147=1,O201/O$123,Maize!O311)</f>
        <v>24.550149391110526</v>
      </c>
      <c r="P320" s="122"/>
      <c r="Q320" s="122"/>
      <c r="R320" s="122"/>
      <c r="S320" s="122"/>
      <c r="T320" s="122"/>
      <c r="U320" s="122"/>
      <c r="V320" s="122"/>
      <c r="W320" s="122"/>
      <c r="X320" s="122"/>
      <c r="Y320" s="122"/>
      <c r="Z320" s="122"/>
    </row>
    <row r="321" spans="1:26" ht="12.75" x14ac:dyDescent="0.2">
      <c r="A321" s="122"/>
      <c r="B321" s="180"/>
      <c r="C321" s="152" t="s">
        <v>85</v>
      </c>
      <c r="D321" s="180"/>
      <c r="E321" s="180"/>
      <c r="F321" s="125">
        <f>IF(F$147=1,F202/F$123,Maize!F312)</f>
        <v>0</v>
      </c>
      <c r="G321" s="125">
        <f>IF(G$147=1,G202/G$123,Maize!G312)</f>
        <v>0</v>
      </c>
      <c r="H321" s="125">
        <f>IF(H$147=1,H202/H$123,Maize!H312)</f>
        <v>0</v>
      </c>
      <c r="I321" s="125">
        <f>IF(I$147=1,I202/I$123,Maize!I312)</f>
        <v>0</v>
      </c>
      <c r="J321" s="125">
        <f>IF(J$147=1,J202/J$123,Maize!J312)</f>
        <v>0</v>
      </c>
      <c r="K321" s="125">
        <f>IF(K$147=1,K202/K$123,Maize!K312)</f>
        <v>0</v>
      </c>
      <c r="L321" s="125">
        <f>IF(L$147=1,L202/L$123,Maize!L312)</f>
        <v>0</v>
      </c>
      <c r="M321" s="125">
        <f>IF(M$147=1,M202/M$123,Maize!M312)</f>
        <v>0</v>
      </c>
      <c r="N321" s="125">
        <f>IF(N$147=1,N202/N$123,Maize!N312)</f>
        <v>0</v>
      </c>
      <c r="O321" s="125">
        <f>IF(O$147=1,O202/O$123,Maize!O312)</f>
        <v>0</v>
      </c>
      <c r="P321" s="122"/>
      <c r="Q321" s="122"/>
      <c r="R321" s="122"/>
      <c r="S321" s="122"/>
      <c r="T321" s="122"/>
      <c r="U321" s="122"/>
      <c r="V321" s="122"/>
      <c r="W321" s="122"/>
      <c r="X321" s="122"/>
      <c r="Y321" s="122"/>
      <c r="Z321" s="122"/>
    </row>
    <row r="322" spans="1:26" ht="12.75" x14ac:dyDescent="0.2">
      <c r="A322" s="122"/>
      <c r="B322" s="180"/>
      <c r="C322" s="198" t="s">
        <v>207</v>
      </c>
      <c r="D322" s="182"/>
      <c r="E322" s="182"/>
      <c r="F322" s="193">
        <f>SUM(F315:F321)</f>
        <v>55.361928000000006</v>
      </c>
      <c r="G322" s="193">
        <f t="shared" ref="G322:O322" si="81">SUM(G315:G321)</f>
        <v>57.387408795815091</v>
      </c>
      <c r="H322" s="193">
        <f t="shared" si="81"/>
        <v>56.095952154254292</v>
      </c>
      <c r="I322" s="193">
        <f t="shared" si="81"/>
        <v>56.095952154254292</v>
      </c>
      <c r="J322" s="193">
        <f t="shared" si="81"/>
        <v>55.361928000000006</v>
      </c>
      <c r="K322" s="193">
        <f t="shared" si="81"/>
        <v>57.387408795815091</v>
      </c>
      <c r="L322" s="193">
        <f t="shared" si="81"/>
        <v>56.095952154254292</v>
      </c>
      <c r="M322" s="193">
        <f t="shared" si="81"/>
        <v>56.095952154254284</v>
      </c>
      <c r="N322" s="193">
        <f t="shared" si="81"/>
        <v>55.361928000000006</v>
      </c>
      <c r="O322" s="193">
        <f t="shared" si="81"/>
        <v>57.387408795815091</v>
      </c>
      <c r="P322" s="122"/>
      <c r="Q322" s="122"/>
      <c r="R322" s="122"/>
      <c r="S322" s="122"/>
      <c r="T322" s="122"/>
      <c r="U322" s="122"/>
      <c r="V322" s="122"/>
      <c r="W322" s="122"/>
      <c r="X322" s="122"/>
      <c r="Y322" s="122"/>
      <c r="Z322" s="122"/>
    </row>
    <row r="323" spans="1:26" ht="12.75" x14ac:dyDescent="0.2">
      <c r="A323" s="122"/>
      <c r="B323" s="180"/>
      <c r="C323" s="155"/>
      <c r="D323" s="180"/>
      <c r="E323" s="180"/>
      <c r="F323" s="180"/>
      <c r="G323" s="180"/>
      <c r="H323" s="180"/>
      <c r="I323" s="180"/>
      <c r="J323" s="180"/>
      <c r="K323" s="180"/>
      <c r="L323" s="180"/>
      <c r="M323" s="180"/>
      <c r="N323" s="180"/>
      <c r="O323" s="180"/>
      <c r="P323" s="122"/>
      <c r="Q323" s="122"/>
      <c r="R323" s="122"/>
      <c r="S323" s="122"/>
      <c r="T323" s="122"/>
      <c r="U323" s="122"/>
      <c r="V323" s="122"/>
      <c r="W323" s="122"/>
      <c r="X323" s="122"/>
      <c r="Y323" s="122"/>
      <c r="Z323" s="122"/>
    </row>
    <row r="324" spans="1:26" ht="12.75" x14ac:dyDescent="0.2">
      <c r="A324" s="122"/>
      <c r="B324" s="180"/>
      <c r="C324" s="188" t="s">
        <v>215</v>
      </c>
      <c r="D324" s="180"/>
      <c r="E324" s="180"/>
      <c r="F324" s="183"/>
      <c r="G324" s="183"/>
      <c r="H324" s="183"/>
      <c r="I324" s="183"/>
      <c r="J324" s="183"/>
      <c r="K324" s="183"/>
      <c r="L324" s="183"/>
      <c r="M324" s="183"/>
      <c r="N324" s="183"/>
      <c r="O324" s="183"/>
      <c r="P324" s="122"/>
      <c r="Q324" s="122"/>
      <c r="R324" s="122"/>
      <c r="S324" s="122"/>
      <c r="T324" s="122"/>
      <c r="U324" s="122"/>
      <c r="V324" s="122"/>
      <c r="W324" s="122"/>
      <c r="X324" s="122"/>
      <c r="Y324" s="122"/>
      <c r="Z324" s="122"/>
    </row>
    <row r="325" spans="1:26" ht="12.75" x14ac:dyDescent="0.2">
      <c r="A325" s="122"/>
      <c r="B325" s="180"/>
      <c r="C325" s="155" t="s">
        <v>110</v>
      </c>
      <c r="D325" s="180"/>
      <c r="E325" s="180"/>
      <c r="F325" s="125">
        <f>IF(F$147=1,F206/F$123,Maize!F316)</f>
        <v>2.38</v>
      </c>
      <c r="G325" s="125">
        <f>IF(G$147=1,G206/G$123,Maize!G316)</f>
        <v>6.21936</v>
      </c>
      <c r="H325" s="125">
        <f>IF(H$147=1,H206/H$123,Maize!H316)</f>
        <v>6.21936</v>
      </c>
      <c r="I325" s="125">
        <f>IF(I$147=1,I206/I$123,Maize!I316)</f>
        <v>6.21936</v>
      </c>
      <c r="J325" s="125">
        <f>IF(J$147=1,J206/J$123,Maize!J316)</f>
        <v>2.3800000000000003</v>
      </c>
      <c r="K325" s="125">
        <f>IF(K$147=1,K206/K$123,Maize!K316)</f>
        <v>6.21936</v>
      </c>
      <c r="L325" s="125">
        <f>IF(L$147=1,L206/L$123,Maize!L316)</f>
        <v>6.2193599999999991</v>
      </c>
      <c r="M325" s="125">
        <f>IF(M$147=1,M206/M$123,Maize!M316)</f>
        <v>6.2193599999999991</v>
      </c>
      <c r="N325" s="125">
        <f>IF(N$147=1,N206/N$123,Maize!N316)</f>
        <v>2.3800000000000003</v>
      </c>
      <c r="O325" s="125">
        <f>IF(O$147=1,O206/O$123,Maize!O316)</f>
        <v>6.2193599999999991</v>
      </c>
      <c r="P325" s="122"/>
      <c r="Q325" s="122"/>
      <c r="R325" s="122"/>
      <c r="S325" s="122"/>
      <c r="T325" s="122"/>
      <c r="U325" s="122"/>
      <c r="V325" s="122"/>
      <c r="W325" s="122"/>
      <c r="X325" s="122"/>
      <c r="Y325" s="122"/>
      <c r="Z325" s="122"/>
    </row>
    <row r="326" spans="1:26" ht="12.75" x14ac:dyDescent="0.2">
      <c r="A326" s="122"/>
      <c r="B326" s="155"/>
      <c r="C326" s="184" t="s">
        <v>283</v>
      </c>
      <c r="D326" s="184"/>
      <c r="E326" s="184"/>
      <c r="F326" s="125">
        <f>IF(F$147=1,F207/F$123,Maize!F317)</f>
        <v>2.5110399999999999</v>
      </c>
      <c r="G326" s="125">
        <f>IF(G$147=1,G207/G$123,Maize!G317)</f>
        <v>3.74369</v>
      </c>
      <c r="H326" s="125">
        <f>IF(H$147=1,H207/H$123,Maize!H317)</f>
        <v>3.74369</v>
      </c>
      <c r="I326" s="125">
        <f>IF(I$147=1,I207/I$123,Maize!I317)</f>
        <v>3.7436899999999995</v>
      </c>
      <c r="J326" s="125">
        <f>IF(J$147=1,J207/J$123,Maize!J317)</f>
        <v>2.5110399999999999</v>
      </c>
      <c r="K326" s="125">
        <f>IF(K$147=1,K207/K$123,Maize!K317)</f>
        <v>3.74369</v>
      </c>
      <c r="L326" s="125">
        <f>IF(L$147=1,L207/L$123,Maize!L317)</f>
        <v>3.74369</v>
      </c>
      <c r="M326" s="125">
        <f>IF(M$147=1,M207/M$123,Maize!M317)</f>
        <v>3.74369</v>
      </c>
      <c r="N326" s="125">
        <f>IF(N$147=1,N207/N$123,Maize!N317)</f>
        <v>2.5110399999999999</v>
      </c>
      <c r="O326" s="125">
        <f>IF(O$147=1,O207/O$123,Maize!O317)</f>
        <v>3.74369</v>
      </c>
      <c r="P326" s="122"/>
      <c r="Q326" s="122"/>
      <c r="R326" s="122"/>
      <c r="S326" s="122"/>
      <c r="T326" s="122"/>
      <c r="U326" s="122"/>
      <c r="V326" s="122"/>
      <c r="W326" s="122"/>
      <c r="X326" s="122"/>
      <c r="Y326" s="122"/>
      <c r="Z326" s="122"/>
    </row>
    <row r="327" spans="1:26" ht="12.75" x14ac:dyDescent="0.2">
      <c r="A327" s="122"/>
      <c r="B327" s="180"/>
      <c r="C327" s="199" t="s">
        <v>216</v>
      </c>
      <c r="D327" s="182"/>
      <c r="E327" s="182"/>
      <c r="F327" s="127">
        <f t="shared" ref="F327:O327" si="82">SUM(F325:F326)</f>
        <v>4.8910400000000003</v>
      </c>
      <c r="G327" s="127">
        <f t="shared" si="82"/>
        <v>9.9630499999999991</v>
      </c>
      <c r="H327" s="127">
        <f t="shared" si="82"/>
        <v>9.9630499999999991</v>
      </c>
      <c r="I327" s="127">
        <f t="shared" si="82"/>
        <v>9.9630499999999991</v>
      </c>
      <c r="J327" s="127">
        <f t="shared" si="82"/>
        <v>4.8910400000000003</v>
      </c>
      <c r="K327" s="127">
        <f t="shared" si="82"/>
        <v>9.9630499999999991</v>
      </c>
      <c r="L327" s="127">
        <f t="shared" si="82"/>
        <v>9.9630499999999991</v>
      </c>
      <c r="M327" s="127">
        <f t="shared" si="82"/>
        <v>9.9630499999999991</v>
      </c>
      <c r="N327" s="127">
        <f t="shared" si="82"/>
        <v>4.8910400000000003</v>
      </c>
      <c r="O327" s="127">
        <f t="shared" si="82"/>
        <v>9.9630499999999991</v>
      </c>
      <c r="P327" s="122"/>
      <c r="Q327" s="122"/>
      <c r="R327" s="122"/>
      <c r="S327" s="122"/>
      <c r="T327" s="122"/>
      <c r="U327" s="122"/>
      <c r="V327" s="122"/>
      <c r="W327" s="122"/>
      <c r="X327" s="122"/>
      <c r="Y327" s="122"/>
      <c r="Z327" s="122"/>
    </row>
    <row r="328" spans="1:26" ht="12.75" x14ac:dyDescent="0.2">
      <c r="A328" s="122"/>
      <c r="B328" s="180"/>
      <c r="C328" s="155"/>
      <c r="D328" s="180"/>
      <c r="E328" s="180"/>
      <c r="F328" s="183"/>
      <c r="G328" s="183"/>
      <c r="H328" s="183"/>
      <c r="I328" s="183"/>
      <c r="J328" s="183"/>
      <c r="K328" s="183"/>
      <c r="L328" s="183"/>
      <c r="M328" s="183"/>
      <c r="N328" s="183"/>
      <c r="O328" s="183"/>
      <c r="P328" s="122"/>
      <c r="Q328" s="122"/>
      <c r="R328" s="122"/>
      <c r="S328" s="122"/>
      <c r="T328" s="122"/>
      <c r="U328" s="122"/>
      <c r="V328" s="122"/>
      <c r="W328" s="122"/>
      <c r="X328" s="122"/>
      <c r="Y328" s="122"/>
      <c r="Z328" s="122"/>
    </row>
    <row r="329" spans="1:26" ht="12.75" x14ac:dyDescent="0.2">
      <c r="A329" s="122"/>
      <c r="B329" s="180"/>
      <c r="C329" s="188" t="s">
        <v>219</v>
      </c>
      <c r="D329" s="180"/>
      <c r="E329" s="180"/>
      <c r="F329" s="183"/>
      <c r="G329" s="183"/>
      <c r="H329" s="183"/>
      <c r="I329" s="183"/>
      <c r="J329" s="183"/>
      <c r="K329" s="183"/>
      <c r="L329" s="183"/>
      <c r="M329" s="183"/>
      <c r="N329" s="183"/>
      <c r="O329" s="183"/>
      <c r="P329" s="122"/>
      <c r="Q329" s="122"/>
      <c r="R329" s="122"/>
      <c r="S329" s="122"/>
      <c r="T329" s="122"/>
      <c r="U329" s="122"/>
      <c r="V329" s="122"/>
      <c r="W329" s="122"/>
      <c r="X329" s="122"/>
      <c r="Y329" s="122"/>
      <c r="Z329" s="122"/>
    </row>
    <row r="330" spans="1:26" ht="12.75" x14ac:dyDescent="0.2">
      <c r="A330" s="122"/>
      <c r="B330" s="180"/>
      <c r="C330" s="152" t="s">
        <v>92</v>
      </c>
      <c r="D330" s="180"/>
      <c r="E330" s="180"/>
      <c r="F330" s="125">
        <f>IF(F$147=1,F211/F$123,Maize!F321)</f>
        <v>5.1000000000000005</v>
      </c>
      <c r="G330" s="125">
        <f>IF(G$147=1,G211/G$123,Maize!G321)</f>
        <v>3.2289777066455998</v>
      </c>
      <c r="H330" s="125">
        <f>IF(H$147=1,H211/H$123,Maize!H321)</f>
        <v>3.2289777066455998</v>
      </c>
      <c r="I330" s="125">
        <f>IF(I$147=1,I211/I$123,Maize!I321)</f>
        <v>3.2289777066455998</v>
      </c>
      <c r="J330" s="125">
        <f>IF(J$147=1,J211/J$123,Maize!J321)</f>
        <v>5.1000000000000005</v>
      </c>
      <c r="K330" s="125">
        <f>IF(K$147=1,K211/K$123,Maize!K321)</f>
        <v>3.2289777066455998</v>
      </c>
      <c r="L330" s="125">
        <f>IF(L$147=1,L211/L$123,Maize!L321)</f>
        <v>3.2289777066455998</v>
      </c>
      <c r="M330" s="125">
        <f>IF(M$147=1,M211/M$123,Maize!M321)</f>
        <v>3.2289777066455998</v>
      </c>
      <c r="N330" s="125">
        <f>IF(N$147=1,N211/N$123,Maize!N321)</f>
        <v>5.1000000000000005</v>
      </c>
      <c r="O330" s="125">
        <f>IF(O$147=1,O211/O$123,Maize!O321)</f>
        <v>3.2289777066455998</v>
      </c>
      <c r="P330" s="122"/>
      <c r="Q330" s="122"/>
      <c r="R330" s="122"/>
      <c r="S330" s="122"/>
      <c r="T330" s="122"/>
      <c r="U330" s="122"/>
      <c r="V330" s="122"/>
      <c r="W330" s="122"/>
      <c r="X330" s="122"/>
      <c r="Y330" s="122"/>
      <c r="Z330" s="122"/>
    </row>
    <row r="331" spans="1:26" ht="12.75" x14ac:dyDescent="0.2">
      <c r="A331" s="122"/>
      <c r="B331" s="180"/>
      <c r="C331" s="152" t="s">
        <v>96</v>
      </c>
      <c r="D331" s="180"/>
      <c r="E331" s="180"/>
      <c r="F331" s="125">
        <f>IF(F$147=1,F212/F$123,Maize!F322)</f>
        <v>0.637432</v>
      </c>
      <c r="G331" s="125">
        <f>IF(G$147=1,G212/G$123,Maize!G322)</f>
        <v>3.15</v>
      </c>
      <c r="H331" s="125">
        <f>IF(H$147=1,H212/H$123,Maize!H322)</f>
        <v>3.15</v>
      </c>
      <c r="I331" s="125">
        <f>IF(I$147=1,I212/I$123,Maize!I322)</f>
        <v>3.15</v>
      </c>
      <c r="J331" s="125">
        <f>IF(J$147=1,J212/J$123,Maize!J322)</f>
        <v>0.637432</v>
      </c>
      <c r="K331" s="125">
        <f>IF(K$147=1,K212/K$123,Maize!K322)</f>
        <v>3.1500000000000004</v>
      </c>
      <c r="L331" s="125">
        <f>IF(L$147=1,L212/L$123,Maize!L322)</f>
        <v>3.1500000000000004</v>
      </c>
      <c r="M331" s="125">
        <f>IF(M$147=1,M212/M$123,Maize!M322)</f>
        <v>3.15</v>
      </c>
      <c r="N331" s="125">
        <f>IF(N$147=1,N212/N$123,Maize!N322)</f>
        <v>0.637432</v>
      </c>
      <c r="O331" s="125">
        <f>IF(O$147=1,O212/O$123,Maize!O322)</f>
        <v>3.15</v>
      </c>
      <c r="P331" s="122"/>
      <c r="Q331" s="122"/>
      <c r="R331" s="122"/>
      <c r="S331" s="122"/>
      <c r="T331" s="122"/>
      <c r="U331" s="122"/>
      <c r="V331" s="122"/>
      <c r="W331" s="122"/>
      <c r="X331" s="122"/>
      <c r="Y331" s="122"/>
      <c r="Z331" s="122"/>
    </row>
    <row r="332" spans="1:26" ht="12.75" x14ac:dyDescent="0.2">
      <c r="A332" s="122"/>
      <c r="B332" s="180"/>
      <c r="C332" s="152" t="s">
        <v>99</v>
      </c>
      <c r="D332" s="180"/>
      <c r="E332" s="180"/>
      <c r="F332" s="125">
        <f>IF(F$147=1,F213/F$123,Maize!F323)</f>
        <v>1.8117352064000001</v>
      </c>
      <c r="G332" s="125">
        <f>IF(G$147=1,G213/G$123,Maize!G323)</f>
        <v>3.1452969702599991</v>
      </c>
      <c r="H332" s="125">
        <f>IF(H$147=1,H213/H$123,Maize!H323)</f>
        <v>3.1452969702599995</v>
      </c>
      <c r="I332" s="125">
        <f>IF(I$147=1,I213/I$123,Maize!I323)</f>
        <v>3.1452969702599995</v>
      </c>
      <c r="J332" s="125">
        <f>IF(J$147=1,J213/J$123,Maize!J323)</f>
        <v>1.8117352063999996</v>
      </c>
      <c r="K332" s="125">
        <f>IF(K$147=1,K213/K$123,Maize!K323)</f>
        <v>3.14529697026</v>
      </c>
      <c r="L332" s="125">
        <f>IF(L$147=1,L213/L$123,Maize!L323)</f>
        <v>3.1452969702599995</v>
      </c>
      <c r="M332" s="125">
        <f>IF(M$147=1,M213/M$123,Maize!M323)</f>
        <v>3.14529697026</v>
      </c>
      <c r="N332" s="125">
        <f>IF(N$147=1,N213/N$123,Maize!N323)</f>
        <v>1.8117352064000001</v>
      </c>
      <c r="O332" s="125">
        <f>IF(O$147=1,O213/O$123,Maize!O323)</f>
        <v>3.1452969702599991</v>
      </c>
      <c r="P332" s="122"/>
      <c r="Q332" s="122"/>
      <c r="R332" s="122"/>
      <c r="S332" s="122"/>
      <c r="T332" s="122"/>
      <c r="U332" s="122"/>
      <c r="V332" s="122"/>
      <c r="W332" s="122"/>
      <c r="X332" s="122"/>
      <c r="Y332" s="122"/>
      <c r="Z332" s="122"/>
    </row>
    <row r="333" spans="1:26" ht="12.75" x14ac:dyDescent="0.2">
      <c r="A333" s="122"/>
      <c r="B333" s="180"/>
      <c r="C333" s="152" t="s">
        <v>102</v>
      </c>
      <c r="D333" s="180"/>
      <c r="E333" s="180"/>
      <c r="F333" s="125">
        <f>IF(F$147=1,F214/F$123,Maize!F324)</f>
        <v>7.8288557759999993</v>
      </c>
      <c r="G333" s="125">
        <f>IF(G$147=1,G214/G$123,Maize!G324)</f>
        <v>9.308279257199997</v>
      </c>
      <c r="H333" s="125">
        <f>IF(H$147=1,H214/H$123,Maize!H324)</f>
        <v>9.3082792571999988</v>
      </c>
      <c r="I333" s="125">
        <f>IF(I$147=1,I214/I$123,Maize!I324)</f>
        <v>9.3082792571999988</v>
      </c>
      <c r="J333" s="125">
        <f>IF(J$147=1,J214/J$123,Maize!J324)</f>
        <v>7.8288557759999993</v>
      </c>
      <c r="K333" s="125">
        <f>IF(K$147=1,K214/K$123,Maize!K324)</f>
        <v>9.308279257199997</v>
      </c>
      <c r="L333" s="125">
        <f>IF(L$147=1,L214/L$123,Maize!L324)</f>
        <v>9.3082792571999988</v>
      </c>
      <c r="M333" s="125">
        <f>IF(M$147=1,M214/M$123,Maize!M324)</f>
        <v>9.3082792572000006</v>
      </c>
      <c r="N333" s="125">
        <f>IF(N$147=1,N214/N$123,Maize!N324)</f>
        <v>7.8288557759999993</v>
      </c>
      <c r="O333" s="125">
        <f>IF(O$147=1,O214/O$123,Maize!O324)</f>
        <v>9.308279257199997</v>
      </c>
      <c r="P333" s="122"/>
      <c r="Q333" s="122"/>
      <c r="R333" s="122"/>
      <c r="S333" s="122"/>
      <c r="T333" s="122"/>
      <c r="U333" s="122"/>
      <c r="V333" s="122"/>
      <c r="W333" s="122"/>
      <c r="X333" s="122"/>
      <c r="Y333" s="122"/>
      <c r="Z333" s="122"/>
    </row>
    <row r="334" spans="1:26" ht="12.75" x14ac:dyDescent="0.2">
      <c r="A334" s="122"/>
      <c r="B334" s="180"/>
      <c r="C334" s="152" t="s">
        <v>418</v>
      </c>
      <c r="D334" s="180"/>
      <c r="E334" s="180"/>
      <c r="F334" s="125">
        <f>IF(F$147=1,F215/F$123,)</f>
        <v>3.7944000000000009</v>
      </c>
      <c r="G334" s="125">
        <f>IF(G$147=1,G215/G$123,)</f>
        <v>0</v>
      </c>
      <c r="H334" s="125">
        <f>IF(H$147=1,H215/H$123,)</f>
        <v>0</v>
      </c>
      <c r="I334" s="125">
        <f>IF(I$147=1,I215/I$123,)</f>
        <v>0</v>
      </c>
      <c r="J334" s="125">
        <f>IF(J$147=1,J215/J$123,)</f>
        <v>3.7944000000000004</v>
      </c>
      <c r="K334" s="125">
        <f>IF(K$147=1,K215/K$123,)</f>
        <v>0</v>
      </c>
      <c r="L334" s="125">
        <f>IF(L$147=1,L215/L$123,)</f>
        <v>0</v>
      </c>
      <c r="M334" s="125">
        <f>IF(M$147=1,M215/M$123,)</f>
        <v>0</v>
      </c>
      <c r="N334" s="125">
        <f>IF(N$147=1,N215/N$123,)</f>
        <v>3.7944000000000013</v>
      </c>
      <c r="O334" s="125">
        <f>IF(O$147=1,O215/O$123,)</f>
        <v>0</v>
      </c>
      <c r="P334" s="122"/>
      <c r="Q334" s="122"/>
      <c r="R334" s="122"/>
      <c r="S334" s="122"/>
      <c r="T334" s="122"/>
      <c r="U334" s="122"/>
      <c r="V334" s="122"/>
      <c r="W334" s="122"/>
      <c r="X334" s="122"/>
      <c r="Y334" s="122"/>
      <c r="Z334" s="122"/>
    </row>
    <row r="335" spans="1:26" ht="12.75" x14ac:dyDescent="0.2">
      <c r="A335" s="122"/>
      <c r="B335" s="180"/>
      <c r="C335" s="152" t="s">
        <v>105</v>
      </c>
      <c r="D335" s="180"/>
      <c r="E335" s="180"/>
      <c r="F335" s="125">
        <f>IF(F$147=1,F216/F$123,Maize!F325)</f>
        <v>2.3028879999999998</v>
      </c>
      <c r="G335" s="125">
        <f>IF(G$147=1,G216/G$123,Maize!G325)</f>
        <v>0.51393176470588231</v>
      </c>
      <c r="H335" s="125">
        <f>IF(H$147=1,H216/H$123,Maize!H325)</f>
        <v>0.51393176470588231</v>
      </c>
      <c r="I335" s="125">
        <f>IF(I$147=1,I216/I$123,Maize!I325)</f>
        <v>0.51393176470588231</v>
      </c>
      <c r="J335" s="125">
        <f>IF(J$147=1,J216/J$123,Maize!J325)</f>
        <v>2.3028879999999998</v>
      </c>
      <c r="K335" s="125">
        <f>IF(K$147=1,K216/K$123,Maize!K325)</f>
        <v>0.51393176470588231</v>
      </c>
      <c r="L335" s="125">
        <f>IF(L$147=1,L216/L$123,Maize!L325)</f>
        <v>0.51393176470588231</v>
      </c>
      <c r="M335" s="125">
        <f>IF(M$147=1,M216/M$123,Maize!M325)</f>
        <v>0.51393176470588242</v>
      </c>
      <c r="N335" s="125">
        <f>IF(N$147=1,N216/N$123,Maize!N325)</f>
        <v>2.3028880000000003</v>
      </c>
      <c r="O335" s="125">
        <f>IF(O$147=1,O216/O$123,Maize!O325)</f>
        <v>0.51393176470588231</v>
      </c>
      <c r="P335" s="122"/>
      <c r="Q335" s="122"/>
      <c r="R335" s="122"/>
      <c r="S335" s="122"/>
      <c r="T335" s="122"/>
      <c r="U335" s="122"/>
      <c r="V335" s="122"/>
      <c r="W335" s="122"/>
      <c r="X335" s="122"/>
      <c r="Y335" s="122"/>
      <c r="Z335" s="122"/>
    </row>
    <row r="336" spans="1:26" ht="12.75" x14ac:dyDescent="0.2">
      <c r="A336" s="122"/>
      <c r="B336" s="180"/>
      <c r="C336" s="152" t="s">
        <v>108</v>
      </c>
      <c r="D336" s="180"/>
      <c r="E336" s="180"/>
      <c r="F336" s="125">
        <f>IF(AND(E$147=1,F$147=0),Maize!F326*(1+$F$36),IF(AND(E$147=0,F$147=0),Maize!F326,F217/F$123))</f>
        <v>1.5</v>
      </c>
      <c r="G336" s="125">
        <f>IF(AND(F$147=1,G$147=0),Maize!G326*(1+$F$36),IF(AND(F$147=0,G$147=0),Maize!G326,G217/G$123))</f>
        <v>1.9651999999999998</v>
      </c>
      <c r="H336" s="125">
        <f>IF(AND(G$147=1,H$147=0),Maize!H326*(1+$F$36),IF(AND(G$147=0,H$147=0),Maize!H326,H217/H$123))</f>
        <v>1.8</v>
      </c>
      <c r="I336" s="125">
        <f>IF(AND(H$147=1,I$147=0),Maize!I326*(1+$F$36),IF(AND(H$147=0,I$147=0),Maize!I326,I217/I$123))</f>
        <v>1.9</v>
      </c>
      <c r="J336" s="125">
        <f>IF(AND(I$147=1,J$147=0),Maize!J326*(1+$F$36),IF(AND(I$147=0,J$147=0),Maize!J326,J217/J$123))</f>
        <v>1.6</v>
      </c>
      <c r="K336" s="125">
        <f>IF(AND(J$147=1,K$147=0),Maize!K326*(1+$F$36),IF(AND(J$147=0,K$147=0),Maize!K326,K217/K$123))</f>
        <v>2.3119999999999998</v>
      </c>
      <c r="L336" s="125">
        <f>IF(AND(K$147=1,L$147=0),Maize!L326*(1+$F$36),IF(AND(K$147=0,L$147=0),Maize!L326,L217/L$123))</f>
        <v>2.1</v>
      </c>
      <c r="M336" s="125">
        <f>IF(AND(L$147=1,M$147=0),Maize!M326*(1+$F$36),IF(AND(L$147=0,M$147=0),Maize!M326,M217/M$123))</f>
        <v>2.2000000000000002</v>
      </c>
      <c r="N336" s="125">
        <f>IF(AND(M$147=1,N$147=0),Maize!N326*(1+$F$36),IF(AND(M$147=0,N$147=0),Maize!N326,N217/N$123))</f>
        <v>1.8</v>
      </c>
      <c r="O336" s="125">
        <f>IF(AND(N$147=1,O$147=0),Maize!O326*(1+$F$36),IF(AND(N$147=0,O$147=0),Maize!O326,O217/O$123))</f>
        <v>2.6587999999999994</v>
      </c>
      <c r="P336" s="122"/>
      <c r="Q336" s="122"/>
      <c r="R336" s="122"/>
      <c r="S336" s="122"/>
      <c r="T336" s="122"/>
      <c r="U336" s="122"/>
      <c r="V336" s="122"/>
      <c r="W336" s="122"/>
      <c r="X336" s="122"/>
      <c r="Y336" s="122"/>
      <c r="Z336" s="122"/>
    </row>
    <row r="337" spans="1:26" ht="12.75" x14ac:dyDescent="0.2">
      <c r="A337" s="122"/>
      <c r="B337" s="155"/>
      <c r="C337" s="198" t="s">
        <v>217</v>
      </c>
      <c r="D337" s="198"/>
      <c r="E337" s="198"/>
      <c r="F337" s="200">
        <f t="shared" ref="F337:O337" si="83">SUM(F330:F336)</f>
        <v>22.9753109824</v>
      </c>
      <c r="G337" s="200">
        <f t="shared" si="83"/>
        <v>21.31168569881148</v>
      </c>
      <c r="H337" s="200">
        <f t="shared" si="83"/>
        <v>21.146485698811482</v>
      </c>
      <c r="I337" s="200">
        <f t="shared" si="83"/>
        <v>21.24648569881148</v>
      </c>
      <c r="J337" s="200">
        <f t="shared" si="83"/>
        <v>23.075310982400001</v>
      </c>
      <c r="K337" s="200">
        <f t="shared" si="83"/>
        <v>21.658485698811482</v>
      </c>
      <c r="L337" s="200">
        <f t="shared" si="83"/>
        <v>21.446485698811482</v>
      </c>
      <c r="M337" s="200">
        <f t="shared" si="83"/>
        <v>21.546485698811484</v>
      </c>
      <c r="N337" s="200">
        <f t="shared" si="83"/>
        <v>23.275310982400001</v>
      </c>
      <c r="O337" s="200">
        <f t="shared" si="83"/>
        <v>22.00528569881148</v>
      </c>
      <c r="P337" s="122"/>
      <c r="Q337" s="122"/>
      <c r="R337" s="122"/>
      <c r="S337" s="122"/>
      <c r="T337" s="122"/>
      <c r="U337" s="122"/>
      <c r="V337" s="122"/>
      <c r="W337" s="122"/>
      <c r="X337" s="122"/>
      <c r="Y337" s="122"/>
      <c r="Z337" s="122"/>
    </row>
    <row r="338" spans="1:26" ht="12.75" x14ac:dyDescent="0.2">
      <c r="A338" s="122"/>
      <c r="B338" s="155"/>
      <c r="C338" s="155"/>
      <c r="D338" s="155"/>
      <c r="E338" s="155"/>
      <c r="F338" s="155"/>
      <c r="G338" s="155"/>
      <c r="H338" s="155"/>
      <c r="I338" s="155"/>
      <c r="J338" s="155"/>
      <c r="K338" s="155"/>
      <c r="L338" s="155"/>
      <c r="M338" s="155"/>
      <c r="N338" s="155"/>
      <c r="O338" s="155"/>
      <c r="P338" s="122"/>
      <c r="Q338" s="122"/>
      <c r="R338" s="122"/>
      <c r="S338" s="122"/>
      <c r="T338" s="122"/>
      <c r="U338" s="122"/>
      <c r="V338" s="122"/>
      <c r="W338" s="122"/>
      <c r="X338" s="122"/>
      <c r="Y338" s="122"/>
      <c r="Z338" s="122"/>
    </row>
    <row r="339" spans="1:26" ht="12.75" x14ac:dyDescent="0.2">
      <c r="A339" s="122"/>
      <c r="B339" s="155"/>
      <c r="C339" s="155" t="s">
        <v>287</v>
      </c>
      <c r="D339" s="155"/>
      <c r="E339" s="155"/>
      <c r="F339" s="155"/>
      <c r="G339" s="155"/>
      <c r="H339" s="155"/>
      <c r="I339" s="155"/>
      <c r="J339" s="155"/>
      <c r="K339" s="155"/>
      <c r="L339" s="155"/>
      <c r="M339" s="155"/>
      <c r="N339" s="155"/>
      <c r="O339" s="155"/>
      <c r="P339" s="122"/>
      <c r="Q339" s="122"/>
      <c r="R339" s="122"/>
      <c r="S339" s="122"/>
      <c r="T339" s="122"/>
      <c r="U339" s="122"/>
      <c r="V339" s="122"/>
      <c r="W339" s="122"/>
      <c r="X339" s="122"/>
      <c r="Y339" s="122"/>
      <c r="Z339" s="122"/>
    </row>
    <row r="340" spans="1:26" ht="12.75" x14ac:dyDescent="0.2">
      <c r="A340" s="122"/>
      <c r="B340" s="155"/>
      <c r="C340" s="155" t="s">
        <v>375</v>
      </c>
      <c r="D340" s="155"/>
      <c r="E340" s="155"/>
      <c r="F340" s="125">
        <f>IF(AND(E$147=1,F$147=0),Maize!F330*(1+$F$36),IF(AND(E$147=0,F$147=0),Maize!F330,F221/F$123))</f>
        <v>1.349742500779221</v>
      </c>
      <c r="G340" s="125">
        <f>IF(AND(F$147=1,G$147=0),Maize!G330*(1+$F$36),IF(AND(F$147=0,G$147=0),Maize!G330,G221/G$123))</f>
        <v>2.5855826487077236</v>
      </c>
      <c r="H340" s="125">
        <f>IF(AND(G$147=1,H$147=0),Maize!H330*(1+$F$36),IF(AND(G$147=0,H$147=0),Maize!H330,H221/H$123))</f>
        <v>2.325433731342196</v>
      </c>
      <c r="I340" s="125">
        <f>IF(AND(H$147=1,I$147=0),Maize!I330*(1+$F$36),IF(AND(H$147=0,I$147=0),Maize!I330,I221/I$123))</f>
        <v>2.4165123058116391</v>
      </c>
      <c r="J340" s="125">
        <f>IF(AND(I$147=1,J$147=0),Maize!J330*(1+$F$36),IF(AND(I$147=0,J$147=0),Maize!J330,J221/J$123))</f>
        <v>1.4813944186490642</v>
      </c>
      <c r="K340" s="125">
        <f>IF(AND(J$147=1,K$147=0),Maize!K330*(1+$F$36),IF(AND(J$147=0,K$147=0),Maize!K330,K221/K$123))</f>
        <v>3.0123454364928572</v>
      </c>
      <c r="L340" s="125">
        <f>IF(AND(K$147=1,L$147=0),Maize!L330*(1+$F$36),IF(AND(K$147=0,L$147=0),Maize!L330,L221/L$123))</f>
        <v>2.7042041640995902</v>
      </c>
      <c r="M340" s="125">
        <f>IF(AND(L$147=1,M$147=0),Maize!M330*(1+$F$36),IF(AND(L$147=0,M$147=0),Maize!M330,M221/M$123))</f>
        <v>2.805130769820726</v>
      </c>
      <c r="N340" s="125">
        <f>IF(AND(M$147=1,N$147=0),Maize!N330*(1+$F$36),IF(AND(M$147=0,N$147=0),Maize!N330,N221/N$123))</f>
        <v>1.6227842909301076</v>
      </c>
      <c r="O340" s="125">
        <f>IF(AND(N$147=1,O$147=0),Maize!O330*(1+$F$36),IF(AND(N$147=0,O$147=0),Maize!O330,O221/O$123))</f>
        <v>3.4852527022262856</v>
      </c>
      <c r="P340" s="122"/>
      <c r="Q340" s="122"/>
      <c r="R340" s="122"/>
      <c r="S340" s="122"/>
      <c r="T340" s="122"/>
      <c r="U340" s="122"/>
      <c r="V340" s="122"/>
      <c r="W340" s="122"/>
      <c r="X340" s="122"/>
      <c r="Y340" s="122"/>
      <c r="Z340" s="122"/>
    </row>
    <row r="341" spans="1:26" ht="12.75" x14ac:dyDescent="0.2">
      <c r="A341" s="122"/>
      <c r="B341" s="155"/>
      <c r="C341" s="184" t="s">
        <v>284</v>
      </c>
      <c r="D341" s="184"/>
      <c r="E341" s="184"/>
      <c r="F341" s="141">
        <f>IF(AND(E$147=1,F$147=0),Maize!F331*(1+$F$36),IF(AND(E$147=0,F$147=0),Maize!F331,F222/F$123))</f>
        <v>1.2028411200000004</v>
      </c>
      <c r="G341" s="141">
        <f>IF(AND(F$147=1,G$147=0),Maize!G331*(1+$F$36),IF(AND(F$147=0,G$147=0),Maize!G331,G222/G$123))</f>
        <v>1.28596945232448</v>
      </c>
      <c r="H341" s="141">
        <f>IF(AND(G$147=1,H$147=0),Maize!H331*(1+$F$36),IF(AND(G$147=0,H$147=0),Maize!H331,H222/H$123))</f>
        <v>1.14135351045408</v>
      </c>
      <c r="I341" s="141">
        <f>IF(AND(H$147=1,I$147=0),Maize!I331*(1+$F$36),IF(AND(H$147=0,I$147=0),Maize!I331,I222/I$123))</f>
        <v>1.1710287017258862</v>
      </c>
      <c r="J341" s="141">
        <f>IF(AND(I$147=1,J$147=0),Maize!J331*(1+$F$36),IF(AND(I$147=0,J$147=0),Maize!J331,J222/J$123))</f>
        <v>1.2918121899243769</v>
      </c>
      <c r="K341" s="141">
        <f>IF(AND(J$147=1,K$147=0),Maize!K331*(1+$F$36),IF(AND(J$147=0,K$147=0),Maize!K331,K222/K$123))</f>
        <v>1.4250171639184068</v>
      </c>
      <c r="L341" s="141">
        <f>IF(AND(K$147=1,L$147=0),Maize!L331*(1+$F$36),IF(AND(K$147=0,L$147=0),Maize!L331,L222/L$123))</f>
        <v>1.2647643686680672</v>
      </c>
      <c r="M341" s="141">
        <f>IF(AND(L$147=1,M$147=0),Maize!M331*(1+$F$36),IF(AND(L$147=0,M$147=0),Maize!M331,M222/M$123))</f>
        <v>1.2976482422534372</v>
      </c>
      <c r="N341" s="141">
        <f>IF(AND(M$147=1,N$147=0),Maize!N331*(1+$F$36),IF(AND(M$147=0,N$147=0),Maize!N331,N222/N$123))</f>
        <v>1.3873642215001885</v>
      </c>
      <c r="O341" s="141">
        <f>IF(AND(N$147=1,O$147=0),Maize!O331*(1+$F$36),IF(AND(N$147=0,O$147=0),Maize!O331,O222/O$123))</f>
        <v>1.5790996541881104</v>
      </c>
      <c r="P341" s="122"/>
      <c r="Q341" s="122"/>
      <c r="R341" s="122"/>
      <c r="S341" s="122"/>
      <c r="T341" s="122"/>
      <c r="U341" s="122"/>
      <c r="V341" s="122"/>
      <c r="W341" s="122"/>
      <c r="X341" s="122"/>
      <c r="Y341" s="122"/>
      <c r="Z341" s="122"/>
    </row>
    <row r="342" spans="1:26" ht="12.75" x14ac:dyDescent="0.2">
      <c r="A342" s="122"/>
      <c r="B342" s="155"/>
      <c r="C342" s="155" t="s">
        <v>289</v>
      </c>
      <c r="D342" s="155"/>
      <c r="E342" s="155"/>
      <c r="F342" s="190">
        <f t="shared" ref="F342:O342" si="84">SUM(F340:F341)</f>
        <v>2.5525836207792212</v>
      </c>
      <c r="G342" s="190">
        <f t="shared" si="84"/>
        <v>3.8715521010322034</v>
      </c>
      <c r="H342" s="190">
        <f t="shared" si="84"/>
        <v>3.466787241796276</v>
      </c>
      <c r="I342" s="190">
        <f t="shared" si="84"/>
        <v>3.5875410075375251</v>
      </c>
      <c r="J342" s="190">
        <f t="shared" si="84"/>
        <v>2.773206608573441</v>
      </c>
      <c r="K342" s="190">
        <f t="shared" si="84"/>
        <v>4.4373626004112641</v>
      </c>
      <c r="L342" s="190">
        <f t="shared" si="84"/>
        <v>3.9689685327676574</v>
      </c>
      <c r="M342" s="190">
        <f t="shared" si="84"/>
        <v>4.102779012074163</v>
      </c>
      <c r="N342" s="190">
        <f t="shared" si="84"/>
        <v>3.010148512430296</v>
      </c>
      <c r="O342" s="190">
        <f t="shared" si="84"/>
        <v>5.0643523564143962</v>
      </c>
      <c r="P342" s="122"/>
      <c r="Q342" s="122"/>
      <c r="R342" s="122"/>
      <c r="S342" s="122"/>
      <c r="T342" s="122"/>
      <c r="U342" s="122"/>
      <c r="V342" s="122"/>
      <c r="W342" s="122"/>
      <c r="X342" s="122"/>
      <c r="Y342" s="122"/>
      <c r="Z342" s="122"/>
    </row>
    <row r="343" spans="1:26" ht="12.75" x14ac:dyDescent="0.2">
      <c r="A343" s="122"/>
      <c r="B343" s="155"/>
      <c r="C343" s="155"/>
      <c r="D343" s="155"/>
      <c r="E343" s="155"/>
      <c r="F343" s="155"/>
      <c r="G343" s="155"/>
      <c r="H343" s="155"/>
      <c r="I343" s="155"/>
      <c r="J343" s="155"/>
      <c r="K343" s="155"/>
      <c r="L343" s="155"/>
      <c r="M343" s="155"/>
      <c r="N343" s="155"/>
      <c r="O343" s="155"/>
      <c r="P343" s="122"/>
      <c r="Q343" s="122"/>
      <c r="R343" s="122"/>
      <c r="S343" s="122"/>
      <c r="T343" s="122"/>
      <c r="U343" s="122"/>
      <c r="V343" s="122"/>
      <c r="W343" s="122"/>
      <c r="X343" s="122"/>
      <c r="Y343" s="122"/>
      <c r="Z343" s="122"/>
    </row>
    <row r="344" spans="1:26" ht="12.75" x14ac:dyDescent="0.2">
      <c r="A344" s="122"/>
      <c r="B344" s="155"/>
      <c r="C344" s="203" t="s">
        <v>236</v>
      </c>
      <c r="D344" s="203"/>
      <c r="E344" s="203"/>
      <c r="F344" s="204">
        <f>F312+F322+F327+F337+F342</f>
        <v>85.78086260317923</v>
      </c>
      <c r="G344" s="204">
        <f>G312+G322+G327+G337+G342</f>
        <v>92.533696595658782</v>
      </c>
      <c r="H344" s="204">
        <f>H312+H322+H327+H337+H342</f>
        <v>90.672275094862044</v>
      </c>
      <c r="I344" s="204">
        <f>I312+I322+I327+I337+I342</f>
        <v>90.893028860603295</v>
      </c>
      <c r="J344" s="204">
        <f>J312+J322+J327+J337</f>
        <v>83.328278982400008</v>
      </c>
      <c r="K344" s="204">
        <f>K312+K322+K327+K337+K342</f>
        <v>93.446307095037838</v>
      </c>
      <c r="L344" s="204">
        <f>L312+L322+L327+L337+L342</f>
        <v>91.474456385833435</v>
      </c>
      <c r="M344" s="204">
        <f>M312+M322+M327+M337+M342</f>
        <v>91.708266865139933</v>
      </c>
      <c r="N344" s="204">
        <f>N312+N322+N327+N337</f>
        <v>83.52827898240001</v>
      </c>
      <c r="O344" s="204">
        <f>O312+O322+O327+O337+O342</f>
        <v>94.420096851040967</v>
      </c>
      <c r="P344" s="122"/>
      <c r="Q344" s="122"/>
      <c r="R344" s="122"/>
      <c r="S344" s="122"/>
      <c r="T344" s="122"/>
      <c r="U344" s="122"/>
      <c r="V344" s="122"/>
      <c r="W344" s="122"/>
      <c r="X344" s="122"/>
      <c r="Y344" s="122"/>
      <c r="Z344" s="122"/>
    </row>
    <row r="345" spans="1:26" ht="12.75" x14ac:dyDescent="0.2">
      <c r="A345" s="122"/>
      <c r="B345" s="155"/>
      <c r="C345" s="155"/>
      <c r="D345" s="155"/>
      <c r="E345" s="155"/>
      <c r="F345" s="155"/>
      <c r="G345" s="155"/>
      <c r="H345" s="155"/>
      <c r="I345" s="155"/>
      <c r="J345" s="155"/>
      <c r="K345" s="155"/>
      <c r="L345" s="155"/>
      <c r="M345" s="155"/>
      <c r="N345" s="155"/>
      <c r="O345" s="155"/>
      <c r="P345" s="122"/>
      <c r="Q345" s="122"/>
      <c r="R345" s="122"/>
      <c r="S345" s="122"/>
      <c r="T345" s="122"/>
      <c r="U345" s="122"/>
      <c r="V345" s="122"/>
      <c r="W345" s="122"/>
      <c r="X345" s="122"/>
      <c r="Y345" s="122"/>
      <c r="Z345" s="122"/>
    </row>
    <row r="346" spans="1:26" ht="12.75" x14ac:dyDescent="0.2">
      <c r="A346" s="122"/>
      <c r="C346" s="206" t="s">
        <v>238</v>
      </c>
      <c r="D346" s="203"/>
      <c r="E346" s="203"/>
      <c r="F346" s="208">
        <f t="shared" ref="F346:O346" si="85">F307-F344</f>
        <v>-15.33048260317922</v>
      </c>
      <c r="G346" s="208">
        <f t="shared" si="85"/>
        <v>2.4632120405200624</v>
      </c>
      <c r="H346" s="208">
        <f t="shared" si="85"/>
        <v>-6.3584098174230377</v>
      </c>
      <c r="I346" s="208">
        <f t="shared" si="85"/>
        <v>-4.3870030859508518</v>
      </c>
      <c r="J346" s="208">
        <f t="shared" si="85"/>
        <v>-7.6668652216162627</v>
      </c>
      <c r="K346" s="208">
        <f t="shared" si="85"/>
        <v>11.82230957470405</v>
      </c>
      <c r="L346" s="208">
        <f t="shared" si="85"/>
        <v>1.9559940494219461</v>
      </c>
      <c r="M346" s="208">
        <f t="shared" si="85"/>
        <v>4.151375281432081</v>
      </c>
      <c r="N346" s="208">
        <f t="shared" si="85"/>
        <v>-2.2703846703960977</v>
      </c>
      <c r="O346" s="208">
        <f t="shared" si="85"/>
        <v>22.230874371624296</v>
      </c>
      <c r="P346" s="122"/>
      <c r="Q346" s="122"/>
      <c r="R346" s="122"/>
      <c r="S346" s="122"/>
      <c r="T346" s="122"/>
      <c r="U346" s="122"/>
      <c r="V346" s="122"/>
      <c r="W346" s="122"/>
      <c r="X346" s="122"/>
      <c r="Y346" s="122"/>
      <c r="Z346" s="122"/>
    </row>
    <row r="347" spans="1:26" ht="12.75" x14ac:dyDescent="0.2">
      <c r="A347" s="122"/>
      <c r="B347" s="122"/>
      <c r="C347" s="173"/>
      <c r="D347" s="122"/>
      <c r="E347" s="122"/>
      <c r="F347" s="882"/>
      <c r="G347" s="235"/>
      <c r="H347" s="235"/>
      <c r="I347" s="235"/>
      <c r="J347" s="235"/>
      <c r="K347" s="122"/>
      <c r="L347" s="122"/>
      <c r="M347" s="122"/>
      <c r="N347" s="122"/>
      <c r="O347" s="122"/>
      <c r="P347" s="122"/>
      <c r="Q347" s="122"/>
      <c r="R347" s="122"/>
      <c r="S347" s="122"/>
      <c r="T347" s="122"/>
      <c r="U347" s="122"/>
      <c r="V347" s="122"/>
      <c r="W347" s="122"/>
      <c r="X347" s="122"/>
      <c r="Y347" s="122"/>
      <c r="Z347" s="122"/>
    </row>
    <row r="348" spans="1:26" ht="12.75" x14ac:dyDescent="0.2">
      <c r="A348" s="122"/>
      <c r="B348" s="179" t="s">
        <v>237</v>
      </c>
      <c r="C348" s="155"/>
      <c r="D348" s="180"/>
      <c r="E348" s="180"/>
      <c r="F348" s="183"/>
      <c r="G348" s="183"/>
      <c r="H348" s="183"/>
      <c r="I348" s="183"/>
      <c r="J348" s="183"/>
      <c r="K348" s="183"/>
      <c r="L348" s="183"/>
      <c r="M348" s="183"/>
      <c r="N348" s="183"/>
      <c r="O348" s="183"/>
      <c r="P348" s="122"/>
      <c r="Q348" s="122"/>
      <c r="R348" s="122"/>
      <c r="S348" s="122"/>
      <c r="T348" s="122"/>
      <c r="U348" s="122"/>
      <c r="V348" s="122"/>
      <c r="W348" s="122"/>
      <c r="X348" s="122"/>
      <c r="Y348" s="122"/>
      <c r="Z348" s="122"/>
    </row>
    <row r="349" spans="1:26" ht="12.75" x14ac:dyDescent="0.2">
      <c r="A349" s="122"/>
      <c r="C349" s="232" t="s">
        <v>222</v>
      </c>
      <c r="D349" s="180"/>
      <c r="E349" s="180"/>
      <c r="F349" s="180"/>
      <c r="G349" s="180"/>
      <c r="H349" s="180"/>
      <c r="I349" s="180"/>
      <c r="J349" s="180"/>
      <c r="K349" s="180"/>
      <c r="L349" s="180"/>
      <c r="M349" s="180"/>
      <c r="N349" s="180"/>
      <c r="O349" s="180"/>
      <c r="P349" s="122"/>
      <c r="Q349" s="122"/>
      <c r="R349" s="122"/>
      <c r="S349" s="122"/>
      <c r="T349" s="122"/>
      <c r="U349" s="122"/>
      <c r="V349" s="122"/>
      <c r="W349" s="122"/>
      <c r="X349" s="122"/>
      <c r="Y349" s="122"/>
      <c r="Z349" s="122"/>
    </row>
    <row r="350" spans="1:26" ht="12.75" x14ac:dyDescent="0.2">
      <c r="A350" s="122"/>
      <c r="B350" s="180"/>
      <c r="C350" s="152" t="s">
        <v>428</v>
      </c>
      <c r="D350" s="180"/>
      <c r="E350" s="180"/>
      <c r="F350" s="125">
        <f>IF(AND(E$148=1,F$148=0),Maize!F289*(1+$I$36),IF(AND(E$148=0,F$148=0),Maize!F289,F180/F$123))</f>
        <v>163.20000000000002</v>
      </c>
      <c r="G350" s="125">
        <f>IF(AND(F$148=1,G$148=0),Maize!G289*(1+$I$36),IF(AND(F$148=0,G$148=0),Maize!G289,G180/G$123))</f>
        <v>114.79306355118705</v>
      </c>
      <c r="H350" s="125">
        <f>IF(AND(G$148=1,H$148=0),Maize!H289*(1+$I$36),IF(AND(G$148=0,H$148=0),Maize!H289,H180/H$123))</f>
        <v>212.09472000000008</v>
      </c>
      <c r="I350" s="125">
        <f>IF(AND(H$148=1,I$148=0),Maize!I289*(1+$I$36),IF(AND(H$148=0,I$148=0),Maize!I289,I180/I$123))</f>
        <v>120.83990296680939</v>
      </c>
      <c r="J350" s="125">
        <f>IF(AND(I$148=1,J$148=0),Maize!J289*(1+$I$36),IF(AND(I$148=0,J$148=0),Maize!J289,J180/J$123))</f>
        <v>244.79999999999998</v>
      </c>
      <c r="K350" s="125">
        <f>IF(AND(J$148=1,K$148=0),Maize!K289*(1+$I$36),IF(AND(J$148=0,K$148=0),Maize!K289,K180/K$123))</f>
        <v>127.20526569548906</v>
      </c>
      <c r="L350" s="125">
        <f>IF(AND(K$148=1,L$148=0),Maize!L289*(1+$I$36),IF(AND(K$148=0,L$148=0),Maize!L289,L180/L$123))</f>
        <v>244.8</v>
      </c>
      <c r="M350" s="125">
        <f>IF(AND(L$148=1,M$148=0),Maize!M289*(1+$I$36),IF(AND(L$148=0,M$148=0),Maize!M289,M180/M$123))</f>
        <v>133.90593027126468</v>
      </c>
      <c r="N350" s="125">
        <f>IF(AND(M$148=1,N$148=0),Maize!N289*(1+$I$36),IF(AND(M$148=0,N$148=0),Maize!N289,N180/N$123))</f>
        <v>244.8</v>
      </c>
      <c r="O350" s="125">
        <f>IF(AND(N$148=1,O$148=0),Maize!O289*(1+$I$36),IF(AND(N$148=0,O$148=0),Maize!O289,O180/O$123))</f>
        <v>140.95955905423381</v>
      </c>
      <c r="P350" s="122"/>
      <c r="Q350" s="122"/>
      <c r="R350" s="122"/>
      <c r="S350" s="122"/>
      <c r="T350" s="122"/>
      <c r="U350" s="122"/>
      <c r="V350" s="122"/>
      <c r="W350" s="122"/>
      <c r="X350" s="122"/>
      <c r="Y350" s="122"/>
      <c r="Z350" s="122"/>
    </row>
    <row r="351" spans="1:26" ht="12.75" x14ac:dyDescent="0.2">
      <c r="A351" s="122"/>
      <c r="B351" s="180"/>
      <c r="C351" s="152" t="s">
        <v>231</v>
      </c>
      <c r="D351" s="180"/>
      <c r="E351" s="180"/>
      <c r="F351" s="125">
        <f>IF(AND(E$148=1,F$148=0),Maize!F290*(1+$I$36),IF(AND(E$148=0,F$148=0),Maize!F290,F181/F$123))</f>
        <v>16.8096</v>
      </c>
      <c r="G351" s="125">
        <f>IF(AND(F$148=1,G$148=0),Maize!G290*(1+$I$36),IF(AND(F$148=0,G$148=0),Maize!G290,G181/G$123))</f>
        <v>11.249720228016333</v>
      </c>
      <c r="H351" s="125">
        <f>IF(AND(G$148=1,H$148=0),Maize!H290*(1+$I$36),IF(AND(G$148=0,H$148=0),Maize!H290,H181/H$123))</f>
        <v>21.845756160000008</v>
      </c>
      <c r="I351" s="125">
        <f>IF(AND(H$148=1,I$148=0),Maize!I290*(1+$I$36),IF(AND(H$148=0,I$148=0),Maize!I290,I181/I$123))</f>
        <v>11.842310490747321</v>
      </c>
      <c r="J351" s="125">
        <f>IF(AND(I$148=1,J$148=0),Maize!J290*(1+$I$36),IF(AND(I$148=0,J$148=0),Maize!J290,J181/J$123))</f>
        <v>25.214399999999998</v>
      </c>
      <c r="K351" s="125">
        <f>IF(AND(J$148=1,K$148=0),Maize!K290*(1+$I$36),IF(AND(J$148=0,K$148=0),Maize!K290,K181/K$123))</f>
        <v>12.46611603815793</v>
      </c>
      <c r="L351" s="125">
        <f>IF(AND(K$148=1,L$148=0),Maize!L290*(1+$I$36),IF(AND(K$148=0,L$148=0),Maize!L290,L181/L$123))</f>
        <v>25.214399999999998</v>
      </c>
      <c r="M351" s="125">
        <f>IF(AND(L$148=1,M$148=0),Maize!M290*(1+$I$36),IF(AND(L$148=0,M$148=0),Maize!M290,M181/M$123))</f>
        <v>13.122781166583938</v>
      </c>
      <c r="N351" s="125">
        <f>IF(AND(M$148=1,N$148=0),Maize!N290*(1+$I$36),IF(AND(M$148=0,N$148=0),Maize!N290,N181/N$123))</f>
        <v>25.214399999999998</v>
      </c>
      <c r="O351" s="125">
        <f>IF(AND(N$148=1,O$148=0),Maize!O290*(1+$I$36),IF(AND(N$148=0,O$148=0),Maize!O290,O181/O$123))</f>
        <v>13.814036787314913</v>
      </c>
      <c r="P351" s="122"/>
      <c r="Q351" s="122"/>
      <c r="R351" s="122"/>
      <c r="S351" s="122"/>
      <c r="T351" s="122"/>
      <c r="U351" s="122"/>
      <c r="V351" s="122"/>
      <c r="W351" s="122"/>
      <c r="X351" s="122"/>
      <c r="Y351" s="122"/>
      <c r="Z351" s="122"/>
    </row>
    <row r="352" spans="1:26" ht="12.75" x14ac:dyDescent="0.2">
      <c r="A352" s="122"/>
      <c r="B352" s="180"/>
      <c r="C352" s="198" t="s">
        <v>432</v>
      </c>
      <c r="D352" s="182"/>
      <c r="E352" s="182"/>
      <c r="F352" s="193">
        <f t="shared" ref="F352:O352" si="86">F350-F351</f>
        <v>146.39040000000003</v>
      </c>
      <c r="G352" s="193">
        <f t="shared" si="86"/>
        <v>103.54334332317072</v>
      </c>
      <c r="H352" s="193">
        <f t="shared" si="86"/>
        <v>190.24896384000007</v>
      </c>
      <c r="I352" s="193">
        <f t="shared" si="86"/>
        <v>108.99759247606207</v>
      </c>
      <c r="J352" s="193">
        <f t="shared" si="86"/>
        <v>219.5856</v>
      </c>
      <c r="K352" s="193">
        <f t="shared" si="86"/>
        <v>114.73914965733113</v>
      </c>
      <c r="L352" s="193">
        <f t="shared" si="86"/>
        <v>219.5856</v>
      </c>
      <c r="M352" s="193">
        <f t="shared" si="86"/>
        <v>120.78314910468075</v>
      </c>
      <c r="N352" s="193">
        <f t="shared" si="86"/>
        <v>219.5856</v>
      </c>
      <c r="O352" s="193">
        <f t="shared" si="86"/>
        <v>127.14552226691889</v>
      </c>
      <c r="P352" s="122"/>
      <c r="Q352" s="122"/>
      <c r="R352" s="122"/>
      <c r="S352" s="122"/>
      <c r="T352" s="122"/>
      <c r="U352" s="122"/>
      <c r="V352" s="122"/>
      <c r="W352" s="122"/>
      <c r="X352" s="122"/>
      <c r="Y352" s="122"/>
      <c r="Z352" s="122"/>
    </row>
    <row r="353" spans="1:26" ht="12.75" x14ac:dyDescent="0.2">
      <c r="A353" s="122"/>
      <c r="B353" s="180"/>
      <c r="C353" s="152"/>
      <c r="D353" s="180"/>
      <c r="E353" s="180"/>
      <c r="F353" s="194"/>
      <c r="G353" s="194"/>
      <c r="H353" s="194"/>
      <c r="I353" s="194"/>
      <c r="J353" s="194"/>
      <c r="K353" s="194"/>
      <c r="L353" s="194"/>
      <c r="M353" s="194"/>
      <c r="N353" s="194"/>
      <c r="O353" s="194"/>
      <c r="P353" s="122"/>
      <c r="Q353" s="122"/>
      <c r="R353" s="122"/>
      <c r="S353" s="122"/>
      <c r="T353" s="122"/>
      <c r="U353" s="122"/>
      <c r="V353" s="122"/>
      <c r="W353" s="122"/>
      <c r="X353" s="122"/>
      <c r="Y353" s="122"/>
      <c r="Z353" s="122"/>
    </row>
    <row r="354" spans="1:26" ht="12.75" x14ac:dyDescent="0.2">
      <c r="A354" s="122"/>
      <c r="B354" s="180"/>
      <c r="C354" s="188" t="s">
        <v>266</v>
      </c>
      <c r="D354" s="180"/>
      <c r="E354" s="180"/>
      <c r="F354" s="194"/>
      <c r="G354" s="194"/>
      <c r="H354" s="194"/>
      <c r="I354" s="194"/>
      <c r="J354" s="194"/>
      <c r="K354" s="194"/>
      <c r="L354" s="194"/>
      <c r="M354" s="194"/>
      <c r="N354" s="194"/>
      <c r="O354" s="194"/>
      <c r="P354" s="122"/>
      <c r="Q354" s="122"/>
      <c r="R354" s="122"/>
      <c r="S354" s="122"/>
      <c r="T354" s="122"/>
      <c r="U354" s="122"/>
      <c r="V354" s="122"/>
      <c r="W354" s="122"/>
      <c r="X354" s="122"/>
      <c r="Y354" s="122"/>
      <c r="Z354" s="122"/>
    </row>
    <row r="355" spans="1:26" ht="12.75" x14ac:dyDescent="0.2">
      <c r="A355" s="122"/>
      <c r="B355" s="180"/>
      <c r="C355" s="155" t="s">
        <v>267</v>
      </c>
      <c r="D355" s="180"/>
      <c r="E355" s="180"/>
      <c r="F355" s="125">
        <f t="shared" ref="F355:O355" si="87">$I$98/1000</f>
        <v>0</v>
      </c>
      <c r="G355" s="125">
        <f t="shared" si="87"/>
        <v>0</v>
      </c>
      <c r="H355" s="125">
        <f t="shared" si="87"/>
        <v>0</v>
      </c>
      <c r="I355" s="125">
        <f t="shared" si="87"/>
        <v>0</v>
      </c>
      <c r="J355" s="125">
        <f t="shared" si="87"/>
        <v>0</v>
      </c>
      <c r="K355" s="125">
        <f t="shared" si="87"/>
        <v>0</v>
      </c>
      <c r="L355" s="125">
        <f t="shared" si="87"/>
        <v>0</v>
      </c>
      <c r="M355" s="125">
        <f t="shared" si="87"/>
        <v>0</v>
      </c>
      <c r="N355" s="125">
        <f t="shared" si="87"/>
        <v>0</v>
      </c>
      <c r="O355" s="125">
        <f t="shared" si="87"/>
        <v>0</v>
      </c>
      <c r="P355" s="122"/>
      <c r="Q355" s="122"/>
      <c r="R355" s="122"/>
      <c r="S355" s="122"/>
      <c r="T355" s="122"/>
      <c r="U355" s="122"/>
      <c r="V355" s="122"/>
      <c r="W355" s="122"/>
      <c r="X355" s="122"/>
      <c r="Y355" s="122"/>
      <c r="Z355" s="122"/>
    </row>
    <row r="356" spans="1:26" ht="12.75" x14ac:dyDescent="0.2">
      <c r="A356" s="122"/>
      <c r="B356" s="180"/>
      <c r="C356" s="155" t="s">
        <v>138</v>
      </c>
      <c r="D356" s="180"/>
      <c r="E356" s="180"/>
      <c r="F356" s="125">
        <f t="shared" ref="F356:O356" si="88">$I$93/1000</f>
        <v>0</v>
      </c>
      <c r="G356" s="125">
        <f t="shared" si="88"/>
        <v>0</v>
      </c>
      <c r="H356" s="125">
        <f t="shared" si="88"/>
        <v>0</v>
      </c>
      <c r="I356" s="125">
        <f t="shared" si="88"/>
        <v>0</v>
      </c>
      <c r="J356" s="125">
        <f t="shared" si="88"/>
        <v>0</v>
      </c>
      <c r="K356" s="125">
        <f t="shared" si="88"/>
        <v>0</v>
      </c>
      <c r="L356" s="125">
        <f t="shared" si="88"/>
        <v>0</v>
      </c>
      <c r="M356" s="125">
        <f t="shared" si="88"/>
        <v>0</v>
      </c>
      <c r="N356" s="125">
        <f t="shared" si="88"/>
        <v>0</v>
      </c>
      <c r="O356" s="125">
        <f t="shared" si="88"/>
        <v>0</v>
      </c>
      <c r="P356" s="122"/>
      <c r="Q356" s="122"/>
      <c r="R356" s="122"/>
      <c r="S356" s="122"/>
      <c r="T356" s="122"/>
      <c r="U356" s="122"/>
      <c r="V356" s="122"/>
      <c r="W356" s="122"/>
      <c r="X356" s="122"/>
      <c r="Y356" s="122"/>
      <c r="Z356" s="122"/>
    </row>
    <row r="357" spans="1:26" ht="12.75" x14ac:dyDescent="0.2">
      <c r="A357" s="122"/>
      <c r="B357" s="180"/>
      <c r="C357" s="198" t="s">
        <v>247</v>
      </c>
      <c r="D357" s="182"/>
      <c r="E357" s="182"/>
      <c r="F357" s="127">
        <f>SUM(F355:F356)</f>
        <v>0</v>
      </c>
      <c r="G357" s="127">
        <f t="shared" ref="G357:O357" si="89">SUM(G355:G356)</f>
        <v>0</v>
      </c>
      <c r="H357" s="127">
        <f t="shared" si="89"/>
        <v>0</v>
      </c>
      <c r="I357" s="127">
        <f t="shared" si="89"/>
        <v>0</v>
      </c>
      <c r="J357" s="127">
        <f t="shared" si="89"/>
        <v>0</v>
      </c>
      <c r="K357" s="127">
        <f t="shared" si="89"/>
        <v>0</v>
      </c>
      <c r="L357" s="127">
        <f t="shared" si="89"/>
        <v>0</v>
      </c>
      <c r="M357" s="127">
        <f t="shared" si="89"/>
        <v>0</v>
      </c>
      <c r="N357" s="127">
        <f t="shared" si="89"/>
        <v>0</v>
      </c>
      <c r="O357" s="127">
        <f t="shared" si="89"/>
        <v>0</v>
      </c>
      <c r="P357" s="122"/>
      <c r="Q357" s="122"/>
      <c r="R357" s="122"/>
      <c r="S357" s="122"/>
      <c r="T357" s="122"/>
      <c r="U357" s="122"/>
      <c r="V357" s="122"/>
      <c r="W357" s="122"/>
      <c r="X357" s="122"/>
      <c r="Y357" s="122"/>
      <c r="Z357" s="122"/>
    </row>
    <row r="358" spans="1:26" ht="12.75" x14ac:dyDescent="0.2">
      <c r="A358" s="122"/>
      <c r="B358" s="180"/>
      <c r="C358" s="152"/>
      <c r="D358" s="180"/>
      <c r="E358" s="180"/>
      <c r="F358" s="194"/>
      <c r="G358" s="194"/>
      <c r="H358" s="194"/>
      <c r="I358" s="194"/>
      <c r="J358" s="194"/>
      <c r="K358" s="194"/>
      <c r="L358" s="194"/>
      <c r="M358" s="194"/>
      <c r="N358" s="194"/>
      <c r="O358" s="194"/>
      <c r="P358" s="122"/>
      <c r="Q358" s="122"/>
      <c r="R358" s="122"/>
      <c r="S358" s="122"/>
      <c r="T358" s="122"/>
      <c r="U358" s="122"/>
      <c r="V358" s="122"/>
      <c r="W358" s="122"/>
      <c r="X358" s="122"/>
      <c r="Y358" s="122"/>
      <c r="Z358" s="122"/>
    </row>
    <row r="359" spans="1:26" ht="12.75" x14ac:dyDescent="0.2">
      <c r="A359" s="122"/>
      <c r="B359" s="180"/>
      <c r="C359" s="203" t="s">
        <v>230</v>
      </c>
      <c r="D359" s="195"/>
      <c r="E359" s="195"/>
      <c r="F359" s="196">
        <f t="shared" ref="F359:O359" si="90">F352+F357</f>
        <v>146.39040000000003</v>
      </c>
      <c r="G359" s="196">
        <f t="shared" si="90"/>
        <v>103.54334332317072</v>
      </c>
      <c r="H359" s="196">
        <f t="shared" si="90"/>
        <v>190.24896384000007</v>
      </c>
      <c r="I359" s="196">
        <f t="shared" si="90"/>
        <v>108.99759247606207</v>
      </c>
      <c r="J359" s="196">
        <f t="shared" si="90"/>
        <v>219.5856</v>
      </c>
      <c r="K359" s="196">
        <f t="shared" si="90"/>
        <v>114.73914965733113</v>
      </c>
      <c r="L359" s="196">
        <f t="shared" si="90"/>
        <v>219.5856</v>
      </c>
      <c r="M359" s="196">
        <f t="shared" si="90"/>
        <v>120.78314910468075</v>
      </c>
      <c r="N359" s="196">
        <f t="shared" si="90"/>
        <v>219.5856</v>
      </c>
      <c r="O359" s="196">
        <f t="shared" si="90"/>
        <v>127.14552226691889</v>
      </c>
      <c r="P359" s="122"/>
      <c r="Q359" s="122"/>
      <c r="R359" s="122"/>
      <c r="S359" s="122"/>
      <c r="T359" s="122"/>
      <c r="U359" s="122"/>
      <c r="V359" s="122"/>
      <c r="W359" s="122"/>
      <c r="X359" s="122"/>
      <c r="Y359" s="122"/>
      <c r="Z359" s="122"/>
    </row>
    <row r="360" spans="1:26" ht="12.75" x14ac:dyDescent="0.2">
      <c r="A360" s="122"/>
      <c r="B360" s="180"/>
      <c r="C360" s="155"/>
      <c r="D360" s="180"/>
      <c r="E360" s="180"/>
      <c r="F360" s="180"/>
      <c r="G360" s="180"/>
      <c r="H360" s="180"/>
      <c r="I360" s="180"/>
      <c r="J360" s="180"/>
      <c r="K360" s="180"/>
      <c r="L360" s="180"/>
      <c r="M360" s="180"/>
      <c r="N360" s="180"/>
      <c r="O360" s="180"/>
      <c r="P360" s="122"/>
      <c r="Q360" s="122"/>
      <c r="R360" s="122"/>
      <c r="S360" s="122"/>
      <c r="T360" s="122"/>
      <c r="U360" s="122"/>
      <c r="V360" s="122"/>
      <c r="W360" s="122"/>
      <c r="X360" s="122"/>
      <c r="Y360" s="122"/>
      <c r="Z360" s="122"/>
    </row>
    <row r="361" spans="1:26" ht="12.75" x14ac:dyDescent="0.2">
      <c r="A361" s="122"/>
      <c r="C361" s="232" t="s">
        <v>235</v>
      </c>
      <c r="D361" s="180"/>
      <c r="E361" s="180"/>
      <c r="F361" s="180"/>
      <c r="G361" s="180"/>
      <c r="H361" s="180"/>
      <c r="I361" s="180"/>
      <c r="J361" s="180"/>
      <c r="K361" s="180"/>
      <c r="L361" s="180"/>
      <c r="M361" s="180"/>
      <c r="N361" s="180"/>
      <c r="O361" s="180"/>
      <c r="P361" s="122"/>
      <c r="Q361" s="122"/>
      <c r="R361" s="122"/>
      <c r="S361" s="122"/>
      <c r="T361" s="122"/>
      <c r="U361" s="122"/>
      <c r="V361" s="122"/>
      <c r="W361" s="122"/>
      <c r="X361" s="122"/>
      <c r="Y361" s="122"/>
      <c r="Z361" s="122"/>
    </row>
    <row r="362" spans="1:26" ht="12.75" x14ac:dyDescent="0.2">
      <c r="A362" s="122"/>
      <c r="B362" s="192"/>
      <c r="C362" s="188" t="s">
        <v>144</v>
      </c>
      <c r="D362" s="180"/>
      <c r="E362" s="180"/>
      <c r="F362" s="180"/>
      <c r="G362" s="180"/>
      <c r="H362" s="180"/>
      <c r="I362" s="180"/>
      <c r="J362" s="180"/>
      <c r="K362" s="180"/>
      <c r="L362" s="180"/>
      <c r="M362" s="180"/>
      <c r="N362" s="180"/>
      <c r="O362" s="180"/>
      <c r="P362" s="122"/>
      <c r="Q362" s="122"/>
      <c r="R362" s="122"/>
      <c r="S362" s="122"/>
      <c r="T362" s="122"/>
      <c r="U362" s="122"/>
      <c r="V362" s="122"/>
      <c r="W362" s="122"/>
      <c r="X362" s="122"/>
      <c r="Y362" s="122"/>
      <c r="Z362" s="122"/>
    </row>
    <row r="363" spans="1:26" ht="12.75" x14ac:dyDescent="0.2">
      <c r="A363" s="122"/>
      <c r="B363" s="192"/>
      <c r="C363" s="155" t="s">
        <v>245</v>
      </c>
      <c r="D363" s="180"/>
      <c r="E363" s="180"/>
      <c r="F363" s="125">
        <f t="shared" ref="F363:O363" si="91">$I$98*(1+$I$99)/1000</f>
        <v>0</v>
      </c>
      <c r="G363" s="125">
        <f t="shared" si="91"/>
        <v>0</v>
      </c>
      <c r="H363" s="125">
        <f t="shared" si="91"/>
        <v>0</v>
      </c>
      <c r="I363" s="125">
        <f t="shared" si="91"/>
        <v>0</v>
      </c>
      <c r="J363" s="125">
        <f t="shared" si="91"/>
        <v>0</v>
      </c>
      <c r="K363" s="125">
        <f t="shared" si="91"/>
        <v>0</v>
      </c>
      <c r="L363" s="125">
        <f t="shared" si="91"/>
        <v>0</v>
      </c>
      <c r="M363" s="125">
        <f t="shared" si="91"/>
        <v>0</v>
      </c>
      <c r="N363" s="125">
        <f t="shared" si="91"/>
        <v>0</v>
      </c>
      <c r="O363" s="125">
        <f t="shared" si="91"/>
        <v>0</v>
      </c>
      <c r="P363" s="122"/>
      <c r="Q363" s="197"/>
      <c r="R363" s="122"/>
      <c r="S363" s="122"/>
      <c r="T363" s="122"/>
      <c r="U363" s="122"/>
      <c r="V363" s="122"/>
      <c r="W363" s="122"/>
      <c r="X363" s="122"/>
      <c r="Y363" s="122"/>
      <c r="Z363" s="122"/>
    </row>
    <row r="364" spans="1:26" ht="12.75" x14ac:dyDescent="0.2">
      <c r="A364" s="122"/>
      <c r="B364" s="192"/>
      <c r="C364" s="198" t="s">
        <v>245</v>
      </c>
      <c r="D364" s="182"/>
      <c r="E364" s="182"/>
      <c r="F364" s="129">
        <f t="shared" ref="F364:O364" si="92">F363</f>
        <v>0</v>
      </c>
      <c r="G364" s="129">
        <f t="shared" si="92"/>
        <v>0</v>
      </c>
      <c r="H364" s="129">
        <f t="shared" si="92"/>
        <v>0</v>
      </c>
      <c r="I364" s="129">
        <f t="shared" si="92"/>
        <v>0</v>
      </c>
      <c r="J364" s="129">
        <f t="shared" si="92"/>
        <v>0</v>
      </c>
      <c r="K364" s="129">
        <f t="shared" si="92"/>
        <v>0</v>
      </c>
      <c r="L364" s="129">
        <f t="shared" si="92"/>
        <v>0</v>
      </c>
      <c r="M364" s="129">
        <f t="shared" si="92"/>
        <v>0</v>
      </c>
      <c r="N364" s="129">
        <f t="shared" si="92"/>
        <v>0</v>
      </c>
      <c r="O364" s="129">
        <f t="shared" si="92"/>
        <v>0</v>
      </c>
      <c r="P364" s="122"/>
      <c r="Q364" s="197"/>
      <c r="R364" s="122"/>
      <c r="S364" s="122"/>
      <c r="T364" s="122"/>
      <c r="U364" s="122"/>
      <c r="V364" s="122"/>
      <c r="W364" s="122"/>
      <c r="X364" s="122"/>
      <c r="Y364" s="122"/>
      <c r="Z364" s="122"/>
    </row>
    <row r="365" spans="1:26" ht="12.75" x14ac:dyDescent="0.2">
      <c r="A365" s="122"/>
      <c r="B365" s="192"/>
      <c r="C365" s="232"/>
      <c r="D365" s="180"/>
      <c r="E365" s="180"/>
      <c r="F365" s="180"/>
      <c r="G365" s="180"/>
      <c r="H365" s="180"/>
      <c r="I365" s="180"/>
      <c r="J365" s="180"/>
      <c r="K365" s="180"/>
      <c r="L365" s="180"/>
      <c r="M365" s="180"/>
      <c r="N365" s="180"/>
      <c r="O365" s="180"/>
      <c r="P365" s="122"/>
      <c r="Q365" s="122"/>
      <c r="R365" s="122"/>
      <c r="S365" s="122"/>
      <c r="T365" s="122"/>
      <c r="U365" s="122"/>
      <c r="V365" s="122"/>
      <c r="W365" s="122"/>
      <c r="X365" s="122"/>
      <c r="Y365" s="122"/>
      <c r="Z365" s="122"/>
    </row>
    <row r="366" spans="1:26" ht="12.75" x14ac:dyDescent="0.2">
      <c r="A366" s="122"/>
      <c r="B366" s="180"/>
      <c r="C366" s="188" t="s">
        <v>218</v>
      </c>
      <c r="D366" s="180"/>
      <c r="E366" s="180"/>
      <c r="F366" s="180"/>
      <c r="G366" s="180"/>
      <c r="H366" s="180"/>
      <c r="I366" s="180"/>
      <c r="J366" s="180"/>
      <c r="K366" s="180"/>
      <c r="L366" s="180"/>
      <c r="M366" s="180"/>
      <c r="N366" s="180"/>
      <c r="O366" s="180"/>
      <c r="P366" s="122"/>
      <c r="Q366" s="122"/>
      <c r="R366" s="122"/>
      <c r="S366" s="122"/>
      <c r="T366" s="122"/>
      <c r="U366" s="122"/>
      <c r="V366" s="122"/>
      <c r="W366" s="122"/>
      <c r="X366" s="122"/>
      <c r="Y366" s="122"/>
      <c r="Z366" s="122"/>
    </row>
    <row r="367" spans="1:26" ht="12.75" x14ac:dyDescent="0.2">
      <c r="A367" s="122"/>
      <c r="B367" s="180"/>
      <c r="C367" s="228" t="s">
        <v>272</v>
      </c>
      <c r="D367" s="180"/>
      <c r="E367" s="180"/>
      <c r="F367" s="125">
        <f>IF(AND(E$148=1,F$148=0),Maize!F306*(1+$I$36),IF(AND(E$148=0,F$148=0),Maize!F306,F227/F$123))</f>
        <v>9.288120000000001</v>
      </c>
      <c r="G367" s="125">
        <f>IF(AND(F$148=1,G$148=0),Maize!G306*(1+$I$36),IF(AND(F$148=0,G$148=0),Maize!G306,G227/G$123))</f>
        <v>9.4775852769230777</v>
      </c>
      <c r="H367" s="125">
        <f>IF(AND(G$148=1,H$148=0),Maize!H306*(1+$I$36),IF(AND(G$148=0,H$148=0),Maize!H306,H227/H$123))</f>
        <v>9.288120000000001</v>
      </c>
      <c r="I367" s="125">
        <f>IF(AND(H$148=1,I$148=0),Maize!I306*(1+$I$36),IF(AND(H$148=0,I$148=0),Maize!I306,I227/I$123))</f>
        <v>9.4775852769230777</v>
      </c>
      <c r="J367" s="125">
        <f>IF(AND(I$148=1,J$148=0),Maize!J306*(1+$I$36),IF(AND(I$148=0,J$148=0),Maize!J306,J227/J$123))</f>
        <v>9.288120000000001</v>
      </c>
      <c r="K367" s="125">
        <f>IF(AND(J$148=1,K$148=0),Maize!K306*(1+$I$36),IF(AND(J$148=0,K$148=0),Maize!K306,K227/K$123))</f>
        <v>9.4775852769230777</v>
      </c>
      <c r="L367" s="125">
        <f>IF(AND(K$148=1,L$148=0),Maize!L306*(1+$I$36),IF(AND(K$148=0,L$148=0),Maize!L306,L227/L$123))</f>
        <v>9.288120000000001</v>
      </c>
      <c r="M367" s="125">
        <f>IF(AND(L$148=1,M$148=0),Maize!M306*(1+$I$36),IF(AND(L$148=0,M$148=0),Maize!M306,M227/M$123))</f>
        <v>9.477585276923076</v>
      </c>
      <c r="N367" s="125">
        <f>IF(AND(M$148=1,N$148=0),Maize!N306*(1+$I$36),IF(AND(M$148=0,N$148=0),Maize!N306,N227/N$123))</f>
        <v>9.288120000000001</v>
      </c>
      <c r="O367" s="125">
        <f>IF(AND(N$148=1,O$148=0),Maize!O306*(1+$I$36),IF(AND(N$148=0,O$148=0),Maize!O306,O227/O$123))</f>
        <v>9.477585276923076</v>
      </c>
      <c r="P367" s="122"/>
      <c r="Q367" s="122"/>
      <c r="R367" s="122"/>
      <c r="S367" s="122"/>
      <c r="T367" s="122"/>
      <c r="U367" s="122"/>
      <c r="V367" s="122"/>
      <c r="W367" s="122"/>
      <c r="X367" s="122"/>
      <c r="Y367" s="122"/>
      <c r="Z367" s="122"/>
    </row>
    <row r="368" spans="1:26" ht="12.75" x14ac:dyDescent="0.2">
      <c r="A368" s="122"/>
      <c r="B368" s="180"/>
      <c r="C368" s="228" t="s">
        <v>273</v>
      </c>
      <c r="D368" s="180"/>
      <c r="E368" s="180"/>
      <c r="F368" s="125">
        <f>IF(F$148=1,F228/F$123,Maize!F307)</f>
        <v>8.772000000000002</v>
      </c>
      <c r="G368" s="125">
        <f>IF(G$148=1,G228/G$123,Maize!G307)</f>
        <v>4.1604954999999997</v>
      </c>
      <c r="H368" s="125">
        <f>IF(H$148=1,H228/H$123,Maize!H307)</f>
        <v>8.772000000000002</v>
      </c>
      <c r="I368" s="125">
        <f>IF(I$148=1,I228/I$123,Maize!I307)</f>
        <v>4.1604954999999988</v>
      </c>
      <c r="J368" s="125">
        <f>IF(J$148=1,J228/J$123,Maize!J307)</f>
        <v>8.772000000000002</v>
      </c>
      <c r="K368" s="125">
        <f>IF(K$148=1,K228/K$123,Maize!K307)</f>
        <v>4.1604954999999988</v>
      </c>
      <c r="L368" s="125">
        <f>IF(L$148=1,L228/L$123,Maize!L307)</f>
        <v>8.772000000000002</v>
      </c>
      <c r="M368" s="125">
        <f>IF(M$148=1,M228/M$123,Maize!M307)</f>
        <v>4.1604954999999988</v>
      </c>
      <c r="N368" s="125">
        <f>IF(N$148=1,N228/N$123,Maize!N307)</f>
        <v>8.772000000000002</v>
      </c>
      <c r="O368" s="125">
        <f>IF(O$148=1,O228/O$123,Maize!O307)</f>
        <v>4.1604954999999988</v>
      </c>
      <c r="P368" s="122"/>
      <c r="Q368" s="122"/>
      <c r="R368" s="122"/>
      <c r="S368" s="122"/>
      <c r="T368" s="122"/>
      <c r="U368" s="122"/>
      <c r="V368" s="122"/>
      <c r="W368" s="122"/>
      <c r="X368" s="122"/>
      <c r="Y368" s="122"/>
      <c r="Z368" s="122"/>
    </row>
    <row r="369" spans="1:26" ht="12.75" x14ac:dyDescent="0.2">
      <c r="A369" s="122"/>
      <c r="B369" s="180"/>
      <c r="C369" s="228" t="s">
        <v>274</v>
      </c>
      <c r="D369" s="180"/>
      <c r="E369" s="180"/>
      <c r="F369" s="125">
        <f>IF(F$148=1,F229/F$123,Maize!F308)</f>
        <v>6.2016</v>
      </c>
      <c r="G369" s="125">
        <f>IF(G$148=1,G229/G$123,Maize!G308)</f>
        <v>4.4537594594594587</v>
      </c>
      <c r="H369" s="125">
        <f>IF(H$148=1,H229/H$123,Maize!H308)</f>
        <v>6.2016000000000009</v>
      </c>
      <c r="I369" s="125">
        <f>IF(I$148=1,I229/I$123,Maize!I308)</f>
        <v>4.4537594594594587</v>
      </c>
      <c r="J369" s="125">
        <f>IF(J$148=1,J229/J$123,Maize!J308)</f>
        <v>6.2016000000000009</v>
      </c>
      <c r="K369" s="125">
        <f>IF(K$148=1,K229/K$123,Maize!K308)</f>
        <v>4.4537594594594596</v>
      </c>
      <c r="L369" s="125">
        <f>IF(L$148=1,L229/L$123,Maize!L308)</f>
        <v>6.2016</v>
      </c>
      <c r="M369" s="125">
        <f>IF(M$148=1,M229/M$123,Maize!M308)</f>
        <v>4.4537594594594596</v>
      </c>
      <c r="N369" s="125">
        <f>IF(N$148=1,N229/N$123,Maize!N308)</f>
        <v>6.2016000000000009</v>
      </c>
      <c r="O369" s="125">
        <f>IF(O$148=1,O229/O$123,Maize!O308)</f>
        <v>4.4537594594594596</v>
      </c>
      <c r="P369" s="122"/>
      <c r="Q369" s="122"/>
      <c r="R369" s="122"/>
      <c r="S369" s="122"/>
      <c r="T369" s="122"/>
      <c r="U369" s="122"/>
      <c r="V369" s="122"/>
      <c r="W369" s="122"/>
      <c r="X369" s="122"/>
      <c r="Y369" s="122"/>
      <c r="Z369" s="122"/>
    </row>
    <row r="370" spans="1:26" ht="12.75" x14ac:dyDescent="0.2">
      <c r="A370" s="122"/>
      <c r="B370" s="180"/>
      <c r="C370" s="228" t="s">
        <v>275</v>
      </c>
      <c r="D370" s="180"/>
      <c r="E370" s="180"/>
      <c r="F370" s="125">
        <f>IF(AND(E$148=1,F$148=0),Maize!F309*(1+$I$36),IF(AND(E$148=0,F$148=0),Maize!F309,F230/F$123))</f>
        <v>8.9069049350649347</v>
      </c>
      <c r="G370" s="125">
        <f>IF(AND(F$148=1,G$148=0),Maize!G309*(1+$I$36),IF(AND(F$148=0,G$148=0),Maize!G309,G230/G$123))</f>
        <v>10.430995951067988</v>
      </c>
      <c r="H370" s="125">
        <f>IF(AND(G$148=1,H$148=0),Maize!H309*(1+$I$36),IF(AND(G$148=0,H$148=0),Maize!H309,H230/H$123))</f>
        <v>8.9069049350649347</v>
      </c>
      <c r="I370" s="125">
        <f>IF(AND(H$148=1,I$148=0),Maize!I309*(1+$I$36),IF(AND(H$148=0,I$148=0),Maize!I309,I230/I$123))</f>
        <v>10.430995951067986</v>
      </c>
      <c r="J370" s="125">
        <f>IF(AND(I$148=1,J$148=0),Maize!J309*(1+$I$36),IF(AND(I$148=0,J$148=0),Maize!J309,J230/J$123))</f>
        <v>8.9069049350649347</v>
      </c>
      <c r="K370" s="125">
        <f>IF(AND(J$148=1,K$148=0),Maize!K309*(1+$I$36),IF(AND(J$148=0,K$148=0),Maize!K309,K230/K$123))</f>
        <v>10.430995951067988</v>
      </c>
      <c r="L370" s="125">
        <f>IF(AND(K$148=1,L$148=0),Maize!L309*(1+$I$36),IF(AND(K$148=0,L$148=0),Maize!L309,L230/L$123))</f>
        <v>8.9069049350649347</v>
      </c>
      <c r="M370" s="125">
        <f>IF(AND(L$148=1,M$148=0),Maize!M309*(1+$I$36),IF(AND(L$148=0,M$148=0),Maize!M309,M230/M$123))</f>
        <v>10.430995951067988</v>
      </c>
      <c r="N370" s="125">
        <f>IF(AND(M$148=1,N$148=0),Maize!N309*(1+$I$36),IF(AND(M$148=0,N$148=0),Maize!N309,N230/N$123))</f>
        <v>8.9069049350649347</v>
      </c>
      <c r="O370" s="125">
        <f>IF(AND(N$148=1,O$148=0),Maize!O309*(1+$I$36),IF(AND(N$148=0,O$148=0),Maize!O309,O230/O$123))</f>
        <v>10.430995951067988</v>
      </c>
      <c r="P370" s="122"/>
      <c r="Q370" s="122"/>
      <c r="R370" s="122"/>
      <c r="S370" s="122"/>
      <c r="T370" s="122"/>
      <c r="U370" s="122"/>
      <c r="V370" s="122"/>
      <c r="W370" s="122"/>
      <c r="X370" s="122"/>
      <c r="Y370" s="122"/>
      <c r="Z370" s="122"/>
    </row>
    <row r="371" spans="1:26" ht="12.75" x14ac:dyDescent="0.2">
      <c r="A371" s="122"/>
      <c r="B371" s="180"/>
      <c r="C371" s="152" t="s">
        <v>293</v>
      </c>
      <c r="D371" s="180"/>
      <c r="E371" s="180"/>
      <c r="F371" s="125">
        <f>IF(F$148=1,F231/F$123,Maize!F310)</f>
        <v>9.0167999999999999</v>
      </c>
      <c r="G371" s="125">
        <f>IF(G$148=1,G231/G$123,Maize!G310)</f>
        <v>7.131086511627907</v>
      </c>
      <c r="H371" s="125">
        <f>IF(H$148=1,H231/H$123,Maize!H310)</f>
        <v>9.0167999999999999</v>
      </c>
      <c r="I371" s="125">
        <f>IF(I$148=1,I231/I$123,Maize!I310)</f>
        <v>7.131086511627907</v>
      </c>
      <c r="J371" s="125">
        <f>IF(J$148=1,J231/J$123,Maize!J310)</f>
        <v>9.0167999999999999</v>
      </c>
      <c r="K371" s="125">
        <f>IF(K$148=1,K231/K$123,Maize!K310)</f>
        <v>7.1310865116279079</v>
      </c>
      <c r="L371" s="125">
        <f>IF(L$148=1,L231/L$123,Maize!L310)</f>
        <v>9.0167999999999999</v>
      </c>
      <c r="M371" s="125">
        <f>IF(M$148=1,M231/M$123,Maize!M310)</f>
        <v>7.1310865116279079</v>
      </c>
      <c r="N371" s="125">
        <f>IF(N$148=1,N231/N$123,Maize!N310)</f>
        <v>9.0167999999999981</v>
      </c>
      <c r="O371" s="125">
        <f>IF(O$148=1,O231/O$123,Maize!O310)</f>
        <v>7.131086511627907</v>
      </c>
      <c r="P371" s="122"/>
      <c r="Q371" s="122"/>
      <c r="R371" s="122"/>
      <c r="S371" s="122"/>
      <c r="T371" s="122"/>
      <c r="U371" s="122"/>
      <c r="V371" s="122"/>
      <c r="W371" s="122"/>
      <c r="X371" s="122"/>
      <c r="Y371" s="122"/>
      <c r="Z371" s="122"/>
    </row>
    <row r="372" spans="1:26" ht="12.75" x14ac:dyDescent="0.2">
      <c r="A372" s="122"/>
      <c r="B372" s="180"/>
      <c r="C372" s="228" t="s">
        <v>278</v>
      </c>
      <c r="D372" s="180"/>
      <c r="E372" s="180"/>
      <c r="F372" s="125">
        <f>IF(F$148=1,F232/F$123,Maize!F311)</f>
        <v>31.385400000000001</v>
      </c>
      <c r="G372" s="125">
        <f>IF(G$148=1,G232/G$123,Maize!G311)</f>
        <v>24.550149391110523</v>
      </c>
      <c r="H372" s="125">
        <f>IF(H$148=1,H232/H$123,Maize!H311)</f>
        <v>31.385400000000004</v>
      </c>
      <c r="I372" s="125">
        <f>IF(I$148=1,I232/I$123,Maize!I311)</f>
        <v>24.550149391110526</v>
      </c>
      <c r="J372" s="125">
        <f>IF(J$148=1,J232/J$123,Maize!J311)</f>
        <v>31.385400000000001</v>
      </c>
      <c r="K372" s="125">
        <f>IF(K$148=1,K232/K$123,Maize!K311)</f>
        <v>24.550149391110523</v>
      </c>
      <c r="L372" s="125">
        <f>IF(L$148=1,L232/L$123,Maize!L311)</f>
        <v>31.385400000000001</v>
      </c>
      <c r="M372" s="125">
        <f>IF(M$148=1,M232/M$123,Maize!M311)</f>
        <v>24.550149391110523</v>
      </c>
      <c r="N372" s="125">
        <f>IF(N$148=1,N232/N$123,Maize!N311)</f>
        <v>31.385400000000001</v>
      </c>
      <c r="O372" s="125">
        <f>IF(O$148=1,O232/O$123,Maize!O311)</f>
        <v>24.550149391110526</v>
      </c>
      <c r="P372" s="122"/>
      <c r="Q372" s="122"/>
      <c r="R372" s="122"/>
      <c r="S372" s="122"/>
      <c r="T372" s="122"/>
      <c r="U372" s="122"/>
      <c r="V372" s="122"/>
      <c r="W372" s="122"/>
      <c r="X372" s="122"/>
      <c r="Y372" s="122"/>
      <c r="Z372" s="122"/>
    </row>
    <row r="373" spans="1:26" ht="12.75" x14ac:dyDescent="0.2">
      <c r="A373" s="122"/>
      <c r="B373" s="180"/>
      <c r="C373" s="152" t="s">
        <v>85</v>
      </c>
      <c r="D373" s="180"/>
      <c r="E373" s="180"/>
      <c r="F373" s="125">
        <f>IF(F$148=1,F233/F$123,Maize!F312)</f>
        <v>10.86</v>
      </c>
      <c r="G373" s="125">
        <f>IF(G$148=1,G233/G$123,Maize!G312)</f>
        <v>0</v>
      </c>
      <c r="H373" s="125">
        <f>IF(H$148=1,H233/H$123,Maize!H312)</f>
        <v>10.86</v>
      </c>
      <c r="I373" s="125">
        <f>IF(I$148=1,I233/I$123,Maize!I312)</f>
        <v>0</v>
      </c>
      <c r="J373" s="125">
        <f>IF(J$148=1,J233/J$123,Maize!J312)</f>
        <v>0</v>
      </c>
      <c r="K373" s="125">
        <f>IF(K$148=1,K233/K$123,Maize!K312)</f>
        <v>0</v>
      </c>
      <c r="L373" s="125">
        <f>IF(L$148=1,L233/L$123,Maize!L312)</f>
        <v>0</v>
      </c>
      <c r="M373" s="125">
        <f>IF(M$148=1,M233/M$123,Maize!M312)</f>
        <v>0</v>
      </c>
      <c r="N373" s="125">
        <f>IF(N$148=1,N233/N$123,Maize!N312)</f>
        <v>0</v>
      </c>
      <c r="O373" s="125">
        <f>IF(O$148=1,O233/O$123,Maize!O312)</f>
        <v>0</v>
      </c>
      <c r="P373" s="122"/>
      <c r="Q373" s="122"/>
      <c r="R373" s="122"/>
      <c r="S373" s="122"/>
      <c r="T373" s="122"/>
      <c r="U373" s="122"/>
      <c r="V373" s="122"/>
      <c r="W373" s="122"/>
      <c r="X373" s="122"/>
      <c r="Y373" s="122"/>
      <c r="Z373" s="122"/>
    </row>
    <row r="374" spans="1:26" ht="12.75" x14ac:dyDescent="0.2">
      <c r="A374" s="122"/>
      <c r="B374" s="180"/>
      <c r="C374" s="198" t="s">
        <v>207</v>
      </c>
      <c r="D374" s="182"/>
      <c r="E374" s="182"/>
      <c r="F374" s="193">
        <f>SUM(F367:F373)</f>
        <v>84.430824935064948</v>
      </c>
      <c r="G374" s="193">
        <f t="shared" ref="G374:O374" si="93">SUM(G367:G373)</f>
        <v>60.204072090188959</v>
      </c>
      <c r="H374" s="193">
        <f t="shared" si="93"/>
        <v>84.430824935064948</v>
      </c>
      <c r="I374" s="193">
        <f t="shared" si="93"/>
        <v>60.204072090188959</v>
      </c>
      <c r="J374" s="193">
        <f t="shared" si="93"/>
        <v>73.570824935064948</v>
      </c>
      <c r="K374" s="193">
        <f t="shared" si="93"/>
        <v>60.204072090188951</v>
      </c>
      <c r="L374" s="193">
        <f t="shared" si="93"/>
        <v>73.570824935064948</v>
      </c>
      <c r="M374" s="193">
        <f t="shared" si="93"/>
        <v>60.204072090188951</v>
      </c>
      <c r="N374" s="193">
        <f t="shared" si="93"/>
        <v>73.570824935064934</v>
      </c>
      <c r="O374" s="193">
        <f t="shared" si="93"/>
        <v>60.204072090188959</v>
      </c>
      <c r="P374" s="122"/>
      <c r="Q374" s="122"/>
      <c r="R374" s="122"/>
      <c r="S374" s="122"/>
      <c r="T374" s="122"/>
      <c r="U374" s="122"/>
      <c r="V374" s="122"/>
      <c r="W374" s="122"/>
      <c r="X374" s="122"/>
      <c r="Y374" s="122"/>
      <c r="Z374" s="122"/>
    </row>
    <row r="375" spans="1:26" ht="12.75" x14ac:dyDescent="0.2">
      <c r="A375" s="122"/>
      <c r="B375" s="180"/>
      <c r="C375" s="155"/>
      <c r="D375" s="180"/>
      <c r="E375" s="180"/>
      <c r="F375" s="180"/>
      <c r="G375" s="180"/>
      <c r="H375" s="180"/>
      <c r="I375" s="180"/>
      <c r="J375" s="180"/>
      <c r="K375" s="180"/>
      <c r="L375" s="180"/>
      <c r="M375" s="180"/>
      <c r="N375" s="180"/>
      <c r="O375" s="180"/>
      <c r="P375" s="122"/>
      <c r="Q375" s="122"/>
      <c r="R375" s="122"/>
      <c r="S375" s="122"/>
      <c r="T375" s="122"/>
      <c r="U375" s="122"/>
      <c r="V375" s="122"/>
      <c r="W375" s="122"/>
      <c r="X375" s="122"/>
      <c r="Y375" s="122"/>
      <c r="Z375" s="122"/>
    </row>
    <row r="376" spans="1:26" ht="12.75" x14ac:dyDescent="0.2">
      <c r="A376" s="122"/>
      <c r="B376" s="180"/>
      <c r="C376" s="188" t="s">
        <v>215</v>
      </c>
      <c r="D376" s="180"/>
      <c r="E376" s="180"/>
      <c r="F376" s="183"/>
      <c r="G376" s="183"/>
      <c r="H376" s="183"/>
      <c r="I376" s="183"/>
      <c r="J376" s="183"/>
      <c r="K376" s="183"/>
      <c r="L376" s="183"/>
      <c r="M376" s="183"/>
      <c r="N376" s="183"/>
      <c r="O376" s="183"/>
      <c r="P376" s="122"/>
      <c r="Q376" s="122"/>
      <c r="R376" s="122"/>
      <c r="S376" s="122"/>
      <c r="T376" s="122"/>
      <c r="U376" s="122"/>
      <c r="V376" s="122"/>
      <c r="W376" s="122"/>
      <c r="X376" s="122"/>
      <c r="Y376" s="122"/>
      <c r="Z376" s="122"/>
    </row>
    <row r="377" spans="1:26" ht="12.75" x14ac:dyDescent="0.2">
      <c r="A377" s="122"/>
      <c r="B377" s="180"/>
      <c r="C377" s="155" t="s">
        <v>110</v>
      </c>
      <c r="D377" s="180"/>
      <c r="E377" s="180"/>
      <c r="F377" s="125">
        <f>IF(F$148=1,F237/F$123,Maize!F316)</f>
        <v>2.38</v>
      </c>
      <c r="G377" s="125">
        <f>IF(G$148=1,G237/G$123,Maize!G316)</f>
        <v>6.21936</v>
      </c>
      <c r="H377" s="125">
        <f>IF(H$148=1,H237/H$123,Maize!H316)</f>
        <v>2.38</v>
      </c>
      <c r="I377" s="125">
        <f>IF(I$148=1,I237/I$123,Maize!I316)</f>
        <v>6.21936</v>
      </c>
      <c r="J377" s="125">
        <f>IF(J$148=1,J237/J$123,Maize!J316)</f>
        <v>2.3800000000000003</v>
      </c>
      <c r="K377" s="125">
        <f>IF(K$148=1,K237/K$123,Maize!K316)</f>
        <v>6.21936</v>
      </c>
      <c r="L377" s="125">
        <f>IF(L$148=1,L237/L$123,Maize!L316)</f>
        <v>2.38</v>
      </c>
      <c r="M377" s="125">
        <f>IF(M$148=1,M237/M$123,Maize!M316)</f>
        <v>6.2193599999999991</v>
      </c>
      <c r="N377" s="125">
        <f>IF(N$148=1,N237/N$123,Maize!N316)</f>
        <v>2.3800000000000003</v>
      </c>
      <c r="O377" s="125">
        <f>IF(O$148=1,O237/O$123,Maize!O316)</f>
        <v>6.2193599999999991</v>
      </c>
      <c r="P377" s="122"/>
      <c r="Q377" s="122"/>
      <c r="R377" s="122"/>
      <c r="S377" s="122"/>
      <c r="T377" s="122"/>
      <c r="U377" s="122"/>
      <c r="V377" s="122"/>
      <c r="W377" s="122"/>
      <c r="X377" s="122"/>
      <c r="Y377" s="122"/>
      <c r="Z377" s="122"/>
    </row>
    <row r="378" spans="1:26" ht="12.75" x14ac:dyDescent="0.2">
      <c r="A378" s="122"/>
      <c r="B378" s="180"/>
      <c r="C378" s="184" t="s">
        <v>283</v>
      </c>
      <c r="D378" s="185"/>
      <c r="E378" s="185"/>
      <c r="F378" s="125">
        <f>IF(F$148=1,F238/F$123,Maize!F317)</f>
        <v>2.5110399999999999</v>
      </c>
      <c r="G378" s="125">
        <f>IF(G$148=1,G238/G$123,Maize!G317)</f>
        <v>3.74369</v>
      </c>
      <c r="H378" s="125">
        <f>IF(H$148=1,H238/H$123,Maize!H317)</f>
        <v>2.5110399999999999</v>
      </c>
      <c r="I378" s="125">
        <f>IF(I$148=1,I238/I$123,Maize!I317)</f>
        <v>3.7436899999999995</v>
      </c>
      <c r="J378" s="125">
        <f>IF(J$148=1,J238/J$123,Maize!J317)</f>
        <v>2.5110399999999999</v>
      </c>
      <c r="K378" s="125">
        <f>IF(K$148=1,K238/K$123,Maize!K317)</f>
        <v>3.74369</v>
      </c>
      <c r="L378" s="125">
        <f>IF(L$148=1,L238/L$123,Maize!L317)</f>
        <v>2.5110399999999999</v>
      </c>
      <c r="M378" s="125">
        <f>IF(M$148=1,M238/M$123,Maize!M317)</f>
        <v>3.74369</v>
      </c>
      <c r="N378" s="125">
        <f>IF(N$148=1,N238/N$123,Maize!N317)</f>
        <v>2.5110399999999999</v>
      </c>
      <c r="O378" s="125">
        <f>IF(O$148=1,O238/O$123,Maize!O317)</f>
        <v>3.74369</v>
      </c>
      <c r="P378" s="122"/>
      <c r="Q378" s="122"/>
      <c r="R378" s="122"/>
      <c r="S378" s="122"/>
      <c r="T378" s="122"/>
      <c r="U378" s="122"/>
      <c r="V378" s="122"/>
      <c r="W378" s="122"/>
      <c r="X378" s="122"/>
      <c r="Y378" s="122"/>
      <c r="Z378" s="122"/>
    </row>
    <row r="379" spans="1:26" ht="12.75" x14ac:dyDescent="0.2">
      <c r="A379" s="122"/>
      <c r="B379" s="180"/>
      <c r="C379" s="199" t="s">
        <v>216</v>
      </c>
      <c r="D379" s="182"/>
      <c r="E379" s="182"/>
      <c r="F379" s="127">
        <f t="shared" ref="F379:O379" si="94">SUM(F377:F378)</f>
        <v>4.8910400000000003</v>
      </c>
      <c r="G379" s="127">
        <f t="shared" si="94"/>
        <v>9.9630499999999991</v>
      </c>
      <c r="H379" s="127">
        <f t="shared" si="94"/>
        <v>4.8910400000000003</v>
      </c>
      <c r="I379" s="127">
        <f t="shared" si="94"/>
        <v>9.9630499999999991</v>
      </c>
      <c r="J379" s="127">
        <f t="shared" si="94"/>
        <v>4.8910400000000003</v>
      </c>
      <c r="K379" s="127">
        <f t="shared" si="94"/>
        <v>9.9630499999999991</v>
      </c>
      <c r="L379" s="127">
        <f t="shared" si="94"/>
        <v>4.8910400000000003</v>
      </c>
      <c r="M379" s="127">
        <f t="shared" si="94"/>
        <v>9.9630499999999991</v>
      </c>
      <c r="N379" s="127">
        <f t="shared" si="94"/>
        <v>4.8910400000000003</v>
      </c>
      <c r="O379" s="127">
        <f t="shared" si="94"/>
        <v>9.9630499999999991</v>
      </c>
      <c r="P379" s="122"/>
      <c r="Q379" s="122"/>
      <c r="R379" s="122"/>
      <c r="S379" s="122"/>
      <c r="T379" s="122"/>
      <c r="U379" s="122"/>
      <c r="V379" s="122"/>
      <c r="W379" s="122"/>
      <c r="X379" s="122"/>
      <c r="Y379" s="122"/>
      <c r="Z379" s="122"/>
    </row>
    <row r="380" spans="1:26" ht="12.75" x14ac:dyDescent="0.2">
      <c r="A380" s="122"/>
      <c r="B380" s="180"/>
      <c r="C380" s="155"/>
      <c r="D380" s="180"/>
      <c r="E380" s="180"/>
      <c r="F380" s="183"/>
      <c r="G380" s="183"/>
      <c r="H380" s="183"/>
      <c r="I380" s="183"/>
      <c r="J380" s="183"/>
      <c r="K380" s="183"/>
      <c r="L380" s="183"/>
      <c r="M380" s="183"/>
      <c r="N380" s="183"/>
      <c r="O380" s="183"/>
      <c r="P380" s="122"/>
      <c r="Q380" s="122"/>
      <c r="R380" s="122"/>
      <c r="S380" s="122"/>
      <c r="T380" s="122"/>
      <c r="U380" s="122"/>
      <c r="V380" s="122"/>
      <c r="W380" s="122"/>
      <c r="X380" s="122"/>
      <c r="Y380" s="122"/>
      <c r="Z380" s="122"/>
    </row>
    <row r="381" spans="1:26" ht="12.75" x14ac:dyDescent="0.2">
      <c r="A381" s="122"/>
      <c r="B381" s="180"/>
      <c r="C381" s="188" t="s">
        <v>219</v>
      </c>
      <c r="D381" s="180"/>
      <c r="E381" s="180"/>
      <c r="F381" s="183"/>
      <c r="G381" s="183"/>
      <c r="H381" s="183"/>
      <c r="I381" s="183"/>
      <c r="J381" s="183"/>
      <c r="K381" s="183"/>
      <c r="L381" s="183"/>
      <c r="M381" s="183"/>
      <c r="N381" s="183"/>
      <c r="O381" s="183"/>
      <c r="P381" s="122"/>
      <c r="Q381" s="122"/>
      <c r="R381" s="122"/>
      <c r="S381" s="122"/>
      <c r="T381" s="122"/>
      <c r="U381" s="122"/>
      <c r="V381" s="122"/>
      <c r="W381" s="122"/>
      <c r="X381" s="122"/>
      <c r="Y381" s="122"/>
      <c r="Z381" s="122"/>
    </row>
    <row r="382" spans="1:26" ht="12.75" x14ac:dyDescent="0.2">
      <c r="A382" s="122"/>
      <c r="B382" s="180"/>
      <c r="C382" s="152" t="s">
        <v>92</v>
      </c>
      <c r="D382" s="180"/>
      <c r="E382" s="180"/>
      <c r="F382" s="125">
        <f>IF(F$148=1,F242/F$123,Maize!F321)</f>
        <v>2.5500000000000003</v>
      </c>
      <c r="G382" s="125">
        <f>IF(G$148=1,G242/G$123,Maize!G321)</f>
        <v>3.2289777066455998</v>
      </c>
      <c r="H382" s="125">
        <f>IF(H$148=1,H242/H$123,Maize!H321)</f>
        <v>2.5500000000000003</v>
      </c>
      <c r="I382" s="125">
        <f>IF(I$148=1,I242/I$123,Maize!I321)</f>
        <v>3.2289777066455998</v>
      </c>
      <c r="J382" s="125">
        <f>IF(J$148=1,J242/J$123,Maize!J321)</f>
        <v>2.5500000000000003</v>
      </c>
      <c r="K382" s="125">
        <f>IF(K$148=1,K242/K$123,Maize!K321)</f>
        <v>3.2289777066455998</v>
      </c>
      <c r="L382" s="125">
        <f>IF(L$148=1,L242/L$123,Maize!L321)</f>
        <v>2.5500000000000003</v>
      </c>
      <c r="M382" s="125">
        <f>IF(M$148=1,M242/M$123,Maize!M321)</f>
        <v>3.2289777066455998</v>
      </c>
      <c r="N382" s="125">
        <f>IF(N$148=1,N242/N$123,Maize!N321)</f>
        <v>2.5500000000000003</v>
      </c>
      <c r="O382" s="125">
        <f>IF(O$148=1,O242/O$123,Maize!O321)</f>
        <v>3.2289777066455998</v>
      </c>
      <c r="P382" s="122"/>
      <c r="Q382" s="122"/>
      <c r="R382" s="122"/>
      <c r="S382" s="122"/>
      <c r="T382" s="122"/>
      <c r="U382" s="122"/>
      <c r="V382" s="122"/>
      <c r="W382" s="122"/>
      <c r="X382" s="122"/>
      <c r="Y382" s="122"/>
      <c r="Z382" s="122"/>
    </row>
    <row r="383" spans="1:26" ht="12.75" x14ac:dyDescent="0.2">
      <c r="A383" s="122"/>
      <c r="B383" s="180"/>
      <c r="C383" s="152" t="s">
        <v>96</v>
      </c>
      <c r="D383" s="180"/>
      <c r="E383" s="180"/>
      <c r="F383" s="125">
        <f>IF(F$148=1,F243/F$123,Maize!F322)</f>
        <v>7.4119999999999999</v>
      </c>
      <c r="G383" s="125">
        <f>IF(G$148=1,G243/G$123,Maize!G322)</f>
        <v>3.15</v>
      </c>
      <c r="H383" s="125">
        <f>IF(H$148=1,H243/H$123,Maize!H322)</f>
        <v>7.4119999999999999</v>
      </c>
      <c r="I383" s="125">
        <f>IF(I$148=1,I243/I$123,Maize!I322)</f>
        <v>3.15</v>
      </c>
      <c r="J383" s="125">
        <f>IF(J$148=1,J243/J$123,Maize!J322)</f>
        <v>7.411999999999999</v>
      </c>
      <c r="K383" s="125">
        <f>IF(K$148=1,K243/K$123,Maize!K322)</f>
        <v>3.1500000000000004</v>
      </c>
      <c r="L383" s="125">
        <f>IF(L$148=1,L243/L$123,Maize!L322)</f>
        <v>7.4119999999999999</v>
      </c>
      <c r="M383" s="125">
        <f>IF(M$148=1,M243/M$123,Maize!M322)</f>
        <v>3.15</v>
      </c>
      <c r="N383" s="125">
        <f>IF(N$148=1,N243/N$123,Maize!N322)</f>
        <v>7.4120000000000008</v>
      </c>
      <c r="O383" s="125">
        <f>IF(O$148=1,O243/O$123,Maize!O322)</f>
        <v>3.15</v>
      </c>
      <c r="P383" s="122"/>
      <c r="Q383" s="122"/>
      <c r="R383" s="122"/>
      <c r="S383" s="122"/>
      <c r="T383" s="122"/>
      <c r="U383" s="122"/>
      <c r="V383" s="122"/>
      <c r="W383" s="122"/>
      <c r="X383" s="122"/>
      <c r="Y383" s="122"/>
      <c r="Z383" s="122"/>
    </row>
    <row r="384" spans="1:26" ht="12.75" x14ac:dyDescent="0.2">
      <c r="A384" s="122"/>
      <c r="B384" s="180"/>
      <c r="C384" s="152" t="s">
        <v>99</v>
      </c>
      <c r="D384" s="180"/>
      <c r="E384" s="180"/>
      <c r="F384" s="125">
        <f>IF(F$148=1,F244/F$123,Maize!F323)</f>
        <v>6.4704828799999996</v>
      </c>
      <c r="G384" s="125">
        <f>IF(G$148=1,G244/G$123,Maize!G323)</f>
        <v>3.1452969702599991</v>
      </c>
      <c r="H384" s="125">
        <f>IF(H$148=1,H244/H$123,Maize!H323)</f>
        <v>6.4704828799999987</v>
      </c>
      <c r="I384" s="125">
        <f>IF(I$148=1,I244/I$123,Maize!I323)</f>
        <v>3.1452969702599995</v>
      </c>
      <c r="J384" s="125">
        <f>IF(J$148=1,J244/J$123,Maize!J323)</f>
        <v>6.4704828799999987</v>
      </c>
      <c r="K384" s="125">
        <f>IF(K$148=1,K244/K$123,Maize!K323)</f>
        <v>3.14529697026</v>
      </c>
      <c r="L384" s="125">
        <f>IF(L$148=1,L244/L$123,Maize!L323)</f>
        <v>6.4704828799999987</v>
      </c>
      <c r="M384" s="125">
        <f>IF(M$148=1,M244/M$123,Maize!M323)</f>
        <v>3.14529697026</v>
      </c>
      <c r="N384" s="125">
        <f>IF(N$148=1,N244/N$123,Maize!N323)</f>
        <v>6.4704828799999987</v>
      </c>
      <c r="O384" s="125">
        <f>IF(O$148=1,O244/O$123,Maize!O323)</f>
        <v>3.1452969702599991</v>
      </c>
      <c r="P384" s="122"/>
      <c r="Q384" s="122"/>
      <c r="R384" s="122"/>
      <c r="S384" s="122"/>
      <c r="T384" s="122"/>
      <c r="U384" s="122"/>
      <c r="V384" s="122"/>
      <c r="W384" s="122"/>
      <c r="X384" s="122"/>
      <c r="Y384" s="122"/>
      <c r="Z384" s="122"/>
    </row>
    <row r="385" spans="1:26" ht="12.75" x14ac:dyDescent="0.2">
      <c r="A385" s="122"/>
      <c r="B385" s="180"/>
      <c r="C385" s="152" t="s">
        <v>102</v>
      </c>
      <c r="D385" s="180"/>
      <c r="E385" s="180"/>
      <c r="F385" s="125">
        <f>IF(F$148=1,F245/F$123,Maize!F324)</f>
        <v>13.048092959999998</v>
      </c>
      <c r="G385" s="125">
        <f>IF(G$148=1,G245/G$123,Maize!G324)</f>
        <v>9.308279257199997</v>
      </c>
      <c r="H385" s="125">
        <f>IF(H$148=1,H245/H$123,Maize!H324)</f>
        <v>13.048092959999998</v>
      </c>
      <c r="I385" s="125">
        <f>IF(I$148=1,I245/I$123,Maize!I324)</f>
        <v>9.3082792571999988</v>
      </c>
      <c r="J385" s="125">
        <f>IF(J$148=1,J245/J$123,Maize!J324)</f>
        <v>13.048092959999996</v>
      </c>
      <c r="K385" s="125">
        <f>IF(K$148=1,K245/K$123,Maize!K324)</f>
        <v>9.308279257199997</v>
      </c>
      <c r="L385" s="125">
        <f>IF(L$148=1,L245/L$123,Maize!L324)</f>
        <v>13.048092959999996</v>
      </c>
      <c r="M385" s="125">
        <f>IF(M$148=1,M245/M$123,Maize!M324)</f>
        <v>9.3082792572000006</v>
      </c>
      <c r="N385" s="125">
        <f>IF(N$148=1,N245/N$123,Maize!N324)</f>
        <v>13.04809296</v>
      </c>
      <c r="O385" s="125">
        <f>IF(O$148=1,O245/O$123,Maize!O324)</f>
        <v>9.308279257199997</v>
      </c>
      <c r="P385" s="122"/>
      <c r="Q385" s="122"/>
      <c r="R385" s="122"/>
      <c r="S385" s="122"/>
      <c r="T385" s="122"/>
      <c r="U385" s="122"/>
      <c r="V385" s="122"/>
      <c r="W385" s="122"/>
      <c r="X385" s="122"/>
      <c r="Y385" s="122"/>
      <c r="Z385" s="122"/>
    </row>
    <row r="386" spans="1:26" ht="12.75" x14ac:dyDescent="0.2">
      <c r="A386" s="122"/>
      <c r="B386" s="180"/>
      <c r="C386" s="152" t="s">
        <v>418</v>
      </c>
      <c r="D386" s="180"/>
      <c r="E386" s="180"/>
      <c r="F386" s="125">
        <f>IF(F$148=1,F246/F$123,)</f>
        <v>18.972000000000001</v>
      </c>
      <c r="G386" s="125">
        <f>IF(G$148=1,G246/G$123,)</f>
        <v>0</v>
      </c>
      <c r="H386" s="125">
        <f>IF(H$148=1,H246/H$123,)</f>
        <v>18.971999999999998</v>
      </c>
      <c r="I386" s="125">
        <f>IF(I$148=1,I246/I$123,)</f>
        <v>0</v>
      </c>
      <c r="J386" s="125">
        <f>IF(J$148=1,J246/J$123,)</f>
        <v>18.971999999999998</v>
      </c>
      <c r="K386" s="125">
        <f>IF(K$148=1,K246/K$123,)</f>
        <v>0</v>
      </c>
      <c r="L386" s="125">
        <f>IF(L$148=1,L246/L$123,)</f>
        <v>18.972000000000001</v>
      </c>
      <c r="M386" s="125">
        <f>IF(M$148=1,M246/M$123,)</f>
        <v>0</v>
      </c>
      <c r="N386" s="125">
        <f>IF(N$148=1,N246/N$123,)</f>
        <v>18.972000000000001</v>
      </c>
      <c r="O386" s="125">
        <f>IF(O$148=1,O246/O$123,)</f>
        <v>0</v>
      </c>
      <c r="P386" s="122"/>
      <c r="Q386" s="122"/>
      <c r="R386" s="122"/>
      <c r="S386" s="122"/>
      <c r="T386" s="122"/>
      <c r="U386" s="122"/>
      <c r="V386" s="122"/>
      <c r="W386" s="122"/>
      <c r="X386" s="122"/>
      <c r="Y386" s="122"/>
      <c r="Z386" s="122"/>
    </row>
    <row r="387" spans="1:26" ht="12.75" x14ac:dyDescent="0.2">
      <c r="A387" s="122"/>
      <c r="B387" s="180"/>
      <c r="C387" s="152" t="s">
        <v>105</v>
      </c>
      <c r="D387" s="180"/>
      <c r="E387" s="180"/>
      <c r="F387" s="125">
        <f>IF(F$148=1,F247/F$123,Maize!F325)</f>
        <v>2.2467200000000003</v>
      </c>
      <c r="G387" s="125">
        <f>IF(G$148=1,G247/G$123,Maize!G325)</f>
        <v>0.51393176470588231</v>
      </c>
      <c r="H387" s="125">
        <f>IF(H$148=1,H247/H$123,Maize!H325)</f>
        <v>2.2467200000000003</v>
      </c>
      <c r="I387" s="125">
        <f>IF(I$148=1,I247/I$123,Maize!I325)</f>
        <v>0.51393176470588231</v>
      </c>
      <c r="J387" s="125">
        <f>IF(J$148=1,J247/J$123,Maize!J325)</f>
        <v>2.2467200000000003</v>
      </c>
      <c r="K387" s="125">
        <f>IF(K$148=1,K247/K$123,Maize!K325)</f>
        <v>0.51393176470588231</v>
      </c>
      <c r="L387" s="125">
        <f>IF(L$148=1,L247/L$123,Maize!L325)</f>
        <v>2.2467199999999998</v>
      </c>
      <c r="M387" s="125">
        <f>IF(M$148=1,M247/M$123,Maize!M325)</f>
        <v>0.51393176470588242</v>
      </c>
      <c r="N387" s="125">
        <f>IF(N$148=1,N247/N$123,Maize!N325)</f>
        <v>2.2467200000000003</v>
      </c>
      <c r="O387" s="125">
        <f>IF(O$148=1,O247/O$123,Maize!O325)</f>
        <v>0.51393176470588231</v>
      </c>
      <c r="P387" s="122"/>
      <c r="Q387" s="122"/>
      <c r="R387" s="122"/>
      <c r="S387" s="122"/>
      <c r="T387" s="122"/>
      <c r="U387" s="122"/>
      <c r="V387" s="122"/>
      <c r="W387" s="122"/>
      <c r="X387" s="122"/>
      <c r="Y387" s="122"/>
      <c r="Z387" s="122"/>
    </row>
    <row r="388" spans="1:26" ht="12.75" x14ac:dyDescent="0.2">
      <c r="A388" s="122"/>
      <c r="B388" s="180"/>
      <c r="C388" s="152" t="s">
        <v>108</v>
      </c>
      <c r="D388" s="180"/>
      <c r="E388" s="180"/>
      <c r="F388" s="125">
        <f>IF(AND(E$148=1,F$148=0),Maize!F326*(1+$I$36),IF(AND(E$148=0,F$148=0),Maize!F326,F248/F$123))</f>
        <v>3.5</v>
      </c>
      <c r="G388" s="125">
        <f>IF(AND(F$148=1,G$148=0),Maize!G326*(1+$I$36),IF(AND(F$148=0,G$148=0),Maize!G326,G248/G$123))</f>
        <v>2.1419999999999999</v>
      </c>
      <c r="H388" s="125">
        <f>IF(AND(G$148=1,H$148=0),Maize!H326*(1+$I$36),IF(AND(G$148=0,H$148=0),Maize!H326,H248/H$123))</f>
        <v>4.7</v>
      </c>
      <c r="I388" s="125">
        <f>IF(AND(H$148=1,I$148=0),Maize!I326*(1+$I$36),IF(AND(H$148=0,I$148=0),Maize!I326,I248/I$123))</f>
        <v>2.3939999999999997</v>
      </c>
      <c r="J388" s="125">
        <f>IF(AND(I$148=1,J$148=0),Maize!J326*(1+$I$36),IF(AND(I$148=0,J$148=0),Maize!J326,J248/J$123))</f>
        <v>5.5</v>
      </c>
      <c r="K388" s="125">
        <f>IF(AND(J$148=1,K$148=0),Maize!K326*(1+$I$36),IF(AND(J$148=0,K$148=0),Maize!K326,K248/K$123))</f>
        <v>2.52</v>
      </c>
      <c r="L388" s="125">
        <f>IF(AND(K$148=1,L$148=0),Maize!L326*(1+$I$36),IF(AND(K$148=0,L$148=0),Maize!L326,L248/L$123))</f>
        <v>5.5000000000000009</v>
      </c>
      <c r="M388" s="125">
        <f>IF(AND(L$148=1,M$148=0),Maize!M326*(1+$I$36),IF(AND(L$148=0,M$148=0),Maize!M326,M248/M$123))</f>
        <v>2.7720000000000002</v>
      </c>
      <c r="N388" s="125">
        <f>IF(AND(M$148=1,N$148=0),Maize!N326*(1+$I$36),IF(AND(M$148=0,N$148=0),Maize!N326,N248/N$123))</f>
        <v>5.5</v>
      </c>
      <c r="O388" s="125">
        <f>IF(AND(N$148=1,O$148=0),Maize!O326*(1+$I$36),IF(AND(N$148=0,O$148=0),Maize!O326,O248/O$123))</f>
        <v>2.8979999999999997</v>
      </c>
      <c r="P388" s="122"/>
      <c r="Q388" s="122"/>
      <c r="R388" s="122"/>
      <c r="S388" s="122"/>
      <c r="T388" s="122"/>
      <c r="U388" s="122"/>
      <c r="V388" s="122"/>
      <c r="W388" s="122"/>
      <c r="X388" s="122"/>
      <c r="Y388" s="122"/>
      <c r="Z388" s="122"/>
    </row>
    <row r="389" spans="1:26" ht="12.75" x14ac:dyDescent="0.2">
      <c r="A389" s="122"/>
      <c r="B389" s="155"/>
      <c r="C389" s="198" t="s">
        <v>217</v>
      </c>
      <c r="D389" s="198"/>
      <c r="E389" s="198"/>
      <c r="F389" s="200">
        <f t="shared" ref="F389:O389" si="95">SUM(F382:F388)</f>
        <v>54.199295839999998</v>
      </c>
      <c r="G389" s="200">
        <f t="shared" si="95"/>
        <v>21.488485698811481</v>
      </c>
      <c r="H389" s="200">
        <f t="shared" si="95"/>
        <v>55.399295840000001</v>
      </c>
      <c r="I389" s="200">
        <f t="shared" si="95"/>
        <v>21.740485698811479</v>
      </c>
      <c r="J389" s="200">
        <f t="shared" si="95"/>
        <v>56.199295839999998</v>
      </c>
      <c r="K389" s="200">
        <f t="shared" si="95"/>
        <v>21.866485698811481</v>
      </c>
      <c r="L389" s="200">
        <f t="shared" si="95"/>
        <v>56.199295839999991</v>
      </c>
      <c r="M389" s="200">
        <f t="shared" si="95"/>
        <v>22.118485698811483</v>
      </c>
      <c r="N389" s="200">
        <f t="shared" si="95"/>
        <v>56.199295840000005</v>
      </c>
      <c r="O389" s="200">
        <f t="shared" si="95"/>
        <v>22.244485698811481</v>
      </c>
      <c r="P389" s="122"/>
      <c r="Q389" s="122"/>
      <c r="R389" s="122"/>
      <c r="S389" s="122"/>
      <c r="T389" s="122"/>
      <c r="U389" s="122"/>
      <c r="V389" s="122"/>
      <c r="W389" s="122"/>
      <c r="X389" s="122"/>
      <c r="Y389" s="122"/>
      <c r="Z389" s="122"/>
    </row>
    <row r="390" spans="1:26" ht="12.75" x14ac:dyDescent="0.2">
      <c r="A390" s="122"/>
      <c r="B390" s="155"/>
      <c r="C390" s="155"/>
      <c r="D390" s="155"/>
      <c r="E390" s="155"/>
      <c r="F390" s="155"/>
      <c r="G390" s="155"/>
      <c r="H390" s="155"/>
      <c r="I390" s="155"/>
      <c r="J390" s="155"/>
      <c r="K390" s="155"/>
      <c r="L390" s="155"/>
      <c r="M390" s="155"/>
      <c r="N390" s="155"/>
      <c r="O390" s="155"/>
      <c r="P390" s="122"/>
      <c r="Q390" s="122"/>
      <c r="R390" s="122"/>
      <c r="S390" s="122"/>
      <c r="T390" s="122"/>
      <c r="U390" s="122"/>
      <c r="V390" s="122"/>
      <c r="W390" s="122"/>
      <c r="X390" s="122"/>
      <c r="Y390" s="122"/>
      <c r="Z390" s="122"/>
    </row>
    <row r="391" spans="1:26" ht="12.75" x14ac:dyDescent="0.2">
      <c r="A391" s="122"/>
      <c r="B391" s="180"/>
      <c r="C391" s="188" t="s">
        <v>287</v>
      </c>
      <c r="D391" s="201"/>
      <c r="E391" s="201"/>
      <c r="F391" s="202"/>
      <c r="G391" s="202"/>
      <c r="H391" s="202"/>
      <c r="I391" s="202"/>
      <c r="J391" s="202"/>
      <c r="K391" s="202"/>
      <c r="L391" s="202"/>
      <c r="M391" s="202"/>
      <c r="N391" s="202"/>
      <c r="O391" s="202"/>
      <c r="P391" s="122"/>
      <c r="Q391" s="122"/>
      <c r="R391" s="122"/>
      <c r="S391" s="122"/>
      <c r="T391" s="122"/>
      <c r="U391" s="122"/>
      <c r="V391" s="122"/>
      <c r="W391" s="122"/>
      <c r="X391" s="122"/>
      <c r="Y391" s="122"/>
      <c r="Z391" s="122"/>
    </row>
    <row r="392" spans="1:26" ht="12.75" x14ac:dyDescent="0.2">
      <c r="A392" s="122"/>
      <c r="B392" s="180"/>
      <c r="C392" s="155" t="s">
        <v>375</v>
      </c>
      <c r="D392" s="201"/>
      <c r="E392" s="201"/>
      <c r="F392" s="125">
        <f>IF(AND(E$148=1,F$148=0),Maize!F330*(1+$I$36),IF(AND(E$148=0,F$148=0),Maize!F330,F252/F$123))</f>
        <v>6.7999272673300739</v>
      </c>
      <c r="G392" s="125">
        <f>IF(AND(F$148=1,G$148=0),Maize!G330*(1+$I$36),IF(AND(F$148=0,G$148=0),Maize!G330,G252/G$123))</f>
        <v>2.8181956205637819</v>
      </c>
      <c r="H392" s="125">
        <f>IF(AND(G$148=1,H$148=0),Maize!H330*(1+$I$36),IF(AND(G$148=0,H$148=0),Maize!H330,H252/H$123))</f>
        <v>9.1023600874368071</v>
      </c>
      <c r="I392" s="125">
        <f>IF(AND(H$148=1,I$148=0),Maize!I330*(1+$I$36),IF(AND(H$148=0,I$148=0),Maize!I330,I252/I$123))</f>
        <v>3.0448055053226653</v>
      </c>
      <c r="J392" s="125">
        <f>IF(AND(I$148=1,J$148=0),Maize!J330*(1+$I$36),IF(AND(I$148=0,J$148=0),Maize!J330,J252/J$123))</f>
        <v>10.642438649350652</v>
      </c>
      <c r="K392" s="125">
        <f>IF(AND(J$148=1,K$148=0),Maize!K330*(1+$I$36),IF(AND(J$148=0,K$148=0),Maize!K330,K252/K$123))</f>
        <v>3.283352292371108</v>
      </c>
      <c r="L392" s="125">
        <f>IF(AND(K$148=1,L$148=0),Maize!L330*(1+$I$36),IF(AND(K$148=0,L$148=0),Maize!L330,L252/L$123))</f>
        <v>10.64243864935065</v>
      </c>
      <c r="M392" s="125">
        <f>IF(AND(L$148=1,M$148=0),Maize!M330*(1+$I$36),IF(AND(L$148=0,M$148=0),Maize!M330,M252/M$123))</f>
        <v>3.5344647699741145</v>
      </c>
      <c r="N392" s="125">
        <f>IF(AND(M$148=1,N$148=0),Maize!N330*(1+$I$36),IF(AND(M$148=0,N$148=0),Maize!N330,N252/N$123))</f>
        <v>10.642438649350652</v>
      </c>
      <c r="O392" s="125">
        <f>IF(AND(N$148=1,O$148=0),Maize!O330*(1+$I$36),IF(AND(N$148=0,O$148=0),Maize!O330,O252/O$123))</f>
        <v>3.798804848447336</v>
      </c>
      <c r="P392" s="122"/>
      <c r="Q392" s="122"/>
      <c r="R392" s="122"/>
      <c r="S392" s="122"/>
      <c r="T392" s="122"/>
      <c r="U392" s="122"/>
      <c r="V392" s="122"/>
      <c r="W392" s="122"/>
      <c r="X392" s="122"/>
      <c r="Y392" s="122"/>
      <c r="Z392" s="122"/>
    </row>
    <row r="393" spans="1:26" ht="12.75" x14ac:dyDescent="0.2">
      <c r="A393" s="122"/>
      <c r="B393" s="180"/>
      <c r="C393" s="184" t="s">
        <v>284</v>
      </c>
      <c r="D393" s="185"/>
      <c r="E393" s="185"/>
      <c r="F393" s="141">
        <f>IF(AND(E$148=1,F$148=0),Maize!F331*(1+$I$36),IF(AND(E$148=0,F$148=0),Maize!F331,F253/F$123))</f>
        <v>5.193579469050432</v>
      </c>
      <c r="G393" s="141">
        <f>IF(AND(F$148=1,G$148=0),Maize!G331*(1+$I$36),IF(AND(F$148=0,G$148=0),Maize!G331,G253/G$123))</f>
        <v>1.4016622058208001</v>
      </c>
      <c r="H393" s="141">
        <f>IF(AND(G$148=1,H$148=0),Maize!H331*(1+$I$36),IF(AND(G$148=0,H$148=0),Maize!H331,H253/H$123))</f>
        <v>6.7495758779779411</v>
      </c>
      <c r="I393" s="141">
        <f>IF(AND(H$148=1,I$148=0),Maize!I331*(1+$I$36),IF(AND(H$148=0,I$148=0),Maize!I331,I253/I$123))</f>
        <v>1.4754961641746167</v>
      </c>
      <c r="J393" s="141">
        <f>IF(AND(I$148=1,J$148=0),Maize!J331*(1+$I$36),IF(AND(I$148=0,J$148=0),Maize!J331,J253/J$123))</f>
        <v>7.7903692035756471</v>
      </c>
      <c r="K393" s="141">
        <f>IF(AND(J$148=1,K$148=0),Maize!K331*(1+$I$36),IF(AND(J$148=0,K$148=0),Maize!K331,K253/K$123))</f>
        <v>1.5532194001186788</v>
      </c>
      <c r="L393" s="141">
        <f>IF(AND(K$148=1,L$148=0),Maize!L331*(1+$I$36),IF(AND(K$148=0,L$148=0),Maize!L331,L253/L$123))</f>
        <v>7.7903692035756471</v>
      </c>
      <c r="M393" s="141">
        <f>IF(AND(L$148=1,M$148=0),Maize!M331*(1+$I$36),IF(AND(L$148=0,M$148=0),Maize!M331,M253/M$123))</f>
        <v>1.6350367852393308</v>
      </c>
      <c r="N393" s="141">
        <f>IF(AND(M$148=1,N$148=0),Maize!N331*(1+$I$36),IF(AND(M$148=0,N$148=0),Maize!N331,N253/N$123))</f>
        <v>7.7903692035756471</v>
      </c>
      <c r="O393" s="141">
        <f>IF(AND(N$148=1,O$148=0),Maize!O331*(1+$I$36),IF(AND(N$148=0,O$148=0),Maize!O331,O253/O$123))</f>
        <v>1.7211639829385978</v>
      </c>
      <c r="P393" s="122"/>
      <c r="Q393" s="122"/>
      <c r="R393" s="122"/>
      <c r="S393" s="122"/>
      <c r="T393" s="122"/>
      <c r="U393" s="122"/>
      <c r="V393" s="122"/>
      <c r="W393" s="122"/>
      <c r="X393" s="122"/>
      <c r="Y393" s="122"/>
      <c r="Z393" s="122"/>
    </row>
    <row r="394" spans="1:26" ht="12.75" x14ac:dyDescent="0.2">
      <c r="A394" s="122"/>
      <c r="B394" s="180"/>
      <c r="C394" s="189" t="s">
        <v>289</v>
      </c>
      <c r="D394" s="201"/>
      <c r="E394" s="201"/>
      <c r="F394" s="202">
        <f>SUM(F392:F393)</f>
        <v>11.993506736380507</v>
      </c>
      <c r="G394" s="202">
        <f t="shared" ref="G394:O394" si="96">SUM(G392:G393)</f>
        <v>4.2198578263845823</v>
      </c>
      <c r="H394" s="202">
        <f t="shared" si="96"/>
        <v>15.851935965414748</v>
      </c>
      <c r="I394" s="202">
        <f t="shared" si="96"/>
        <v>4.5203016694972824</v>
      </c>
      <c r="J394" s="202">
        <f t="shared" si="96"/>
        <v>18.432807852926299</v>
      </c>
      <c r="K394" s="202">
        <f t="shared" si="96"/>
        <v>4.8365716924897866</v>
      </c>
      <c r="L394" s="202">
        <f t="shared" si="96"/>
        <v>18.432807852926295</v>
      </c>
      <c r="M394" s="202">
        <f t="shared" si="96"/>
        <v>5.1695015552134453</v>
      </c>
      <c r="N394" s="202">
        <f t="shared" si="96"/>
        <v>18.432807852926299</v>
      </c>
      <c r="O394" s="202">
        <f t="shared" si="96"/>
        <v>5.5199688313859339</v>
      </c>
      <c r="P394" s="122"/>
      <c r="Q394" s="122"/>
      <c r="R394" s="122"/>
      <c r="S394" s="122"/>
      <c r="T394" s="122"/>
      <c r="U394" s="122"/>
      <c r="V394" s="122"/>
      <c r="W394" s="122"/>
      <c r="X394" s="122"/>
      <c r="Y394" s="122"/>
      <c r="Z394" s="122"/>
    </row>
    <row r="395" spans="1:26" ht="12.75" x14ac:dyDescent="0.2">
      <c r="A395" s="122"/>
      <c r="B395" s="155"/>
      <c r="C395" s="155"/>
      <c r="D395" s="155"/>
      <c r="E395" s="155"/>
      <c r="F395" s="155"/>
      <c r="G395" s="155"/>
      <c r="H395" s="155"/>
      <c r="I395" s="155"/>
      <c r="J395" s="155"/>
      <c r="K395" s="155"/>
      <c r="L395" s="155"/>
      <c r="M395" s="155"/>
      <c r="N395" s="155"/>
      <c r="O395" s="155"/>
      <c r="P395" s="122"/>
      <c r="Q395" s="122"/>
      <c r="R395" s="122"/>
      <c r="S395" s="122"/>
      <c r="T395" s="122"/>
      <c r="U395" s="122"/>
      <c r="V395" s="122"/>
      <c r="W395" s="122"/>
      <c r="X395" s="122"/>
      <c r="Y395" s="122"/>
      <c r="Z395" s="122"/>
    </row>
    <row r="396" spans="1:26" ht="12.75" x14ac:dyDescent="0.2">
      <c r="A396" s="122"/>
      <c r="B396" s="155"/>
      <c r="C396" s="203" t="s">
        <v>236</v>
      </c>
      <c r="D396" s="203"/>
      <c r="E396" s="203"/>
      <c r="F396" s="204">
        <f t="shared" ref="F396:O396" si="97">F364+F374+F379+F389+F394</f>
        <v>155.51466751144545</v>
      </c>
      <c r="G396" s="204">
        <f t="shared" si="97"/>
        <v>95.875465615385025</v>
      </c>
      <c r="H396" s="204">
        <f t="shared" si="97"/>
        <v>160.57309674047971</v>
      </c>
      <c r="I396" s="204">
        <f t="shared" si="97"/>
        <v>96.427909458497723</v>
      </c>
      <c r="J396" s="204">
        <f t="shared" si="97"/>
        <v>153.09396862799125</v>
      </c>
      <c r="K396" s="204">
        <f t="shared" si="97"/>
        <v>96.870179481490212</v>
      </c>
      <c r="L396" s="204">
        <f t="shared" si="97"/>
        <v>153.09396862799125</v>
      </c>
      <c r="M396" s="204">
        <f t="shared" si="97"/>
        <v>97.455109344213881</v>
      </c>
      <c r="N396" s="204">
        <f t="shared" si="97"/>
        <v>153.09396862799125</v>
      </c>
      <c r="O396" s="204">
        <f t="shared" si="97"/>
        <v>97.93157662038638</v>
      </c>
      <c r="P396" s="122"/>
      <c r="Q396" s="122"/>
      <c r="R396" s="122"/>
      <c r="S396" s="122"/>
      <c r="T396" s="122"/>
      <c r="U396" s="122"/>
      <c r="V396" s="122"/>
      <c r="W396" s="122"/>
      <c r="X396" s="122"/>
      <c r="Y396" s="122"/>
      <c r="Z396" s="122"/>
    </row>
    <row r="397" spans="1:26" ht="12.75" x14ac:dyDescent="0.2">
      <c r="A397" s="122"/>
      <c r="B397" s="155"/>
      <c r="C397" s="155"/>
      <c r="D397" s="155"/>
      <c r="E397" s="155"/>
      <c r="F397" s="155"/>
      <c r="G397" s="155"/>
      <c r="H397" s="155"/>
      <c r="I397" s="155"/>
      <c r="J397" s="155"/>
      <c r="K397" s="155"/>
      <c r="L397" s="155"/>
      <c r="M397" s="155"/>
      <c r="N397" s="155"/>
      <c r="O397" s="155"/>
      <c r="P397" s="122"/>
      <c r="Q397" s="122"/>
      <c r="R397" s="122"/>
      <c r="S397" s="122"/>
      <c r="T397" s="122"/>
      <c r="U397" s="122"/>
      <c r="V397" s="122"/>
      <c r="W397" s="122"/>
      <c r="X397" s="122"/>
      <c r="Y397" s="122"/>
      <c r="Z397" s="122"/>
    </row>
    <row r="398" spans="1:26" ht="12.75" x14ac:dyDescent="0.2">
      <c r="A398" s="122"/>
      <c r="C398" s="206" t="s">
        <v>239</v>
      </c>
      <c r="D398" s="203"/>
      <c r="E398" s="203"/>
      <c r="F398" s="208">
        <f t="shared" ref="F398:O398" si="98">F359-F396</f>
        <v>-9.1242675114454244</v>
      </c>
      <c r="G398" s="208">
        <f t="shared" si="98"/>
        <v>7.6678777077856921</v>
      </c>
      <c r="H398" s="208">
        <f t="shared" si="98"/>
        <v>29.67586709952036</v>
      </c>
      <c r="I398" s="208">
        <f t="shared" si="98"/>
        <v>12.569683017564344</v>
      </c>
      <c r="J398" s="208">
        <f t="shared" si="98"/>
        <v>66.491631372008754</v>
      </c>
      <c r="K398" s="208">
        <f t="shared" si="98"/>
        <v>17.868970175840914</v>
      </c>
      <c r="L398" s="208">
        <f t="shared" si="98"/>
        <v>66.491631372008754</v>
      </c>
      <c r="M398" s="208">
        <f t="shared" si="98"/>
        <v>23.328039760466865</v>
      </c>
      <c r="N398" s="208">
        <f t="shared" si="98"/>
        <v>66.491631372008754</v>
      </c>
      <c r="O398" s="208">
        <f t="shared" si="98"/>
        <v>29.213945646532508</v>
      </c>
      <c r="P398" s="122"/>
      <c r="Q398" s="122"/>
      <c r="R398" s="122"/>
      <c r="S398" s="122"/>
      <c r="T398" s="122"/>
      <c r="U398" s="122"/>
      <c r="V398" s="122"/>
      <c r="W398" s="122"/>
      <c r="X398" s="122"/>
      <c r="Y398" s="122"/>
      <c r="Z398" s="122"/>
    </row>
    <row r="399" spans="1:26" ht="12.75" x14ac:dyDescent="0.2">
      <c r="A399" s="122"/>
      <c r="B399" s="122"/>
      <c r="C399" s="122"/>
      <c r="D399" s="122"/>
      <c r="E399" s="122"/>
      <c r="F399" s="122"/>
      <c r="G399" s="122"/>
      <c r="H399" s="122"/>
      <c r="I399" s="122"/>
      <c r="J399" s="122"/>
      <c r="K399" s="122"/>
      <c r="L399" s="122"/>
      <c r="M399" s="122"/>
      <c r="N399" s="122"/>
      <c r="O399" s="122"/>
      <c r="P399" s="122"/>
      <c r="Q399" s="122"/>
      <c r="R399" s="122"/>
      <c r="S399" s="122"/>
      <c r="T399" s="122"/>
      <c r="U399" s="122"/>
      <c r="V399" s="122"/>
      <c r="W399" s="122"/>
      <c r="X399" s="122"/>
      <c r="Y399" s="122"/>
      <c r="Z399" s="122"/>
    </row>
    <row r="400" spans="1:26" ht="12.75" x14ac:dyDescent="0.2">
      <c r="A400" s="145" t="s">
        <v>240</v>
      </c>
      <c r="B400" s="119"/>
      <c r="C400" s="119"/>
      <c r="D400" s="161" t="s">
        <v>174</v>
      </c>
      <c r="E400" s="161"/>
      <c r="F400" s="162">
        <v>0</v>
      </c>
      <c r="G400" s="162">
        <v>1</v>
      </c>
      <c r="H400" s="162">
        <v>2</v>
      </c>
      <c r="I400" s="162">
        <v>3</v>
      </c>
      <c r="J400" s="162">
        <v>4</v>
      </c>
      <c r="K400" s="162">
        <v>5</v>
      </c>
      <c r="L400" s="162">
        <v>6</v>
      </c>
      <c r="M400" s="162">
        <v>7</v>
      </c>
      <c r="N400" s="162">
        <v>8</v>
      </c>
      <c r="O400" s="162">
        <v>9</v>
      </c>
      <c r="P400" s="119"/>
      <c r="Q400" s="119"/>
      <c r="R400" s="119"/>
      <c r="S400" s="119"/>
      <c r="T400" s="119"/>
      <c r="U400" s="119"/>
      <c r="V400" s="119"/>
      <c r="W400" s="119"/>
      <c r="X400" s="119"/>
      <c r="Y400" s="119"/>
      <c r="Z400" s="119"/>
    </row>
    <row r="401" spans="1:26" ht="12.75" x14ac:dyDescent="0.2">
      <c r="A401" s="122"/>
      <c r="B401" s="154" t="s">
        <v>279</v>
      </c>
      <c r="C401" s="155"/>
      <c r="D401" s="155"/>
      <c r="E401" s="155"/>
      <c r="F401" s="155"/>
      <c r="G401" s="155"/>
      <c r="H401" s="155"/>
      <c r="I401" s="155"/>
      <c r="J401" s="155"/>
      <c r="K401" s="155"/>
      <c r="L401" s="155"/>
      <c r="M401" s="155"/>
      <c r="N401" s="155"/>
      <c r="O401" s="155"/>
      <c r="P401" s="122"/>
      <c r="Q401" s="122"/>
      <c r="R401" s="122"/>
      <c r="S401" s="122"/>
      <c r="T401" s="122"/>
      <c r="U401" s="122"/>
      <c r="V401" s="122"/>
      <c r="W401" s="122"/>
      <c r="X401" s="122"/>
      <c r="Y401" s="122"/>
      <c r="Z401" s="122"/>
    </row>
    <row r="402" spans="1:26" ht="12.75" x14ac:dyDescent="0.2">
      <c r="A402" s="122"/>
      <c r="B402" s="155"/>
      <c r="C402" s="155" t="s">
        <v>241</v>
      </c>
      <c r="D402" s="155"/>
      <c r="E402" s="155"/>
      <c r="F402" s="125">
        <f>F359-F$307</f>
        <v>75.940020000000018</v>
      </c>
      <c r="G402" s="125">
        <f>G359-G$307</f>
        <v>8.5464346869918728</v>
      </c>
      <c r="H402" s="125">
        <f>H359-H$307</f>
        <v>105.93509856256107</v>
      </c>
      <c r="I402" s="125">
        <f>I359-I$307</f>
        <v>22.491566701409624</v>
      </c>
      <c r="J402" s="125">
        <f>J359-J$307</f>
        <v>143.92418623921625</v>
      </c>
      <c r="K402" s="125">
        <f>K359-K$307</f>
        <v>9.4705329875892375</v>
      </c>
      <c r="L402" s="125">
        <f>L359-L$307</f>
        <v>126.15514956474462</v>
      </c>
      <c r="M402" s="125">
        <f>M359-M$307</f>
        <v>24.923506958108732</v>
      </c>
      <c r="N402" s="125">
        <f>N359-N$307</f>
        <v>138.32770568799609</v>
      </c>
      <c r="O402" s="125">
        <f>O359-O$307</f>
        <v>10.494551044253626</v>
      </c>
      <c r="P402" s="122"/>
      <c r="Q402" s="122"/>
      <c r="R402" s="122"/>
      <c r="S402" s="122"/>
      <c r="T402" s="122"/>
      <c r="U402" s="122"/>
      <c r="V402" s="122"/>
      <c r="W402" s="122"/>
      <c r="X402" s="122"/>
      <c r="Y402" s="122"/>
      <c r="Z402" s="122"/>
    </row>
    <row r="403" spans="1:26" ht="12.75" x14ac:dyDescent="0.2">
      <c r="A403" s="122"/>
      <c r="B403" s="155"/>
      <c r="C403" s="155" t="s">
        <v>242</v>
      </c>
      <c r="D403" s="155"/>
      <c r="E403" s="155"/>
      <c r="F403" s="125">
        <f>F396-F$344</f>
        <v>69.733804908266222</v>
      </c>
      <c r="G403" s="125">
        <f>G396-G$344</f>
        <v>3.3417690197262431</v>
      </c>
      <c r="H403" s="125">
        <f>H396-H$344</f>
        <v>69.900821645617668</v>
      </c>
      <c r="I403" s="125">
        <f>I396-I$344</f>
        <v>5.5348805978944284</v>
      </c>
      <c r="J403" s="125">
        <f>J396-J$344</f>
        <v>69.765689645591237</v>
      </c>
      <c r="K403" s="125">
        <f>K396-K$344</f>
        <v>3.4238723864523735</v>
      </c>
      <c r="L403" s="125">
        <f>L396-L$344</f>
        <v>61.619512242157811</v>
      </c>
      <c r="M403" s="125">
        <f>M396-M$344</f>
        <v>5.7468424790739476</v>
      </c>
      <c r="N403" s="125">
        <f>N396-N$344</f>
        <v>69.565689645591235</v>
      </c>
      <c r="O403" s="125">
        <f>O396-O$344</f>
        <v>3.5114797693454136</v>
      </c>
      <c r="P403" s="122"/>
      <c r="Q403" s="122"/>
      <c r="R403" s="122"/>
      <c r="S403" s="122"/>
      <c r="T403" s="122"/>
      <c r="U403" s="122"/>
      <c r="V403" s="122"/>
      <c r="W403" s="122"/>
      <c r="X403" s="122"/>
      <c r="Y403" s="122"/>
      <c r="Z403" s="122"/>
    </row>
    <row r="404" spans="1:26" ht="12.75" x14ac:dyDescent="0.2">
      <c r="A404" s="122"/>
      <c r="B404" s="155"/>
      <c r="C404" s="155" t="s">
        <v>243</v>
      </c>
      <c r="D404" s="155"/>
      <c r="E404" s="155"/>
      <c r="F404" s="125">
        <f>F402-F403</f>
        <v>6.2062150917337959</v>
      </c>
      <c r="G404" s="125">
        <f t="shared" ref="G404:O404" si="99">G402-G403</f>
        <v>5.2046656672656297</v>
      </c>
      <c r="H404" s="125">
        <f t="shared" si="99"/>
        <v>36.034276916943398</v>
      </c>
      <c r="I404" s="125">
        <f t="shared" si="99"/>
        <v>16.956686103515196</v>
      </c>
      <c r="J404" s="125">
        <f t="shared" si="99"/>
        <v>74.158496593625017</v>
      </c>
      <c r="K404" s="125">
        <f t="shared" si="99"/>
        <v>6.046660601136864</v>
      </c>
      <c r="L404" s="125">
        <f t="shared" si="99"/>
        <v>64.535637322586808</v>
      </c>
      <c r="M404" s="125">
        <f t="shared" si="99"/>
        <v>19.176664479034784</v>
      </c>
      <c r="N404" s="125">
        <f t="shared" si="99"/>
        <v>68.762016042404852</v>
      </c>
      <c r="O404" s="125">
        <f t="shared" si="99"/>
        <v>6.9830712749082124</v>
      </c>
      <c r="P404" s="122"/>
      <c r="Q404" s="122"/>
      <c r="R404" s="122"/>
      <c r="S404" s="122"/>
      <c r="T404" s="122"/>
      <c r="U404" s="122"/>
      <c r="V404" s="122"/>
      <c r="W404" s="122"/>
      <c r="X404" s="122"/>
      <c r="Y404" s="122"/>
      <c r="Z404" s="122"/>
    </row>
    <row r="405" spans="1:26" ht="13.5" thickBot="1" x14ac:dyDescent="0.25">
      <c r="A405" s="122"/>
      <c r="B405" s="155"/>
      <c r="C405" s="155"/>
      <c r="D405" s="155"/>
      <c r="E405" s="155"/>
      <c r="F405" s="155"/>
      <c r="G405" s="122"/>
      <c r="H405" s="122"/>
      <c r="I405" s="122"/>
      <c r="J405" s="122"/>
      <c r="K405" s="122"/>
      <c r="L405" s="122"/>
      <c r="M405" s="122"/>
      <c r="N405" s="122"/>
      <c r="O405" s="122"/>
      <c r="P405" s="122"/>
      <c r="Q405" s="122"/>
      <c r="R405" s="122"/>
      <c r="S405" s="122"/>
      <c r="T405" s="122"/>
      <c r="U405" s="122"/>
      <c r="V405" s="122"/>
      <c r="W405" s="122"/>
      <c r="X405" s="122"/>
      <c r="Y405" s="122"/>
      <c r="Z405" s="122"/>
    </row>
    <row r="406" spans="1:26" ht="13.5" thickTop="1" x14ac:dyDescent="0.2">
      <c r="A406" s="122"/>
      <c r="B406" s="155"/>
      <c r="C406" s="212" t="s">
        <v>249</v>
      </c>
      <c r="D406" s="212"/>
      <c r="E406" s="212"/>
      <c r="F406" s="130">
        <f>NPV($F$19,G404:O404)+F404</f>
        <v>143.80861743492596</v>
      </c>
      <c r="G406" s="122"/>
      <c r="H406" s="122"/>
      <c r="I406" s="122"/>
      <c r="J406" s="122"/>
      <c r="K406" s="122"/>
      <c r="L406" s="122"/>
      <c r="M406" s="122"/>
      <c r="N406" s="122"/>
      <c r="O406" s="122"/>
      <c r="P406" s="122"/>
      <c r="Q406" s="122"/>
      <c r="R406" s="122"/>
      <c r="S406" s="122"/>
      <c r="T406" s="122"/>
      <c r="U406" s="122"/>
      <c r="V406" s="122"/>
      <c r="W406" s="122"/>
      <c r="X406" s="122"/>
      <c r="Y406" s="122"/>
      <c r="Z406" s="122"/>
    </row>
    <row r="407" spans="1:26" ht="13.5" thickBot="1" x14ac:dyDescent="0.25">
      <c r="A407" s="122"/>
      <c r="B407" s="155"/>
      <c r="C407" s="211" t="s">
        <v>390</v>
      </c>
      <c r="D407" s="211"/>
      <c r="E407" s="211"/>
      <c r="F407" s="131">
        <f>F406/$F$10*1000</f>
        <v>912.83875482370172</v>
      </c>
      <c r="G407" s="122"/>
      <c r="H407" s="122"/>
      <c r="I407" s="122"/>
      <c r="J407" s="122"/>
      <c r="K407" s="122"/>
      <c r="L407" s="122"/>
      <c r="M407" s="122"/>
      <c r="N407" s="122"/>
      <c r="O407" s="122"/>
      <c r="P407" s="122"/>
      <c r="Q407" s="122"/>
      <c r="R407" s="122"/>
      <c r="S407" s="122"/>
      <c r="T407" s="122"/>
      <c r="U407" s="122"/>
      <c r="V407" s="122"/>
      <c r="W407" s="122"/>
      <c r="X407" s="122"/>
      <c r="Y407" s="122"/>
      <c r="Z407" s="122"/>
    </row>
    <row r="408" spans="1:26" ht="13.5" thickTop="1" x14ac:dyDescent="0.2">
      <c r="A408" s="122"/>
      <c r="B408" s="122"/>
      <c r="C408" s="122"/>
      <c r="D408" s="122"/>
      <c r="E408" s="122"/>
      <c r="F408" s="122"/>
      <c r="G408" s="122"/>
      <c r="H408" s="122"/>
      <c r="I408" s="122"/>
      <c r="J408" s="122"/>
      <c r="K408" s="122"/>
      <c r="L408" s="122"/>
      <c r="M408" s="122"/>
      <c r="N408" s="122"/>
      <c r="O408" s="122"/>
      <c r="P408" s="122"/>
      <c r="Q408" s="122"/>
      <c r="R408" s="122"/>
      <c r="S408" s="122"/>
      <c r="T408" s="122"/>
      <c r="U408" s="122"/>
      <c r="V408" s="122"/>
      <c r="W408" s="122"/>
      <c r="X408" s="122"/>
      <c r="Y408" s="122"/>
      <c r="Z408" s="122"/>
    </row>
    <row r="409" spans="1:26" ht="12.75" x14ac:dyDescent="0.2">
      <c r="A409" s="340" t="s">
        <v>705</v>
      </c>
      <c r="B409" s="119"/>
      <c r="C409" s="150"/>
      <c r="D409" s="161" t="s">
        <v>174</v>
      </c>
      <c r="E409" s="161"/>
      <c r="F409" s="162">
        <v>0</v>
      </c>
      <c r="G409" s="162">
        <v>1</v>
      </c>
      <c r="H409" s="162">
        <v>2</v>
      </c>
      <c r="I409" s="162">
        <v>3</v>
      </c>
      <c r="J409" s="162">
        <v>4</v>
      </c>
      <c r="K409" s="162">
        <v>5</v>
      </c>
      <c r="L409" s="162">
        <v>6</v>
      </c>
      <c r="M409" s="162">
        <v>7</v>
      </c>
      <c r="N409" s="162">
        <v>8</v>
      </c>
      <c r="O409" s="162">
        <v>9</v>
      </c>
      <c r="P409" s="119"/>
      <c r="Q409" s="119"/>
      <c r="R409" s="119"/>
      <c r="S409" s="119"/>
      <c r="T409" s="119"/>
      <c r="U409" s="119"/>
      <c r="V409" s="119"/>
      <c r="W409" s="119"/>
      <c r="X409" s="119"/>
      <c r="Y409" s="119"/>
      <c r="Z409" s="119"/>
    </row>
    <row r="410" spans="1:26" ht="12.75" x14ac:dyDescent="0.2">
      <c r="A410" s="122"/>
      <c r="B410" s="154" t="s">
        <v>244</v>
      </c>
      <c r="C410" s="155"/>
      <c r="D410" s="155"/>
      <c r="E410" s="155"/>
      <c r="F410" s="155"/>
      <c r="G410" s="155"/>
      <c r="H410" s="155"/>
      <c r="I410" s="155"/>
      <c r="J410" s="155"/>
      <c r="K410" s="155"/>
      <c r="L410" s="155"/>
      <c r="M410" s="155"/>
      <c r="N410" s="155"/>
      <c r="O410" s="155"/>
      <c r="P410" s="122"/>
      <c r="Q410" s="122"/>
      <c r="R410" s="122"/>
      <c r="S410" s="122"/>
      <c r="T410" s="122"/>
      <c r="U410" s="122"/>
      <c r="V410" s="122"/>
      <c r="W410" s="122"/>
      <c r="X410" s="122"/>
      <c r="Y410" s="122"/>
      <c r="Z410" s="122"/>
    </row>
    <row r="411" spans="1:26" ht="12.75" x14ac:dyDescent="0.2">
      <c r="A411" s="122"/>
      <c r="B411" s="122"/>
      <c r="C411" s="173"/>
      <c r="D411" s="122"/>
      <c r="E411" s="122"/>
      <c r="F411" s="122"/>
      <c r="G411" s="122"/>
      <c r="H411" s="122"/>
      <c r="I411" s="122"/>
      <c r="J411" s="122"/>
      <c r="K411" s="122"/>
      <c r="L411" s="122"/>
      <c r="M411" s="122"/>
      <c r="N411" s="122"/>
      <c r="O411" s="122"/>
      <c r="P411" s="122"/>
      <c r="Q411" s="122"/>
      <c r="R411" s="122"/>
      <c r="S411" s="122"/>
      <c r="T411" s="122"/>
      <c r="U411" s="122"/>
      <c r="V411" s="122"/>
      <c r="W411" s="122"/>
      <c r="X411" s="122"/>
      <c r="Y411" s="122"/>
      <c r="Z411" s="122"/>
    </row>
    <row r="412" spans="1:26" ht="12.75" x14ac:dyDescent="0.2">
      <c r="A412" s="122"/>
      <c r="B412" s="179" t="s">
        <v>667</v>
      </c>
      <c r="C412" s="155"/>
      <c r="D412" s="180"/>
      <c r="E412" s="180"/>
      <c r="F412" s="125"/>
      <c r="G412" s="125"/>
      <c r="H412" s="125"/>
      <c r="I412" s="125"/>
      <c r="J412" s="125"/>
      <c r="K412" s="125"/>
      <c r="L412" s="125"/>
      <c r="M412" s="125"/>
      <c r="N412" s="125"/>
      <c r="O412" s="125"/>
      <c r="P412" s="122"/>
      <c r="Q412" s="122"/>
      <c r="R412" s="122"/>
      <c r="S412" s="122"/>
      <c r="T412" s="122"/>
      <c r="U412" s="122"/>
      <c r="V412" s="122"/>
      <c r="W412" s="122"/>
      <c r="X412" s="122"/>
      <c r="Y412" s="122"/>
      <c r="Z412" s="122"/>
    </row>
    <row r="413" spans="1:26" ht="12.75" x14ac:dyDescent="0.2">
      <c r="A413" s="122"/>
      <c r="C413" s="341" t="s">
        <v>671</v>
      </c>
      <c r="D413" s="180"/>
      <c r="E413" s="307" t="s">
        <v>666</v>
      </c>
      <c r="F413" s="125"/>
      <c r="G413" s="125"/>
      <c r="H413" s="125"/>
      <c r="I413" s="125"/>
      <c r="J413" s="125"/>
      <c r="K413" s="125"/>
      <c r="L413" s="125"/>
      <c r="M413" s="125"/>
      <c r="N413" s="125"/>
      <c r="O413" s="125"/>
      <c r="P413" s="122"/>
      <c r="Q413" s="122"/>
      <c r="R413" s="122"/>
      <c r="S413" s="122"/>
      <c r="T413" s="122"/>
      <c r="U413" s="122"/>
      <c r="V413" s="122"/>
      <c r="W413" s="122"/>
      <c r="X413" s="122"/>
      <c r="Y413" s="122"/>
      <c r="Z413" s="122"/>
    </row>
    <row r="414" spans="1:26" ht="12.75" x14ac:dyDescent="0.2">
      <c r="A414" s="122"/>
      <c r="B414" s="192"/>
      <c r="C414" s="188" t="s">
        <v>431</v>
      </c>
      <c r="D414" s="180"/>
      <c r="E414" s="307"/>
      <c r="F414" s="125"/>
      <c r="G414" s="125"/>
      <c r="H414" s="125"/>
      <c r="I414" s="125"/>
      <c r="J414" s="125"/>
      <c r="K414" s="125"/>
      <c r="L414" s="125"/>
      <c r="M414" s="125"/>
      <c r="N414" s="125"/>
      <c r="O414" s="125"/>
      <c r="P414" s="122"/>
      <c r="Q414" s="122"/>
      <c r="R414" s="122"/>
      <c r="S414" s="122"/>
      <c r="T414" s="122"/>
      <c r="U414" s="122"/>
      <c r="V414" s="122"/>
      <c r="W414" s="122"/>
      <c r="X414" s="122"/>
      <c r="Y414" s="122"/>
      <c r="Z414" s="122"/>
    </row>
    <row r="415" spans="1:26" ht="12.75" x14ac:dyDescent="0.2">
      <c r="A415" s="122"/>
      <c r="B415" s="180"/>
      <c r="C415" s="152" t="s">
        <v>428</v>
      </c>
      <c r="D415" s="180"/>
      <c r="E415" s="299">
        <f>CFs!$C$139</f>
        <v>0.98628157029794861</v>
      </c>
      <c r="F415" s="125">
        <f>F298*$E415</f>
        <v>77.462554531200894</v>
      </c>
      <c r="G415" s="125">
        <f>G298*$E415</f>
        <v>103.87328184383728</v>
      </c>
      <c r="H415" s="125">
        <f>H298*$E415</f>
        <v>92.192030425412668</v>
      </c>
      <c r="I415" s="125">
        <f>I298*$E415</f>
        <v>94.589023216473421</v>
      </c>
      <c r="J415" s="125">
        <f>J298*$E415</f>
        <v>83.192260841637236</v>
      </c>
      <c r="K415" s="125">
        <f>K298*$E415</f>
        <v>115.10476336155858</v>
      </c>
      <c r="L415" s="125">
        <f>L298*$E415</f>
        <v>102.16045606311344</v>
      </c>
      <c r="M415" s="125">
        <f>M298*$E415</f>
        <v>104.81662792075439</v>
      </c>
      <c r="N415" s="125">
        <f>N298*$E415</f>
        <v>89.345778819562952</v>
      </c>
      <c r="O415" s="125">
        <f>O298*$E415</f>
        <v>127.55066859675289</v>
      </c>
      <c r="P415" s="122"/>
      <c r="Q415" s="122"/>
      <c r="R415" s="122"/>
      <c r="S415" s="122"/>
      <c r="T415" s="122"/>
      <c r="U415" s="122"/>
      <c r="V415" s="122"/>
      <c r="W415" s="122"/>
      <c r="X415" s="122"/>
      <c r="Y415" s="122"/>
      <c r="Z415" s="122"/>
    </row>
    <row r="416" spans="1:26" ht="12.75" x14ac:dyDescent="0.2">
      <c r="A416" s="122"/>
      <c r="B416" s="180"/>
      <c r="C416" s="152" t="s">
        <v>231</v>
      </c>
      <c r="D416" s="180"/>
      <c r="E416" s="299">
        <f>E415</f>
        <v>0.98628157029794861</v>
      </c>
      <c r="F416" s="125">
        <f>F299*$E416</f>
        <v>7.9786431167136911</v>
      </c>
      <c r="G416" s="125">
        <f>G299*$E416</f>
        <v>10.179581620696055</v>
      </c>
      <c r="H416" s="125">
        <f>H299*$E416</f>
        <v>9.0348189816904441</v>
      </c>
      <c r="I416" s="125">
        <f>I299*$E416</f>
        <v>9.2697242752143953</v>
      </c>
      <c r="J416" s="125">
        <f>J299*$E416</f>
        <v>8.5688028666886353</v>
      </c>
      <c r="K416" s="125">
        <f>K299*$E416</f>
        <v>11.280266809432742</v>
      </c>
      <c r="L416" s="125">
        <f>L299*$E416</f>
        <v>10.011724694185116</v>
      </c>
      <c r="M416" s="125">
        <f>M299*$E416</f>
        <v>10.27202953623393</v>
      </c>
      <c r="N416" s="125">
        <f>N299*$E416</f>
        <v>9.2026152184149836</v>
      </c>
      <c r="O416" s="125">
        <f>O299*$E416</f>
        <v>12.499965522481784</v>
      </c>
      <c r="P416" s="122"/>
      <c r="Q416" s="122"/>
      <c r="R416" s="122"/>
      <c r="S416" s="122"/>
      <c r="T416" s="122"/>
      <c r="U416" s="122"/>
      <c r="V416" s="122"/>
      <c r="W416" s="122"/>
      <c r="X416" s="122"/>
      <c r="Y416" s="122"/>
      <c r="Z416" s="122"/>
    </row>
    <row r="417" spans="1:26" ht="12.75" x14ac:dyDescent="0.2">
      <c r="A417" s="122"/>
      <c r="B417" s="180"/>
      <c r="C417" s="198" t="s">
        <v>432</v>
      </c>
      <c r="D417" s="182"/>
      <c r="E417" s="182"/>
      <c r="F417" s="193">
        <f t="shared" ref="F417:O417" si="100">F415-F416</f>
        <v>69.48391141448721</v>
      </c>
      <c r="G417" s="193">
        <f t="shared" si="100"/>
        <v>93.693700223141221</v>
      </c>
      <c r="H417" s="193">
        <f t="shared" si="100"/>
        <v>83.157211443722218</v>
      </c>
      <c r="I417" s="193">
        <f t="shared" si="100"/>
        <v>85.319298941259021</v>
      </c>
      <c r="J417" s="193">
        <f t="shared" si="100"/>
        <v>74.623457974948593</v>
      </c>
      <c r="K417" s="193">
        <f t="shared" si="100"/>
        <v>103.82449655212584</v>
      </c>
      <c r="L417" s="193">
        <f t="shared" si="100"/>
        <v>92.148731368928324</v>
      </c>
      <c r="M417" s="193">
        <f t="shared" si="100"/>
        <v>94.544598384520455</v>
      </c>
      <c r="N417" s="193">
        <f t="shared" si="100"/>
        <v>80.143163601147961</v>
      </c>
      <c r="O417" s="193">
        <f t="shared" si="100"/>
        <v>115.0507030742711</v>
      </c>
      <c r="P417" s="122"/>
      <c r="Q417" s="122"/>
      <c r="R417" s="122"/>
      <c r="S417" s="122"/>
      <c r="T417" s="122"/>
      <c r="U417" s="122"/>
      <c r="V417" s="122"/>
      <c r="W417" s="122"/>
      <c r="X417" s="122"/>
      <c r="Y417" s="122"/>
      <c r="Z417" s="122"/>
    </row>
    <row r="418" spans="1:26" ht="12.75" x14ac:dyDescent="0.2">
      <c r="A418" s="122"/>
      <c r="B418" s="180"/>
      <c r="C418" s="152"/>
      <c r="D418" s="180"/>
      <c r="E418" s="180"/>
      <c r="F418" s="194"/>
      <c r="G418" s="194"/>
      <c r="H418" s="194"/>
      <c r="I418" s="194"/>
      <c r="J418" s="194"/>
      <c r="K418" s="194"/>
      <c r="L418" s="194"/>
      <c r="M418" s="194"/>
      <c r="N418" s="194"/>
      <c r="O418" s="194"/>
      <c r="P418" s="122"/>
      <c r="Q418" s="122"/>
      <c r="R418" s="122"/>
      <c r="S418" s="122"/>
      <c r="T418" s="122"/>
      <c r="U418" s="122"/>
      <c r="V418" s="122"/>
      <c r="W418" s="122"/>
      <c r="X418" s="122"/>
      <c r="Y418" s="122"/>
      <c r="Z418" s="122"/>
    </row>
    <row r="419" spans="1:26" ht="12.75" x14ac:dyDescent="0.2">
      <c r="A419" s="122"/>
      <c r="B419" s="180"/>
      <c r="C419" s="188" t="s">
        <v>266</v>
      </c>
      <c r="D419" s="180"/>
      <c r="E419" s="180"/>
      <c r="F419" s="194"/>
      <c r="G419" s="194"/>
      <c r="H419" s="194"/>
      <c r="I419" s="194"/>
      <c r="J419" s="194"/>
      <c r="K419" s="194"/>
      <c r="L419" s="194"/>
      <c r="M419" s="194"/>
      <c r="N419" s="194"/>
      <c r="O419" s="194"/>
      <c r="P419" s="122"/>
      <c r="Q419" s="122"/>
      <c r="R419" s="122"/>
      <c r="S419" s="122"/>
      <c r="T419" s="122"/>
      <c r="U419" s="122"/>
      <c r="V419" s="122"/>
      <c r="W419" s="122"/>
      <c r="X419" s="122"/>
      <c r="Y419" s="122"/>
      <c r="Z419" s="122"/>
    </row>
    <row r="420" spans="1:26" ht="12.75" x14ac:dyDescent="0.2">
      <c r="A420" s="122"/>
      <c r="B420" s="180"/>
      <c r="C420" s="155" t="s">
        <v>267</v>
      </c>
      <c r="D420" s="180"/>
      <c r="E420" s="299">
        <v>0</v>
      </c>
      <c r="F420" s="125">
        <f>F303*$E420</f>
        <v>0</v>
      </c>
      <c r="G420" s="125">
        <f>G303*$E420</f>
        <v>0</v>
      </c>
      <c r="H420" s="125">
        <f>H303*$E420</f>
        <v>0</v>
      </c>
      <c r="I420" s="125">
        <f>I303*$E420</f>
        <v>0</v>
      </c>
      <c r="J420" s="125">
        <f>J303*$E420</f>
        <v>0</v>
      </c>
      <c r="K420" s="125">
        <f>K303*$E420</f>
        <v>0</v>
      </c>
      <c r="L420" s="125">
        <f>L303*$E420</f>
        <v>0</v>
      </c>
      <c r="M420" s="125">
        <f>M303*$E420</f>
        <v>0</v>
      </c>
      <c r="N420" s="125">
        <f>N303*$E420</f>
        <v>0</v>
      </c>
      <c r="O420" s="125">
        <f>O303*$E420</f>
        <v>0</v>
      </c>
      <c r="P420" s="122"/>
      <c r="Q420" s="122"/>
      <c r="R420" s="122"/>
      <c r="S420" s="122"/>
      <c r="T420" s="122"/>
      <c r="U420" s="122"/>
      <c r="V420" s="122"/>
      <c r="W420" s="122"/>
      <c r="X420" s="122"/>
      <c r="Y420" s="122"/>
      <c r="Z420" s="122"/>
    </row>
    <row r="421" spans="1:26" ht="12.75" x14ac:dyDescent="0.2">
      <c r="A421" s="122"/>
      <c r="B421" s="180"/>
      <c r="C421" s="155" t="s">
        <v>138</v>
      </c>
      <c r="D421" s="180"/>
      <c r="E421" s="299">
        <v>0</v>
      </c>
      <c r="F421" s="125">
        <f>F304*$E421</f>
        <v>0</v>
      </c>
      <c r="G421" s="125">
        <f>G304*$E421</f>
        <v>0</v>
      </c>
      <c r="H421" s="125">
        <f>H304*$E421</f>
        <v>0</v>
      </c>
      <c r="I421" s="125">
        <f>I304*$E421</f>
        <v>0</v>
      </c>
      <c r="J421" s="125">
        <f>J304*$E421</f>
        <v>0</v>
      </c>
      <c r="K421" s="125">
        <f>K304*$E421</f>
        <v>0</v>
      </c>
      <c r="L421" s="125">
        <f>L304*$E421</f>
        <v>0</v>
      </c>
      <c r="M421" s="125">
        <f>M304*$E421</f>
        <v>0</v>
      </c>
      <c r="N421" s="125">
        <f>N304*$E421</f>
        <v>0</v>
      </c>
      <c r="O421" s="125">
        <f>O304*$E421</f>
        <v>0</v>
      </c>
      <c r="P421" s="122"/>
      <c r="Q421" s="122"/>
      <c r="R421" s="122"/>
      <c r="S421" s="122"/>
      <c r="T421" s="122"/>
      <c r="U421" s="122"/>
      <c r="V421" s="122"/>
      <c r="W421" s="122"/>
      <c r="X421" s="122"/>
      <c r="Y421" s="122"/>
      <c r="Z421" s="122"/>
    </row>
    <row r="422" spans="1:26" ht="12.75" x14ac:dyDescent="0.2">
      <c r="A422" s="122"/>
      <c r="B422" s="180"/>
      <c r="C422" s="198" t="s">
        <v>247</v>
      </c>
      <c r="D422" s="182"/>
      <c r="E422" s="182"/>
      <c r="F422" s="193">
        <f>SUM(F420:F421)</f>
        <v>0</v>
      </c>
      <c r="G422" s="193">
        <f t="shared" ref="G422:O422" si="101">SUM(G420:G421)</f>
        <v>0</v>
      </c>
      <c r="H422" s="193">
        <f t="shared" si="101"/>
        <v>0</v>
      </c>
      <c r="I422" s="193">
        <f t="shared" si="101"/>
        <v>0</v>
      </c>
      <c r="J422" s="193">
        <f t="shared" si="101"/>
        <v>0</v>
      </c>
      <c r="K422" s="193">
        <f t="shared" si="101"/>
        <v>0</v>
      </c>
      <c r="L422" s="193">
        <f t="shared" si="101"/>
        <v>0</v>
      </c>
      <c r="M422" s="193">
        <f t="shared" si="101"/>
        <v>0</v>
      </c>
      <c r="N422" s="193">
        <f t="shared" si="101"/>
        <v>0</v>
      </c>
      <c r="O422" s="193">
        <f t="shared" si="101"/>
        <v>0</v>
      </c>
      <c r="P422" s="122"/>
      <c r="Q422" s="122"/>
      <c r="R422" s="122"/>
      <c r="S422" s="122"/>
      <c r="T422" s="122"/>
      <c r="U422" s="122"/>
      <c r="V422" s="122"/>
      <c r="W422" s="122"/>
      <c r="X422" s="122"/>
      <c r="Y422" s="122"/>
      <c r="Z422" s="122"/>
    </row>
    <row r="423" spans="1:26" ht="12.75" x14ac:dyDescent="0.2">
      <c r="A423" s="122"/>
      <c r="B423" s="180"/>
      <c r="C423" s="152"/>
      <c r="D423" s="180"/>
      <c r="E423" s="180"/>
      <c r="F423" s="194"/>
      <c r="G423" s="194"/>
      <c r="H423" s="194"/>
      <c r="I423" s="194"/>
      <c r="J423" s="194"/>
      <c r="K423" s="194"/>
      <c r="L423" s="194"/>
      <c r="M423" s="194"/>
      <c r="N423" s="194"/>
      <c r="O423" s="194"/>
      <c r="P423" s="122"/>
      <c r="Q423" s="122"/>
      <c r="R423" s="122"/>
      <c r="S423" s="122"/>
      <c r="T423" s="122"/>
      <c r="U423" s="122"/>
      <c r="V423" s="122"/>
      <c r="W423" s="122"/>
      <c r="X423" s="122"/>
      <c r="Y423" s="122"/>
      <c r="Z423" s="122"/>
    </row>
    <row r="424" spans="1:26" ht="12.75" x14ac:dyDescent="0.2">
      <c r="A424" s="122"/>
      <c r="B424" s="180"/>
      <c r="C424" s="342" t="s">
        <v>675</v>
      </c>
      <c r="D424" s="195"/>
      <c r="E424" s="195"/>
      <c r="F424" s="196">
        <f>F417+F422</f>
        <v>69.48391141448721</v>
      </c>
      <c r="G424" s="196">
        <f t="shared" ref="G424:O424" si="102">G417+G422</f>
        <v>93.693700223141221</v>
      </c>
      <c r="H424" s="196">
        <f t="shared" si="102"/>
        <v>83.157211443722218</v>
      </c>
      <c r="I424" s="196">
        <f t="shared" si="102"/>
        <v>85.319298941259021</v>
      </c>
      <c r="J424" s="196">
        <f t="shared" si="102"/>
        <v>74.623457974948593</v>
      </c>
      <c r="K424" s="196">
        <f t="shared" si="102"/>
        <v>103.82449655212584</v>
      </c>
      <c r="L424" s="196">
        <f t="shared" si="102"/>
        <v>92.148731368928324</v>
      </c>
      <c r="M424" s="196">
        <f t="shared" si="102"/>
        <v>94.544598384520455</v>
      </c>
      <c r="N424" s="196">
        <f t="shared" si="102"/>
        <v>80.143163601147961</v>
      </c>
      <c r="O424" s="196">
        <f t="shared" si="102"/>
        <v>115.0507030742711</v>
      </c>
      <c r="P424" s="122"/>
      <c r="Q424" s="122"/>
      <c r="R424" s="122"/>
      <c r="S424" s="122"/>
      <c r="T424" s="122"/>
      <c r="U424" s="122"/>
      <c r="V424" s="122"/>
      <c r="W424" s="122"/>
      <c r="X424" s="122"/>
      <c r="Y424" s="122"/>
      <c r="Z424" s="122"/>
    </row>
    <row r="425" spans="1:26" ht="12.75" x14ac:dyDescent="0.2">
      <c r="A425" s="122"/>
      <c r="B425" s="180"/>
      <c r="C425" s="155"/>
      <c r="D425" s="180"/>
      <c r="E425" s="180"/>
      <c r="F425" s="180"/>
      <c r="G425" s="180"/>
      <c r="H425" s="180"/>
      <c r="I425" s="180"/>
      <c r="J425" s="180"/>
      <c r="K425" s="180"/>
      <c r="L425" s="180"/>
      <c r="M425" s="180"/>
      <c r="N425" s="180"/>
      <c r="O425" s="180"/>
      <c r="P425" s="122"/>
      <c r="Q425" s="122"/>
      <c r="R425" s="122"/>
      <c r="S425" s="122"/>
      <c r="T425" s="122"/>
      <c r="U425" s="122"/>
      <c r="V425" s="122"/>
      <c r="W425" s="122"/>
      <c r="X425" s="122"/>
      <c r="Y425" s="122"/>
      <c r="Z425" s="122"/>
    </row>
    <row r="426" spans="1:26" ht="12.75" x14ac:dyDescent="0.2">
      <c r="A426" s="122"/>
      <c r="C426" s="341" t="s">
        <v>670</v>
      </c>
      <c r="D426" s="180"/>
      <c r="E426" s="180"/>
      <c r="F426" s="180"/>
      <c r="G426" s="180"/>
      <c r="H426" s="180"/>
      <c r="I426" s="180"/>
      <c r="J426" s="180"/>
      <c r="K426" s="180"/>
      <c r="L426" s="180"/>
      <c r="M426" s="180"/>
      <c r="N426" s="180"/>
      <c r="O426" s="180"/>
      <c r="P426" s="122"/>
      <c r="Q426" s="122"/>
      <c r="R426" s="122"/>
      <c r="S426" s="122"/>
      <c r="T426" s="122"/>
      <c r="U426" s="122"/>
      <c r="V426" s="122"/>
      <c r="W426" s="122"/>
      <c r="X426" s="122"/>
      <c r="Y426" s="122"/>
      <c r="Z426" s="122"/>
    </row>
    <row r="427" spans="1:26" ht="12.75" x14ac:dyDescent="0.2">
      <c r="A427" s="122"/>
      <c r="B427" s="192"/>
      <c r="C427" s="188" t="s">
        <v>144</v>
      </c>
      <c r="D427" s="180"/>
      <c r="E427" s="180"/>
      <c r="F427" s="180"/>
      <c r="G427" s="180"/>
      <c r="H427" s="180"/>
      <c r="I427" s="180"/>
      <c r="J427" s="180"/>
      <c r="K427" s="180"/>
      <c r="L427" s="180"/>
      <c r="M427" s="180"/>
      <c r="N427" s="180"/>
      <c r="O427" s="180"/>
      <c r="P427" s="122"/>
      <c r="Q427" s="122"/>
      <c r="R427" s="122"/>
      <c r="S427" s="122"/>
      <c r="T427" s="122"/>
      <c r="U427" s="122"/>
      <c r="V427" s="122"/>
      <c r="W427" s="122"/>
      <c r="X427" s="122"/>
      <c r="Y427" s="122"/>
      <c r="Z427" s="122"/>
    </row>
    <row r="428" spans="1:26" ht="12.75" x14ac:dyDescent="0.2">
      <c r="A428" s="122"/>
      <c r="B428" s="192"/>
      <c r="C428" s="155" t="s">
        <v>245</v>
      </c>
      <c r="D428" s="180"/>
      <c r="E428" s="299">
        <v>0</v>
      </c>
      <c r="F428" s="125">
        <f>F311*$E428</f>
        <v>0</v>
      </c>
      <c r="G428" s="125">
        <f>G311*$E428</f>
        <v>0</v>
      </c>
      <c r="H428" s="125">
        <f>H311*$E428</f>
        <v>0</v>
      </c>
      <c r="I428" s="125">
        <f>I311*$E428</f>
        <v>0</v>
      </c>
      <c r="J428" s="125">
        <f>J311*$E428</f>
        <v>0</v>
      </c>
      <c r="K428" s="125">
        <f>K311*$E428</f>
        <v>0</v>
      </c>
      <c r="L428" s="125">
        <f>L311*$E428</f>
        <v>0</v>
      </c>
      <c r="M428" s="125">
        <f>M311*$E428</f>
        <v>0</v>
      </c>
      <c r="N428" s="125">
        <f>N311*$E428</f>
        <v>0</v>
      </c>
      <c r="O428" s="125">
        <f>O311*$E428</f>
        <v>0</v>
      </c>
      <c r="P428" s="122"/>
      <c r="Q428" s="122"/>
      <c r="R428" s="122"/>
      <c r="S428" s="122"/>
      <c r="T428" s="122"/>
      <c r="U428" s="122"/>
      <c r="V428" s="122"/>
      <c r="W428" s="122"/>
      <c r="X428" s="122"/>
      <c r="Y428" s="122"/>
      <c r="Z428" s="122"/>
    </row>
    <row r="429" spans="1:26" ht="12.75" x14ac:dyDescent="0.2">
      <c r="A429" s="122"/>
      <c r="B429" s="192"/>
      <c r="C429" s="198" t="s">
        <v>245</v>
      </c>
      <c r="D429" s="182"/>
      <c r="E429" s="182"/>
      <c r="F429" s="193">
        <f>F428</f>
        <v>0</v>
      </c>
      <c r="G429" s="193">
        <f t="shared" ref="G429:O429" si="103">G428</f>
        <v>0</v>
      </c>
      <c r="H429" s="193">
        <f t="shared" si="103"/>
        <v>0</v>
      </c>
      <c r="I429" s="193">
        <f t="shared" si="103"/>
        <v>0</v>
      </c>
      <c r="J429" s="193">
        <f t="shared" si="103"/>
        <v>0</v>
      </c>
      <c r="K429" s="193">
        <f t="shared" si="103"/>
        <v>0</v>
      </c>
      <c r="L429" s="193">
        <f t="shared" si="103"/>
        <v>0</v>
      </c>
      <c r="M429" s="193">
        <f t="shared" si="103"/>
        <v>0</v>
      </c>
      <c r="N429" s="193">
        <f t="shared" si="103"/>
        <v>0</v>
      </c>
      <c r="O429" s="193">
        <f t="shared" si="103"/>
        <v>0</v>
      </c>
      <c r="P429" s="122"/>
      <c r="Q429" s="122"/>
      <c r="R429" s="122"/>
      <c r="S429" s="122"/>
      <c r="T429" s="122"/>
      <c r="U429" s="122"/>
      <c r="V429" s="122"/>
      <c r="W429" s="122"/>
      <c r="X429" s="122"/>
      <c r="Y429" s="122"/>
      <c r="Z429" s="122"/>
    </row>
    <row r="430" spans="1:26" ht="12.75" x14ac:dyDescent="0.2">
      <c r="A430" s="122"/>
      <c r="B430" s="192"/>
      <c r="C430" s="232"/>
      <c r="D430" s="180"/>
      <c r="E430" s="180"/>
      <c r="F430" s="180"/>
      <c r="G430" s="180"/>
      <c r="H430" s="180"/>
      <c r="I430" s="180"/>
      <c r="J430" s="180"/>
      <c r="K430" s="180"/>
      <c r="L430" s="180"/>
      <c r="M430" s="180"/>
      <c r="N430" s="180"/>
      <c r="O430" s="180"/>
      <c r="P430" s="122"/>
      <c r="Q430" s="122"/>
      <c r="R430" s="122"/>
      <c r="S430" s="122"/>
      <c r="T430" s="122"/>
      <c r="U430" s="122"/>
      <c r="V430" s="122"/>
      <c r="W430" s="122"/>
      <c r="X430" s="122"/>
      <c r="Y430" s="122"/>
      <c r="Z430" s="122"/>
    </row>
    <row r="431" spans="1:26" ht="12.75" x14ac:dyDescent="0.2">
      <c r="A431" s="122"/>
      <c r="B431" s="180"/>
      <c r="C431" s="188" t="s">
        <v>218</v>
      </c>
      <c r="D431" s="180"/>
      <c r="E431" s="180"/>
      <c r="F431" s="180"/>
      <c r="G431" s="180"/>
      <c r="H431" s="180"/>
      <c r="I431" s="180"/>
      <c r="J431" s="180"/>
      <c r="K431" s="180"/>
      <c r="L431" s="180"/>
      <c r="M431" s="180"/>
      <c r="N431" s="180"/>
      <c r="O431" s="180"/>
      <c r="P431" s="122"/>
      <c r="Q431" s="122"/>
      <c r="R431" s="122"/>
      <c r="S431" s="122"/>
      <c r="T431" s="122"/>
      <c r="U431" s="122"/>
      <c r="V431" s="122"/>
      <c r="W431" s="122"/>
      <c r="X431" s="122"/>
      <c r="Y431" s="122"/>
      <c r="Z431" s="122"/>
    </row>
    <row r="432" spans="1:26" ht="12.75" x14ac:dyDescent="0.2">
      <c r="A432" s="122"/>
      <c r="B432" s="180"/>
      <c r="C432" s="228" t="s">
        <v>272</v>
      </c>
      <c r="D432" s="180"/>
      <c r="E432" s="299">
        <v>1</v>
      </c>
      <c r="F432" s="125">
        <f>F315*$E432</f>
        <v>6.1920799999999998</v>
      </c>
      <c r="G432" s="125">
        <f>G315*$E432</f>
        <v>7.5218930769230772</v>
      </c>
      <c r="H432" s="125">
        <f>H315*$E432</f>
        <v>7.5218930769230772</v>
      </c>
      <c r="I432" s="125">
        <f>I315*$E432</f>
        <v>7.5218930769230772</v>
      </c>
      <c r="J432" s="125">
        <f>J315*$E432</f>
        <v>6.1920799999999998</v>
      </c>
      <c r="K432" s="125">
        <f>K315*$E432</f>
        <v>7.5218930769230772</v>
      </c>
      <c r="L432" s="125">
        <f>L315*$E432</f>
        <v>7.5218930769230772</v>
      </c>
      <c r="M432" s="125">
        <f>M315*$E432</f>
        <v>7.5218930769230763</v>
      </c>
      <c r="N432" s="125">
        <f>N315*$E432</f>
        <v>6.1920799999999998</v>
      </c>
      <c r="O432" s="125">
        <f>O315*$E432</f>
        <v>7.5218930769230763</v>
      </c>
      <c r="P432" s="122"/>
      <c r="Q432" s="122"/>
      <c r="R432" s="122"/>
      <c r="S432" s="122"/>
      <c r="T432" s="122"/>
      <c r="U432" s="122"/>
      <c r="V432" s="122"/>
      <c r="W432" s="122"/>
      <c r="X432" s="122"/>
      <c r="Y432" s="122"/>
      <c r="Z432" s="122"/>
    </row>
    <row r="433" spans="1:26" ht="12.75" x14ac:dyDescent="0.2">
      <c r="A433" s="122"/>
      <c r="B433" s="180"/>
      <c r="C433" s="228" t="s">
        <v>273</v>
      </c>
      <c r="D433" s="180"/>
      <c r="E433" s="299">
        <v>1</v>
      </c>
      <c r="F433" s="125">
        <f>F316*$E433</f>
        <v>4.386000000000001</v>
      </c>
      <c r="G433" s="125">
        <f>G316*$E433</f>
        <v>4.1604954999999997</v>
      </c>
      <c r="H433" s="125">
        <f>H316*$E433</f>
        <v>4.1604954999999997</v>
      </c>
      <c r="I433" s="125">
        <f>I316*$E433</f>
        <v>4.1604954999999988</v>
      </c>
      <c r="J433" s="125">
        <f>J316*$E433</f>
        <v>4.386000000000001</v>
      </c>
      <c r="K433" s="125">
        <f>K316*$E433</f>
        <v>4.1604954999999988</v>
      </c>
      <c r="L433" s="125">
        <f>L316*$E433</f>
        <v>4.1604954999999997</v>
      </c>
      <c r="M433" s="125">
        <f>M316*$E433</f>
        <v>4.1604954999999988</v>
      </c>
      <c r="N433" s="125">
        <f>N316*$E433</f>
        <v>4.386000000000001</v>
      </c>
      <c r="O433" s="125">
        <f>O316*$E433</f>
        <v>4.1604954999999988</v>
      </c>
      <c r="P433" s="122"/>
      <c r="Q433" s="122"/>
      <c r="R433" s="122"/>
      <c r="S433" s="122"/>
      <c r="T433" s="122"/>
      <c r="U433" s="122"/>
      <c r="V433" s="122"/>
      <c r="W433" s="122"/>
      <c r="X433" s="122"/>
      <c r="Y433" s="122"/>
      <c r="Z433" s="122"/>
    </row>
    <row r="434" spans="1:26" ht="12.75" x14ac:dyDescent="0.2">
      <c r="A434" s="122"/>
      <c r="B434" s="180"/>
      <c r="C434" s="228" t="s">
        <v>274</v>
      </c>
      <c r="D434" s="180"/>
      <c r="E434" s="299">
        <v>1</v>
      </c>
      <c r="F434" s="125">
        <f>F317*$E434</f>
        <v>3.1008</v>
      </c>
      <c r="G434" s="125">
        <f>G317*$E434</f>
        <v>4.4537594594594587</v>
      </c>
      <c r="H434" s="125">
        <f>H317*$E434</f>
        <v>4.4537594594594596</v>
      </c>
      <c r="I434" s="125">
        <f>I317*$E434</f>
        <v>4.4537594594594587</v>
      </c>
      <c r="J434" s="125">
        <f>J317*$E434</f>
        <v>3.1008000000000004</v>
      </c>
      <c r="K434" s="125">
        <f>K317*$E434</f>
        <v>4.4537594594594596</v>
      </c>
      <c r="L434" s="125">
        <f>L317*$E434</f>
        <v>4.4537594594594596</v>
      </c>
      <c r="M434" s="125">
        <f>M317*$E434</f>
        <v>4.4537594594594596</v>
      </c>
      <c r="N434" s="125">
        <f>N317*$E434</f>
        <v>3.1008000000000004</v>
      </c>
      <c r="O434" s="125">
        <f>O317*$E434</f>
        <v>4.4537594594594596</v>
      </c>
      <c r="P434" s="122"/>
      <c r="Q434" s="122"/>
      <c r="R434" s="122"/>
      <c r="S434" s="122"/>
      <c r="T434" s="122"/>
      <c r="U434" s="122"/>
      <c r="V434" s="122"/>
      <c r="W434" s="122"/>
      <c r="X434" s="122"/>
      <c r="Y434" s="122"/>
      <c r="Z434" s="122"/>
    </row>
    <row r="435" spans="1:26" ht="12.75" x14ac:dyDescent="0.2">
      <c r="A435" s="122"/>
      <c r="B435" s="180"/>
      <c r="C435" s="228" t="s">
        <v>275</v>
      </c>
      <c r="D435" s="180"/>
      <c r="E435" s="299">
        <v>1</v>
      </c>
      <c r="F435" s="125">
        <f>F318*$E435</f>
        <v>4.286448</v>
      </c>
      <c r="G435" s="125">
        <f>G318*$E435</f>
        <v>9.570024856694122</v>
      </c>
      <c r="H435" s="125">
        <f>H318*$E435</f>
        <v>8.2785682151333244</v>
      </c>
      <c r="I435" s="125">
        <f>I318*$E435</f>
        <v>8.2785682151333226</v>
      </c>
      <c r="J435" s="125">
        <f>J318*$E435</f>
        <v>4.286448</v>
      </c>
      <c r="K435" s="125">
        <f>K318*$E435</f>
        <v>9.570024856694122</v>
      </c>
      <c r="L435" s="125">
        <f>L318*$E435</f>
        <v>8.2785682151333244</v>
      </c>
      <c r="M435" s="125">
        <f>M318*$E435</f>
        <v>8.2785682151333244</v>
      </c>
      <c r="N435" s="125">
        <f>N318*$E435</f>
        <v>4.286448</v>
      </c>
      <c r="O435" s="125">
        <f>O318*$E435</f>
        <v>9.570024856694122</v>
      </c>
      <c r="P435" s="122"/>
      <c r="Q435" s="122"/>
      <c r="R435" s="122"/>
      <c r="S435" s="122"/>
      <c r="T435" s="122"/>
      <c r="U435" s="122"/>
      <c r="V435" s="122"/>
      <c r="W435" s="122"/>
      <c r="X435" s="122"/>
      <c r="Y435" s="122"/>
      <c r="Z435" s="122"/>
    </row>
    <row r="436" spans="1:26" ht="12.75" x14ac:dyDescent="0.2">
      <c r="A436" s="122"/>
      <c r="B436" s="180"/>
      <c r="C436" s="152" t="s">
        <v>293</v>
      </c>
      <c r="D436" s="180"/>
      <c r="E436" s="299">
        <v>1</v>
      </c>
      <c r="F436" s="125">
        <f>F319*$E436</f>
        <v>6.0112000000000005</v>
      </c>
      <c r="G436" s="125">
        <f>G319*$E436</f>
        <v>7.131086511627907</v>
      </c>
      <c r="H436" s="125">
        <f>H319*$E436</f>
        <v>7.131086511627907</v>
      </c>
      <c r="I436" s="125">
        <f>I319*$E436</f>
        <v>7.131086511627907</v>
      </c>
      <c r="J436" s="125">
        <f>J319*$E436</f>
        <v>6.0112000000000005</v>
      </c>
      <c r="K436" s="125">
        <f>K319*$E436</f>
        <v>7.1310865116279079</v>
      </c>
      <c r="L436" s="125">
        <f>L319*$E436</f>
        <v>7.131086511627907</v>
      </c>
      <c r="M436" s="125">
        <f>M319*$E436</f>
        <v>7.1310865116279079</v>
      </c>
      <c r="N436" s="125">
        <f>N319*$E436</f>
        <v>6.0112000000000014</v>
      </c>
      <c r="O436" s="125">
        <f>O319*$E436</f>
        <v>7.131086511627907</v>
      </c>
      <c r="P436" s="122"/>
      <c r="Q436" s="122"/>
      <c r="R436" s="122"/>
      <c r="S436" s="122"/>
      <c r="T436" s="122"/>
      <c r="U436" s="122"/>
      <c r="V436" s="122"/>
      <c r="W436" s="122"/>
      <c r="X436" s="122"/>
      <c r="Y436" s="122"/>
      <c r="Z436" s="122"/>
    </row>
    <row r="437" spans="1:26" ht="12.75" x14ac:dyDescent="0.2">
      <c r="A437" s="122"/>
      <c r="B437" s="180"/>
      <c r="C437" s="228" t="s">
        <v>278</v>
      </c>
      <c r="D437" s="180"/>
      <c r="E437" s="299">
        <v>1</v>
      </c>
      <c r="F437" s="125">
        <f>F320*$E437</f>
        <v>31.385400000000001</v>
      </c>
      <c r="G437" s="125">
        <f>G320*$E437</f>
        <v>24.550149391110523</v>
      </c>
      <c r="H437" s="125">
        <f>H320*$E437</f>
        <v>24.550149391110526</v>
      </c>
      <c r="I437" s="125">
        <f>I320*$E437</f>
        <v>24.550149391110526</v>
      </c>
      <c r="J437" s="125">
        <f>J320*$E437</f>
        <v>31.385400000000001</v>
      </c>
      <c r="K437" s="125">
        <f>K320*$E437</f>
        <v>24.550149391110523</v>
      </c>
      <c r="L437" s="125">
        <f>L320*$E437</f>
        <v>24.550149391110526</v>
      </c>
      <c r="M437" s="125">
        <f>M320*$E437</f>
        <v>24.550149391110523</v>
      </c>
      <c r="N437" s="125">
        <f>N320*$E437</f>
        <v>31.385400000000001</v>
      </c>
      <c r="O437" s="125">
        <f>O320*$E437</f>
        <v>24.550149391110526</v>
      </c>
      <c r="P437" s="122"/>
      <c r="Q437" s="122"/>
      <c r="R437" s="122"/>
      <c r="S437" s="122"/>
      <c r="T437" s="122"/>
      <c r="U437" s="122"/>
      <c r="V437" s="122"/>
      <c r="W437" s="122"/>
      <c r="X437" s="122"/>
      <c r="Y437" s="122"/>
      <c r="Z437" s="122"/>
    </row>
    <row r="438" spans="1:26" ht="12.75" x14ac:dyDescent="0.2">
      <c r="A438" s="122"/>
      <c r="B438" s="180"/>
      <c r="C438" s="152" t="s">
        <v>85</v>
      </c>
      <c r="D438" s="180"/>
      <c r="E438" s="299">
        <v>1</v>
      </c>
      <c r="F438" s="125">
        <f>F321*$E438</f>
        <v>0</v>
      </c>
      <c r="G438" s="125">
        <f>G321*$E438</f>
        <v>0</v>
      </c>
      <c r="H438" s="125">
        <f>H321*$E438</f>
        <v>0</v>
      </c>
      <c r="I438" s="125">
        <f>I321*$E438</f>
        <v>0</v>
      </c>
      <c r="J438" s="125">
        <f>J321*$E438</f>
        <v>0</v>
      </c>
      <c r="K438" s="125">
        <f>K321*$E438</f>
        <v>0</v>
      </c>
      <c r="L438" s="125">
        <f>L321*$E438</f>
        <v>0</v>
      </c>
      <c r="M438" s="125">
        <f>M321*$E438</f>
        <v>0</v>
      </c>
      <c r="N438" s="125">
        <f>N321*$E438</f>
        <v>0</v>
      </c>
      <c r="O438" s="125">
        <f>O321*$E438</f>
        <v>0</v>
      </c>
      <c r="P438" s="122"/>
      <c r="Q438" s="122"/>
      <c r="R438" s="122"/>
      <c r="S438" s="122"/>
      <c r="T438" s="122"/>
      <c r="U438" s="122"/>
      <c r="V438" s="122"/>
      <c r="W438" s="122"/>
      <c r="X438" s="122"/>
      <c r="Y438" s="122"/>
      <c r="Z438" s="122"/>
    </row>
    <row r="439" spans="1:26" ht="12.75" x14ac:dyDescent="0.2">
      <c r="A439" s="122"/>
      <c r="B439" s="180"/>
      <c r="C439" s="198" t="s">
        <v>207</v>
      </c>
      <c r="D439" s="182"/>
      <c r="E439" s="182"/>
      <c r="F439" s="193">
        <f>SUM(F432:F438)</f>
        <v>55.361928000000006</v>
      </c>
      <c r="G439" s="193">
        <f t="shared" ref="G439:O439" si="104">SUM(G432:G438)</f>
        <v>57.387408795815091</v>
      </c>
      <c r="H439" s="193">
        <f t="shared" si="104"/>
        <v>56.095952154254292</v>
      </c>
      <c r="I439" s="193">
        <f t="shared" si="104"/>
        <v>56.095952154254292</v>
      </c>
      <c r="J439" s="193">
        <f t="shared" si="104"/>
        <v>55.361928000000006</v>
      </c>
      <c r="K439" s="193">
        <f t="shared" si="104"/>
        <v>57.387408795815091</v>
      </c>
      <c r="L439" s="193">
        <f t="shared" si="104"/>
        <v>56.095952154254292</v>
      </c>
      <c r="M439" s="193">
        <f t="shared" si="104"/>
        <v>56.095952154254284</v>
      </c>
      <c r="N439" s="193">
        <f t="shared" si="104"/>
        <v>55.361928000000006</v>
      </c>
      <c r="O439" s="193">
        <f t="shared" si="104"/>
        <v>57.387408795815091</v>
      </c>
      <c r="P439" s="122"/>
      <c r="Q439" s="122"/>
      <c r="R439" s="122"/>
      <c r="S439" s="122"/>
      <c r="T439" s="122"/>
      <c r="U439" s="122"/>
      <c r="V439" s="122"/>
      <c r="W439" s="122"/>
      <c r="X439" s="122"/>
      <c r="Y439" s="122"/>
      <c r="Z439" s="122"/>
    </row>
    <row r="440" spans="1:26" ht="12.75" x14ac:dyDescent="0.2">
      <c r="A440" s="122"/>
      <c r="B440" s="180"/>
      <c r="C440" s="155"/>
      <c r="D440" s="180"/>
      <c r="E440" s="180"/>
      <c r="F440" s="180"/>
      <c r="G440" s="180"/>
      <c r="H440" s="180"/>
      <c r="I440" s="180"/>
      <c r="J440" s="180"/>
      <c r="K440" s="180"/>
      <c r="L440" s="180"/>
      <c r="M440" s="180"/>
      <c r="N440" s="180"/>
      <c r="O440" s="180"/>
      <c r="P440" s="122"/>
      <c r="Q440" s="122"/>
      <c r="R440" s="122"/>
      <c r="S440" s="122"/>
      <c r="T440" s="122"/>
      <c r="U440" s="122"/>
      <c r="V440" s="122"/>
      <c r="W440" s="122"/>
      <c r="X440" s="122"/>
      <c r="Y440" s="122"/>
      <c r="Z440" s="122"/>
    </row>
    <row r="441" spans="1:26" ht="12.75" x14ac:dyDescent="0.2">
      <c r="A441" s="122"/>
      <c r="B441" s="180"/>
      <c r="C441" s="188" t="s">
        <v>215</v>
      </c>
      <c r="D441" s="180"/>
      <c r="E441" s="180"/>
      <c r="F441" s="183"/>
      <c r="G441" s="183"/>
      <c r="H441" s="183"/>
      <c r="I441" s="183"/>
      <c r="J441" s="183"/>
      <c r="K441" s="183"/>
      <c r="L441" s="183"/>
      <c r="M441" s="183"/>
      <c r="N441" s="183"/>
      <c r="O441" s="183"/>
      <c r="P441" s="122"/>
      <c r="Q441" s="122"/>
      <c r="R441" s="122"/>
      <c r="S441" s="122"/>
      <c r="T441" s="122"/>
      <c r="U441" s="122"/>
      <c r="V441" s="122"/>
      <c r="W441" s="122"/>
      <c r="X441" s="122"/>
      <c r="Y441" s="122"/>
      <c r="Z441" s="122"/>
    </row>
    <row r="442" spans="1:26" ht="12.75" x14ac:dyDescent="0.2">
      <c r="A442" s="122"/>
      <c r="B442" s="180"/>
      <c r="C442" s="155" t="s">
        <v>110</v>
      </c>
      <c r="D442" s="180"/>
      <c r="E442" s="299">
        <v>1</v>
      </c>
      <c r="F442" s="125">
        <f>F325*$E442</f>
        <v>2.38</v>
      </c>
      <c r="G442" s="125">
        <f>G325*$E442</f>
        <v>6.21936</v>
      </c>
      <c r="H442" s="125">
        <f>H325*$E442</f>
        <v>6.21936</v>
      </c>
      <c r="I442" s="125">
        <f>I325*$E442</f>
        <v>6.21936</v>
      </c>
      <c r="J442" s="125">
        <f>J325*$E442</f>
        <v>2.3800000000000003</v>
      </c>
      <c r="K442" s="125">
        <f>K325*$E442</f>
        <v>6.21936</v>
      </c>
      <c r="L442" s="125">
        <f>L325*$E442</f>
        <v>6.2193599999999991</v>
      </c>
      <c r="M442" s="125">
        <f>M325*$E442</f>
        <v>6.2193599999999991</v>
      </c>
      <c r="N442" s="125">
        <f>N325*$E442</f>
        <v>2.3800000000000003</v>
      </c>
      <c r="O442" s="125">
        <f>O325*$E442</f>
        <v>6.2193599999999991</v>
      </c>
      <c r="P442" s="122"/>
      <c r="Q442" s="122"/>
      <c r="R442" s="122"/>
      <c r="S442" s="122"/>
      <c r="T442" s="122"/>
      <c r="U442" s="122"/>
      <c r="V442" s="122"/>
      <c r="W442" s="122"/>
      <c r="X442" s="122"/>
      <c r="Y442" s="122"/>
      <c r="Z442" s="122"/>
    </row>
    <row r="443" spans="1:26" ht="12.75" x14ac:dyDescent="0.2">
      <c r="A443" s="122"/>
      <c r="B443" s="155"/>
      <c r="C443" s="184" t="s">
        <v>283</v>
      </c>
      <c r="D443" s="184"/>
      <c r="E443" s="343">
        <v>1</v>
      </c>
      <c r="F443" s="125">
        <f>F326*$E443</f>
        <v>2.5110399999999999</v>
      </c>
      <c r="G443" s="125">
        <f>G326*$E443</f>
        <v>3.74369</v>
      </c>
      <c r="H443" s="125">
        <f>H326*$E443</f>
        <v>3.74369</v>
      </c>
      <c r="I443" s="125">
        <f>I326*$E443</f>
        <v>3.7436899999999995</v>
      </c>
      <c r="J443" s="125">
        <f>J326*$E443</f>
        <v>2.5110399999999999</v>
      </c>
      <c r="K443" s="125">
        <f>K326*$E443</f>
        <v>3.74369</v>
      </c>
      <c r="L443" s="125">
        <f>L326*$E443</f>
        <v>3.74369</v>
      </c>
      <c r="M443" s="125">
        <f>M326*$E443</f>
        <v>3.74369</v>
      </c>
      <c r="N443" s="125">
        <f>N326*$E443</f>
        <v>2.5110399999999999</v>
      </c>
      <c r="O443" s="125">
        <f>O326*$E443</f>
        <v>3.74369</v>
      </c>
      <c r="P443" s="122"/>
      <c r="Q443" s="122"/>
      <c r="R443" s="122"/>
      <c r="S443" s="122"/>
      <c r="T443" s="122"/>
      <c r="U443" s="122"/>
      <c r="V443" s="122"/>
      <c r="W443" s="122"/>
      <c r="X443" s="122"/>
      <c r="Y443" s="122"/>
      <c r="Z443" s="122"/>
    </row>
    <row r="444" spans="1:26" ht="12.75" x14ac:dyDescent="0.2">
      <c r="A444" s="122"/>
      <c r="B444" s="180"/>
      <c r="C444" s="199" t="s">
        <v>216</v>
      </c>
      <c r="D444" s="182"/>
      <c r="E444" s="155"/>
      <c r="F444" s="127">
        <f>SUM(F442:F443)</f>
        <v>4.8910400000000003</v>
      </c>
      <c r="G444" s="127">
        <f t="shared" ref="G444:O444" si="105">SUM(G442:G443)</f>
        <v>9.9630499999999991</v>
      </c>
      <c r="H444" s="127">
        <f t="shared" si="105"/>
        <v>9.9630499999999991</v>
      </c>
      <c r="I444" s="127">
        <f t="shared" si="105"/>
        <v>9.9630499999999991</v>
      </c>
      <c r="J444" s="127">
        <f t="shared" si="105"/>
        <v>4.8910400000000003</v>
      </c>
      <c r="K444" s="127">
        <f t="shared" si="105"/>
        <v>9.9630499999999991</v>
      </c>
      <c r="L444" s="127">
        <f t="shared" si="105"/>
        <v>9.9630499999999991</v>
      </c>
      <c r="M444" s="127">
        <f t="shared" si="105"/>
        <v>9.9630499999999991</v>
      </c>
      <c r="N444" s="127">
        <f t="shared" si="105"/>
        <v>4.8910400000000003</v>
      </c>
      <c r="O444" s="127">
        <f t="shared" si="105"/>
        <v>9.9630499999999991</v>
      </c>
      <c r="P444" s="122"/>
      <c r="Q444" s="122"/>
      <c r="R444" s="122"/>
      <c r="S444" s="122"/>
      <c r="T444" s="122"/>
      <c r="U444" s="122"/>
      <c r="V444" s="122"/>
      <c r="W444" s="122"/>
      <c r="X444" s="122"/>
      <c r="Y444" s="122"/>
      <c r="Z444" s="122"/>
    </row>
    <row r="445" spans="1:26" ht="12.75" x14ac:dyDescent="0.2">
      <c r="A445" s="122"/>
      <c r="B445" s="180"/>
      <c r="C445" s="155"/>
      <c r="D445" s="180"/>
      <c r="E445" s="201"/>
      <c r="F445" s="183"/>
      <c r="G445" s="183"/>
      <c r="H445" s="183"/>
      <c r="I445" s="183"/>
      <c r="J445" s="183"/>
      <c r="K445" s="183"/>
      <c r="L445" s="183"/>
      <c r="M445" s="183"/>
      <c r="N445" s="183"/>
      <c r="O445" s="183"/>
      <c r="P445" s="122"/>
      <c r="Q445" s="122"/>
      <c r="R445" s="122"/>
      <c r="S445" s="122"/>
      <c r="T445" s="122"/>
      <c r="U445" s="122"/>
      <c r="V445" s="122"/>
      <c r="W445" s="122"/>
      <c r="X445" s="122"/>
      <c r="Y445" s="122"/>
      <c r="Z445" s="122"/>
    </row>
    <row r="446" spans="1:26" ht="12.75" x14ac:dyDescent="0.2">
      <c r="A446" s="122"/>
      <c r="B446" s="180"/>
      <c r="C446" s="188" t="s">
        <v>219</v>
      </c>
      <c r="D446" s="180"/>
      <c r="E446" s="180"/>
      <c r="F446" s="183"/>
      <c r="G446" s="183"/>
      <c r="H446" s="183"/>
      <c r="I446" s="183"/>
      <c r="J446" s="183"/>
      <c r="K446" s="183"/>
      <c r="L446" s="183"/>
      <c r="M446" s="183"/>
      <c r="N446" s="183"/>
      <c r="O446" s="183"/>
      <c r="P446" s="122"/>
      <c r="Q446" s="122"/>
      <c r="R446" s="122"/>
      <c r="S446" s="122"/>
      <c r="T446" s="122"/>
      <c r="U446" s="122"/>
      <c r="V446" s="122"/>
      <c r="W446" s="122"/>
      <c r="X446" s="122"/>
      <c r="Y446" s="122"/>
      <c r="Z446" s="122"/>
    </row>
    <row r="447" spans="1:26" ht="12.75" x14ac:dyDescent="0.2">
      <c r="A447" s="122"/>
      <c r="B447" s="180"/>
      <c r="C447" s="152" t="s">
        <v>92</v>
      </c>
      <c r="D447" s="180"/>
      <c r="E447" s="299">
        <f>E416</f>
        <v>0.98628157029794861</v>
      </c>
      <c r="F447" s="125">
        <f>F330*$E447</f>
        <v>5.0300360085195388</v>
      </c>
      <c r="G447" s="125">
        <f>G330*$E447</f>
        <v>3.1846812029674911</v>
      </c>
      <c r="H447" s="125">
        <f>H330*$E447</f>
        <v>3.1846812029674911</v>
      </c>
      <c r="I447" s="125">
        <f>I330*$E447</f>
        <v>3.1846812029674911</v>
      </c>
      <c r="J447" s="125">
        <f>J330*$E447</f>
        <v>5.0300360085195388</v>
      </c>
      <c r="K447" s="125">
        <f>K330*$E447</f>
        <v>3.1846812029674911</v>
      </c>
      <c r="L447" s="125">
        <f>L330*$E447</f>
        <v>3.1846812029674911</v>
      </c>
      <c r="M447" s="125">
        <f>M330*$E447</f>
        <v>3.1846812029674911</v>
      </c>
      <c r="N447" s="125">
        <f>N330*$E447</f>
        <v>5.0300360085195388</v>
      </c>
      <c r="O447" s="125">
        <f>O330*$E447</f>
        <v>3.1846812029674911</v>
      </c>
      <c r="P447" s="122"/>
      <c r="Q447" s="122"/>
      <c r="R447" s="122"/>
      <c r="S447" s="122"/>
      <c r="T447" s="122"/>
      <c r="U447" s="122"/>
      <c r="V447" s="122"/>
      <c r="W447" s="122"/>
      <c r="X447" s="122"/>
      <c r="Y447" s="122"/>
      <c r="Z447" s="122"/>
    </row>
    <row r="448" spans="1:26" ht="12.75" x14ac:dyDescent="0.2">
      <c r="A448" s="122"/>
      <c r="B448" s="180"/>
      <c r="C448" s="152" t="s">
        <v>96</v>
      </c>
      <c r="D448" s="180"/>
      <c r="E448" s="299">
        <v>1</v>
      </c>
      <c r="F448" s="125">
        <f>F331*$E448</f>
        <v>0.637432</v>
      </c>
      <c r="G448" s="125">
        <f>G331*$E448</f>
        <v>3.15</v>
      </c>
      <c r="H448" s="125">
        <f>H331*$E448</f>
        <v>3.15</v>
      </c>
      <c r="I448" s="125">
        <f>I331*$E448</f>
        <v>3.15</v>
      </c>
      <c r="J448" s="125">
        <f>J331*$E448</f>
        <v>0.637432</v>
      </c>
      <c r="K448" s="125">
        <f>K331*$E448</f>
        <v>3.1500000000000004</v>
      </c>
      <c r="L448" s="125">
        <f>L331*$E448</f>
        <v>3.1500000000000004</v>
      </c>
      <c r="M448" s="125">
        <f>M331*$E448</f>
        <v>3.15</v>
      </c>
      <c r="N448" s="125">
        <f>N331*$E448</f>
        <v>0.637432</v>
      </c>
      <c r="O448" s="125">
        <f>O331*$E448</f>
        <v>3.15</v>
      </c>
      <c r="P448" s="122"/>
      <c r="Q448" s="122"/>
      <c r="R448" s="122"/>
      <c r="S448" s="122"/>
      <c r="T448" s="122"/>
      <c r="U448" s="122"/>
      <c r="V448" s="122"/>
      <c r="W448" s="122"/>
      <c r="X448" s="122"/>
      <c r="Y448" s="122"/>
      <c r="Z448" s="122"/>
    </row>
    <row r="449" spans="1:26" ht="12.75" x14ac:dyDescent="0.2">
      <c r="A449" s="122"/>
      <c r="B449" s="180"/>
      <c r="C449" s="152" t="s">
        <v>99</v>
      </c>
      <c r="D449" s="180"/>
      <c r="E449" s="299">
        <f>CFs!$C$252</f>
        <v>1.5401003517880794</v>
      </c>
      <c r="F449" s="125">
        <f>F332*$E449</f>
        <v>2.7902540287234885</v>
      </c>
      <c r="G449" s="125">
        <f>G332*$E449</f>
        <v>4.8440729703754046</v>
      </c>
      <c r="H449" s="125">
        <f>H332*$E449</f>
        <v>4.8440729703754055</v>
      </c>
      <c r="I449" s="125">
        <f>I332*$E449</f>
        <v>4.8440729703754055</v>
      </c>
      <c r="J449" s="125">
        <f>J332*$E449</f>
        <v>2.790254028723488</v>
      </c>
      <c r="K449" s="125">
        <f>K332*$E449</f>
        <v>4.8440729703754064</v>
      </c>
      <c r="L449" s="125">
        <f>L332*$E449</f>
        <v>4.8440729703754055</v>
      </c>
      <c r="M449" s="125">
        <f>M332*$E449</f>
        <v>4.8440729703754064</v>
      </c>
      <c r="N449" s="125">
        <f>N332*$E449</f>
        <v>2.7902540287234885</v>
      </c>
      <c r="O449" s="125">
        <f>O332*$E449</f>
        <v>4.8440729703754046</v>
      </c>
      <c r="P449" s="122"/>
      <c r="Q449" s="122"/>
      <c r="R449" s="122"/>
      <c r="S449" s="122"/>
      <c r="T449" s="122"/>
      <c r="U449" s="122"/>
      <c r="V449" s="122"/>
      <c r="W449" s="122"/>
      <c r="X449" s="122"/>
      <c r="Y449" s="122"/>
      <c r="Z449" s="122"/>
    </row>
    <row r="450" spans="1:26" ht="12.75" x14ac:dyDescent="0.2">
      <c r="A450" s="122"/>
      <c r="B450" s="180"/>
      <c r="C450" s="152" t="s">
        <v>102</v>
      </c>
      <c r="D450" s="180"/>
      <c r="E450" s="299">
        <f>CFs!$C$218</f>
        <v>1.0969941102134646</v>
      </c>
      <c r="F450" s="125">
        <f>F333*$E450</f>
        <v>8.5882086759826617</v>
      </c>
      <c r="G450" s="125">
        <f>G333*$E450</f>
        <v>10.21112752137056</v>
      </c>
      <c r="H450" s="125">
        <f>H333*$E450</f>
        <v>10.211127521370562</v>
      </c>
      <c r="I450" s="125">
        <f>I333*$E450</f>
        <v>10.211127521370562</v>
      </c>
      <c r="J450" s="125">
        <f>J333*$E450</f>
        <v>8.5882086759826617</v>
      </c>
      <c r="K450" s="125">
        <f>K333*$E450</f>
        <v>10.21112752137056</v>
      </c>
      <c r="L450" s="125">
        <f>L333*$E450</f>
        <v>10.211127521370562</v>
      </c>
      <c r="M450" s="125">
        <f>M333*$E450</f>
        <v>10.211127521370564</v>
      </c>
      <c r="N450" s="125">
        <f>N333*$E450</f>
        <v>8.5882086759826617</v>
      </c>
      <c r="O450" s="125">
        <f>O333*$E450</f>
        <v>10.21112752137056</v>
      </c>
      <c r="P450" s="122"/>
      <c r="Q450" s="122"/>
      <c r="R450" s="122"/>
      <c r="S450" s="122"/>
      <c r="T450" s="122"/>
      <c r="U450" s="122"/>
      <c r="V450" s="122"/>
      <c r="W450" s="122"/>
      <c r="X450" s="122"/>
      <c r="Y450" s="122"/>
      <c r="Z450" s="122"/>
    </row>
    <row r="451" spans="1:26" ht="12.75" x14ac:dyDescent="0.2">
      <c r="A451" s="122"/>
      <c r="B451" s="180"/>
      <c r="C451" s="152" t="s">
        <v>418</v>
      </c>
      <c r="D451" s="180"/>
      <c r="E451" s="299">
        <v>1.2482325458709678</v>
      </c>
      <c r="F451" s="125">
        <f>F334*$E451</f>
        <v>4.7362935720528014</v>
      </c>
      <c r="G451" s="125">
        <f>G334*$E451</f>
        <v>0</v>
      </c>
      <c r="H451" s="125">
        <f>H334*$E451</f>
        <v>0</v>
      </c>
      <c r="I451" s="125">
        <f>I334*$E451</f>
        <v>0</v>
      </c>
      <c r="J451" s="125">
        <f>J334*$E451</f>
        <v>4.7362935720528005</v>
      </c>
      <c r="K451" s="125">
        <f>K334*$E451</f>
        <v>0</v>
      </c>
      <c r="L451" s="125">
        <f>L334*$E451</f>
        <v>0</v>
      </c>
      <c r="M451" s="125">
        <f>M334*$E451</f>
        <v>0</v>
      </c>
      <c r="N451" s="125">
        <f>N334*$E451</f>
        <v>4.7362935720528014</v>
      </c>
      <c r="O451" s="125">
        <f>O334*$E451</f>
        <v>0</v>
      </c>
      <c r="P451" s="122"/>
      <c r="Q451" s="122"/>
      <c r="R451" s="122"/>
      <c r="S451" s="122"/>
      <c r="T451" s="122"/>
      <c r="U451" s="122"/>
      <c r="V451" s="122"/>
      <c r="W451" s="122"/>
      <c r="X451" s="122"/>
      <c r="Y451" s="122"/>
      <c r="Z451" s="122"/>
    </row>
    <row r="452" spans="1:26" ht="12.75" x14ac:dyDescent="0.2">
      <c r="A452" s="122"/>
      <c r="B452" s="180"/>
      <c r="C452" s="152" t="s">
        <v>105</v>
      </c>
      <c r="D452" s="180"/>
      <c r="E452" s="299">
        <v>1</v>
      </c>
      <c r="F452" s="125">
        <f>F335*$E452</f>
        <v>2.3028879999999998</v>
      </c>
      <c r="G452" s="125">
        <f>G335*$E452</f>
        <v>0.51393176470588231</v>
      </c>
      <c r="H452" s="125">
        <f>H335*$E452</f>
        <v>0.51393176470588231</v>
      </c>
      <c r="I452" s="125">
        <f>I335*$E452</f>
        <v>0.51393176470588231</v>
      </c>
      <c r="J452" s="125">
        <f>J335*$E452</f>
        <v>2.3028879999999998</v>
      </c>
      <c r="K452" s="125">
        <f>K335*$E452</f>
        <v>0.51393176470588231</v>
      </c>
      <c r="L452" s="125">
        <f>L335*$E452</f>
        <v>0.51393176470588231</v>
      </c>
      <c r="M452" s="125">
        <f>M335*$E452</f>
        <v>0.51393176470588242</v>
      </c>
      <c r="N452" s="125">
        <f>N335*$E452</f>
        <v>2.3028880000000003</v>
      </c>
      <c r="O452" s="125">
        <f>O335*$E452</f>
        <v>0.51393176470588231</v>
      </c>
      <c r="P452" s="122"/>
      <c r="Q452" s="122"/>
      <c r="R452" s="122"/>
      <c r="S452" s="122"/>
      <c r="T452" s="122"/>
      <c r="U452" s="122"/>
      <c r="V452" s="122"/>
      <c r="W452" s="122"/>
      <c r="X452" s="122"/>
      <c r="Y452" s="122"/>
      <c r="Z452" s="122"/>
    </row>
    <row r="453" spans="1:26" ht="12.75" x14ac:dyDescent="0.2">
      <c r="A453" s="122"/>
      <c r="B453" s="180"/>
      <c r="C453" s="152" t="s">
        <v>108</v>
      </c>
      <c r="D453" s="180"/>
      <c r="E453" s="299">
        <v>1</v>
      </c>
      <c r="F453" s="125">
        <f>F336*$E453</f>
        <v>1.5</v>
      </c>
      <c r="G453" s="125">
        <f>G336*$E453</f>
        <v>1.9651999999999998</v>
      </c>
      <c r="H453" s="125">
        <f>H336*$E453</f>
        <v>1.8</v>
      </c>
      <c r="I453" s="125">
        <f>I336*$E453</f>
        <v>1.9</v>
      </c>
      <c r="J453" s="125">
        <f>J336*$E453</f>
        <v>1.6</v>
      </c>
      <c r="K453" s="125">
        <f>K336*$E453</f>
        <v>2.3119999999999998</v>
      </c>
      <c r="L453" s="125">
        <f>L336*$E453</f>
        <v>2.1</v>
      </c>
      <c r="M453" s="125">
        <f>M336*$E453</f>
        <v>2.2000000000000002</v>
      </c>
      <c r="N453" s="125">
        <f>N336*$E453</f>
        <v>1.8</v>
      </c>
      <c r="O453" s="125">
        <f>O336*$E453</f>
        <v>2.6587999999999994</v>
      </c>
      <c r="P453" s="122"/>
      <c r="Q453" s="122"/>
      <c r="R453" s="122"/>
      <c r="S453" s="122"/>
      <c r="T453" s="122"/>
      <c r="U453" s="122"/>
      <c r="V453" s="122"/>
      <c r="W453" s="122"/>
      <c r="X453" s="122"/>
      <c r="Y453" s="122"/>
      <c r="Z453" s="122"/>
    </row>
    <row r="454" spans="1:26" ht="12.75" x14ac:dyDescent="0.2">
      <c r="A454" s="122"/>
      <c r="B454" s="155"/>
      <c r="C454" s="198" t="s">
        <v>217</v>
      </c>
      <c r="D454" s="198"/>
      <c r="E454" s="198"/>
      <c r="F454" s="200">
        <f>SUM(F447:F453)</f>
        <v>25.585112285278488</v>
      </c>
      <c r="G454" s="200">
        <f t="shared" ref="G454:O454" si="106">SUM(G447:G453)</f>
        <v>23.869013459419339</v>
      </c>
      <c r="H454" s="200">
        <f t="shared" si="106"/>
        <v>23.703813459419344</v>
      </c>
      <c r="I454" s="200">
        <f t="shared" si="106"/>
        <v>23.803813459419342</v>
      </c>
      <c r="J454" s="200">
        <f t="shared" si="106"/>
        <v>25.685112285278489</v>
      </c>
      <c r="K454" s="200">
        <f t="shared" si="106"/>
        <v>24.215813459419344</v>
      </c>
      <c r="L454" s="200">
        <f t="shared" si="106"/>
        <v>24.003813459419344</v>
      </c>
      <c r="M454" s="200">
        <f t="shared" si="106"/>
        <v>24.103813459419346</v>
      </c>
      <c r="N454" s="200">
        <f t="shared" si="106"/>
        <v>25.885112285278488</v>
      </c>
      <c r="O454" s="200">
        <f t="shared" si="106"/>
        <v>24.562613459419339</v>
      </c>
      <c r="P454" s="122"/>
      <c r="Q454" s="122"/>
      <c r="R454" s="122"/>
      <c r="S454" s="122"/>
      <c r="T454" s="122"/>
      <c r="U454" s="122"/>
      <c r="V454" s="122"/>
      <c r="W454" s="122"/>
      <c r="X454" s="122"/>
      <c r="Y454" s="122"/>
      <c r="Z454" s="122"/>
    </row>
    <row r="455" spans="1:26" ht="12.75" x14ac:dyDescent="0.2">
      <c r="A455" s="122"/>
      <c r="B455" s="155"/>
      <c r="C455" s="155"/>
      <c r="D455" s="155"/>
      <c r="E455" s="155"/>
      <c r="F455" s="155"/>
      <c r="G455" s="155"/>
      <c r="H455" s="155"/>
      <c r="I455" s="155"/>
      <c r="J455" s="155"/>
      <c r="K455" s="155"/>
      <c r="L455" s="155"/>
      <c r="M455" s="155"/>
      <c r="N455" s="155"/>
      <c r="O455" s="155"/>
      <c r="P455" s="122"/>
      <c r="Q455" s="122"/>
      <c r="R455" s="122"/>
      <c r="S455" s="122"/>
      <c r="T455" s="122"/>
      <c r="U455" s="122"/>
      <c r="V455" s="122"/>
      <c r="W455" s="122"/>
      <c r="X455" s="122"/>
      <c r="Y455" s="122"/>
      <c r="Z455" s="122"/>
    </row>
    <row r="456" spans="1:26" ht="12.75" x14ac:dyDescent="0.2">
      <c r="A456" s="122"/>
      <c r="B456" s="155"/>
      <c r="C456" s="155" t="s">
        <v>287</v>
      </c>
      <c r="D456" s="155"/>
      <c r="E456" s="155"/>
      <c r="F456" s="155"/>
      <c r="G456" s="155"/>
      <c r="H456" s="155"/>
      <c r="I456" s="155"/>
      <c r="J456" s="155"/>
      <c r="K456" s="155"/>
      <c r="L456" s="155"/>
      <c r="M456" s="155"/>
      <c r="N456" s="155"/>
      <c r="O456" s="155"/>
      <c r="P456" s="122"/>
      <c r="Q456" s="122"/>
      <c r="R456" s="122"/>
      <c r="S456" s="122"/>
      <c r="T456" s="122"/>
      <c r="U456" s="122"/>
      <c r="V456" s="122"/>
      <c r="W456" s="122"/>
      <c r="X456" s="122"/>
      <c r="Y456" s="122"/>
      <c r="Z456" s="122"/>
    </row>
    <row r="457" spans="1:26" ht="12.75" x14ac:dyDescent="0.2">
      <c r="A457" s="122"/>
      <c r="B457" s="155"/>
      <c r="C457" s="155" t="s">
        <v>375</v>
      </c>
      <c r="D457" s="155"/>
      <c r="E457" s="299">
        <v>1.2</v>
      </c>
      <c r="F457" s="125">
        <f>F340*$E457</f>
        <v>1.6196910009350651</v>
      </c>
      <c r="G457" s="125">
        <f>G340*$E457</f>
        <v>3.1026991784492681</v>
      </c>
      <c r="H457" s="125">
        <f>H340*$E457</f>
        <v>2.7905204776106349</v>
      </c>
      <c r="I457" s="125">
        <f>I340*$E457</f>
        <v>2.8998147669739667</v>
      </c>
      <c r="J457" s="125">
        <f>J340*$E457</f>
        <v>1.7776733023788769</v>
      </c>
      <c r="K457" s="125">
        <f>K340*$E457</f>
        <v>3.6148145237914284</v>
      </c>
      <c r="L457" s="125">
        <f>L340*$E457</f>
        <v>3.2450449969195083</v>
      </c>
      <c r="M457" s="125">
        <f>M340*$E457</f>
        <v>3.366156923784871</v>
      </c>
      <c r="N457" s="125">
        <f>N340*$E457</f>
        <v>1.947341149116129</v>
      </c>
      <c r="O457" s="125">
        <f>O340*$E457</f>
        <v>4.1823032426715425</v>
      </c>
      <c r="P457" s="122"/>
      <c r="Q457" s="122"/>
      <c r="R457" s="122"/>
      <c r="S457" s="122"/>
      <c r="T457" s="122"/>
      <c r="U457" s="122"/>
      <c r="V457" s="122"/>
      <c r="W457" s="122"/>
      <c r="X457" s="122"/>
      <c r="Y457" s="122"/>
      <c r="Z457" s="122"/>
    </row>
    <row r="458" spans="1:26" ht="12.75" x14ac:dyDescent="0.2">
      <c r="A458" s="122"/>
      <c r="B458" s="155"/>
      <c r="C458" s="184" t="s">
        <v>284</v>
      </c>
      <c r="D458" s="184"/>
      <c r="E458" s="343">
        <v>1</v>
      </c>
      <c r="F458" s="141">
        <f>F341*$E458</f>
        <v>1.2028411200000004</v>
      </c>
      <c r="G458" s="141">
        <f>G341*$E458</f>
        <v>1.28596945232448</v>
      </c>
      <c r="H458" s="141">
        <f>H341*$E458</f>
        <v>1.14135351045408</v>
      </c>
      <c r="I458" s="141">
        <f>I341*$E458</f>
        <v>1.1710287017258862</v>
      </c>
      <c r="J458" s="141">
        <f>J341*$E458</f>
        <v>1.2918121899243769</v>
      </c>
      <c r="K458" s="141">
        <f>K341*$E458</f>
        <v>1.4250171639184068</v>
      </c>
      <c r="L458" s="141">
        <f>L341*$E458</f>
        <v>1.2647643686680672</v>
      </c>
      <c r="M458" s="141">
        <f>M341*$E458</f>
        <v>1.2976482422534372</v>
      </c>
      <c r="N458" s="141">
        <f>N341*$E458</f>
        <v>1.3873642215001885</v>
      </c>
      <c r="O458" s="141">
        <f>O341*$E458</f>
        <v>1.5790996541881104</v>
      </c>
      <c r="P458" s="122"/>
      <c r="Q458" s="122"/>
      <c r="R458" s="122"/>
      <c r="S458" s="122"/>
      <c r="T458" s="122"/>
      <c r="U458" s="122"/>
      <c r="V458" s="122"/>
      <c r="W458" s="122"/>
      <c r="X458" s="122"/>
      <c r="Y458" s="122"/>
      <c r="Z458" s="122"/>
    </row>
    <row r="459" spans="1:26" ht="12.75" x14ac:dyDescent="0.2">
      <c r="A459" s="122"/>
      <c r="B459" s="155"/>
      <c r="C459" s="155" t="s">
        <v>289</v>
      </c>
      <c r="D459" s="155"/>
      <c r="E459" s="155"/>
      <c r="F459" s="190">
        <f t="shared" ref="F459:O459" si="107">SUM(F457:F458)</f>
        <v>2.8225321209350653</v>
      </c>
      <c r="G459" s="190">
        <f t="shared" si="107"/>
        <v>4.3886686307737479</v>
      </c>
      <c r="H459" s="190">
        <f t="shared" si="107"/>
        <v>3.9318739880647149</v>
      </c>
      <c r="I459" s="190">
        <f t="shared" si="107"/>
        <v>4.0708434686998531</v>
      </c>
      <c r="J459" s="190">
        <f t="shared" si="107"/>
        <v>3.0694854923032535</v>
      </c>
      <c r="K459" s="190">
        <f t="shared" si="107"/>
        <v>5.0398316877098353</v>
      </c>
      <c r="L459" s="190">
        <f t="shared" si="107"/>
        <v>4.5098093655875751</v>
      </c>
      <c r="M459" s="190">
        <f t="shared" si="107"/>
        <v>4.6638051660383084</v>
      </c>
      <c r="N459" s="190">
        <f t="shared" si="107"/>
        <v>3.3347053706163177</v>
      </c>
      <c r="O459" s="190">
        <f t="shared" si="107"/>
        <v>5.7614028968596527</v>
      </c>
      <c r="P459" s="122"/>
      <c r="Q459" s="122"/>
      <c r="R459" s="122"/>
      <c r="S459" s="122"/>
      <c r="T459" s="122"/>
      <c r="U459" s="122"/>
      <c r="V459" s="122"/>
      <c r="W459" s="122"/>
      <c r="X459" s="122"/>
      <c r="Y459" s="122"/>
      <c r="Z459" s="122"/>
    </row>
    <row r="460" spans="1:26" ht="12.75" x14ac:dyDescent="0.2">
      <c r="A460" s="122"/>
      <c r="B460" s="155"/>
      <c r="C460" s="155"/>
      <c r="D460" s="155"/>
      <c r="E460" s="184"/>
      <c r="F460" s="155"/>
      <c r="G460" s="155"/>
      <c r="H460" s="155"/>
      <c r="I460" s="155"/>
      <c r="J460" s="155"/>
      <c r="K460" s="155"/>
      <c r="L460" s="155"/>
      <c r="M460" s="155"/>
      <c r="N460" s="155"/>
      <c r="O460" s="155"/>
      <c r="P460" s="122"/>
      <c r="Q460" s="122"/>
      <c r="R460" s="122"/>
      <c r="S460" s="122"/>
      <c r="T460" s="122"/>
      <c r="U460" s="122"/>
      <c r="V460" s="122"/>
      <c r="W460" s="122"/>
      <c r="X460" s="122"/>
      <c r="Y460" s="122"/>
      <c r="Z460" s="122"/>
    </row>
    <row r="461" spans="1:26" ht="12.75" x14ac:dyDescent="0.2">
      <c r="A461" s="122"/>
      <c r="B461" s="155"/>
      <c r="C461" s="342" t="s">
        <v>669</v>
      </c>
      <c r="D461" s="203"/>
      <c r="E461" s="203"/>
      <c r="F461" s="204">
        <f>F429+F439+F444+F454+F459</f>
        <v>88.660612406213559</v>
      </c>
      <c r="G461" s="204">
        <f>G429+G439+G444+G454+G459</f>
        <v>95.608140886008172</v>
      </c>
      <c r="H461" s="204">
        <f>H429+H439+H444+H454+H459</f>
        <v>93.694689601738347</v>
      </c>
      <c r="I461" s="204">
        <f>I429+I439+I444+I454+I459</f>
        <v>93.933659082373481</v>
      </c>
      <c r="J461" s="204">
        <f>J429+J439+J444+J454</f>
        <v>85.938080285278502</v>
      </c>
      <c r="K461" s="204">
        <f>K429+K439+K444+K454+K459</f>
        <v>96.606103942944259</v>
      </c>
      <c r="L461" s="204">
        <f>L429+L439+L444+L454+L459</f>
        <v>94.572624979261207</v>
      </c>
      <c r="M461" s="204">
        <f>M429+M439+M444+M454+M459</f>
        <v>94.826620779711931</v>
      </c>
      <c r="N461" s="204">
        <f>N429+N439+N444+N454</f>
        <v>86.138080285278505</v>
      </c>
      <c r="O461" s="204">
        <f>O429+O439+O444+O454+O459</f>
        <v>97.674475152094075</v>
      </c>
      <c r="P461" s="122"/>
      <c r="Q461" s="122"/>
      <c r="R461" s="122"/>
      <c r="S461" s="122"/>
      <c r="T461" s="122"/>
      <c r="U461" s="122"/>
      <c r="V461" s="122"/>
      <c r="W461" s="122"/>
      <c r="X461" s="122"/>
      <c r="Y461" s="122"/>
      <c r="Z461" s="122"/>
    </row>
    <row r="462" spans="1:26" ht="12.75" x14ac:dyDescent="0.2">
      <c r="A462" s="122"/>
      <c r="B462" s="155"/>
      <c r="C462" s="155"/>
      <c r="D462" s="155"/>
      <c r="E462" s="155"/>
      <c r="F462" s="155"/>
      <c r="G462" s="155"/>
      <c r="H462" s="155"/>
      <c r="I462" s="155"/>
      <c r="J462" s="155"/>
      <c r="K462" s="155"/>
      <c r="L462" s="155"/>
      <c r="M462" s="155"/>
      <c r="N462" s="155"/>
      <c r="O462" s="155"/>
      <c r="P462" s="122"/>
      <c r="Q462" s="122"/>
      <c r="R462" s="122"/>
      <c r="S462" s="122"/>
      <c r="T462" s="122"/>
      <c r="U462" s="122"/>
      <c r="V462" s="122"/>
      <c r="W462" s="122"/>
      <c r="X462" s="122"/>
      <c r="Y462" s="122"/>
      <c r="Z462" s="122"/>
    </row>
    <row r="463" spans="1:26" ht="12.75" x14ac:dyDescent="0.2">
      <c r="A463" s="122"/>
      <c r="C463" s="206" t="s">
        <v>687</v>
      </c>
      <c r="D463" s="203"/>
      <c r="E463" s="203"/>
      <c r="F463" s="208">
        <f t="shared" ref="F463:O463" si="108">F424-F461</f>
        <v>-19.176700991726349</v>
      </c>
      <c r="G463" s="208">
        <f t="shared" si="108"/>
        <v>-1.9144406628669515</v>
      </c>
      <c r="H463" s="208">
        <f t="shared" si="108"/>
        <v>-10.537478158016128</v>
      </c>
      <c r="I463" s="208">
        <f t="shared" si="108"/>
        <v>-8.6143601411144601</v>
      </c>
      <c r="J463" s="208">
        <f t="shared" si="108"/>
        <v>-11.314622310329909</v>
      </c>
      <c r="K463" s="208">
        <f t="shared" si="108"/>
        <v>7.2183926091815778</v>
      </c>
      <c r="L463" s="208">
        <f t="shared" si="108"/>
        <v>-2.4238936103328825</v>
      </c>
      <c r="M463" s="208">
        <f t="shared" si="108"/>
        <v>-0.28202239519147554</v>
      </c>
      <c r="N463" s="208">
        <f t="shared" si="108"/>
        <v>-5.9949166841305441</v>
      </c>
      <c r="O463" s="208">
        <f t="shared" si="108"/>
        <v>17.376227922177023</v>
      </c>
      <c r="P463" s="122"/>
      <c r="Q463" s="122"/>
      <c r="R463" s="122"/>
      <c r="S463" s="122"/>
      <c r="T463" s="122"/>
      <c r="U463" s="122"/>
      <c r="V463" s="122"/>
      <c r="W463" s="122"/>
      <c r="X463" s="122"/>
      <c r="Y463" s="122"/>
      <c r="Z463" s="122"/>
    </row>
    <row r="464" spans="1:26" ht="12.75" x14ac:dyDescent="0.2">
      <c r="A464" s="122"/>
      <c r="B464" s="122"/>
      <c r="C464" s="173"/>
      <c r="D464" s="122"/>
      <c r="E464" s="122"/>
      <c r="F464" s="235"/>
      <c r="G464" s="235"/>
      <c r="H464" s="235"/>
      <c r="I464" s="235"/>
      <c r="J464" s="235"/>
      <c r="K464" s="122"/>
      <c r="L464" s="122"/>
      <c r="M464" s="122"/>
      <c r="N464" s="122"/>
      <c r="O464" s="122"/>
      <c r="P464" s="122"/>
      <c r="Q464" s="122"/>
      <c r="R464" s="122"/>
      <c r="S464" s="122"/>
      <c r="T464" s="122"/>
      <c r="U464" s="122"/>
      <c r="V464" s="122"/>
      <c r="W464" s="122"/>
      <c r="X464" s="122"/>
      <c r="Y464" s="122"/>
      <c r="Z464" s="122"/>
    </row>
    <row r="465" spans="1:26" ht="12.75" x14ac:dyDescent="0.2">
      <c r="A465" s="122"/>
      <c r="B465" s="179" t="s">
        <v>688</v>
      </c>
      <c r="C465" s="155"/>
      <c r="D465" s="180"/>
      <c r="E465" s="180"/>
      <c r="F465" s="183"/>
      <c r="G465" s="183"/>
      <c r="H465" s="183"/>
      <c r="I465" s="183"/>
      <c r="J465" s="183"/>
      <c r="K465" s="183"/>
      <c r="L465" s="183"/>
      <c r="M465" s="183"/>
      <c r="N465" s="183"/>
      <c r="O465" s="183"/>
      <c r="P465" s="122"/>
      <c r="Q465" s="122"/>
      <c r="R465" s="122"/>
      <c r="S465" s="122"/>
      <c r="T465" s="122"/>
      <c r="U465" s="122"/>
      <c r="V465" s="122"/>
      <c r="W465" s="122"/>
      <c r="X465" s="122"/>
      <c r="Y465" s="122"/>
      <c r="Z465" s="122"/>
    </row>
    <row r="466" spans="1:26" ht="12.75" x14ac:dyDescent="0.2">
      <c r="A466" s="122"/>
      <c r="C466" s="341" t="s">
        <v>671</v>
      </c>
      <c r="D466" s="180"/>
      <c r="E466" s="307" t="s">
        <v>666</v>
      </c>
      <c r="F466" s="180"/>
      <c r="G466" s="180"/>
      <c r="H466" s="180"/>
      <c r="I466" s="180"/>
      <c r="J466" s="180"/>
      <c r="K466" s="180"/>
      <c r="L466" s="180"/>
      <c r="M466" s="180"/>
      <c r="N466" s="180"/>
      <c r="O466" s="180"/>
      <c r="P466" s="122"/>
      <c r="Q466" s="122"/>
      <c r="R466" s="122"/>
      <c r="S466" s="122"/>
      <c r="T466" s="122"/>
      <c r="U466" s="122"/>
      <c r="V466" s="122"/>
      <c r="W466" s="122"/>
      <c r="X466" s="122"/>
      <c r="Y466" s="122"/>
      <c r="Z466" s="122"/>
    </row>
    <row r="467" spans="1:26" ht="12.75" x14ac:dyDescent="0.2">
      <c r="A467" s="122"/>
      <c r="B467" s="180"/>
      <c r="C467" s="152" t="s">
        <v>428</v>
      </c>
      <c r="D467" s="180"/>
      <c r="E467" s="299">
        <f>CFs!$C$139</f>
        <v>0.98628157029794861</v>
      </c>
      <c r="F467" s="125">
        <f>F350*$E467</f>
        <v>160.96115227262524</v>
      </c>
      <c r="G467" s="125">
        <f>G350*$E467</f>
        <v>113.21828297857697</v>
      </c>
      <c r="H467" s="125">
        <f>H350*$E467</f>
        <v>209.18511349350379</v>
      </c>
      <c r="I467" s="125">
        <f>I350*$E467</f>
        <v>119.18216925275651</v>
      </c>
      <c r="J467" s="125">
        <f>J350*$E467</f>
        <v>241.44172840893779</v>
      </c>
      <c r="K467" s="125">
        <f>K350*$E467</f>
        <v>125.46020920031472</v>
      </c>
      <c r="L467" s="125">
        <f>L350*$E467</f>
        <v>241.44172840893782</v>
      </c>
      <c r="M467" s="125">
        <f>M350*$E467</f>
        <v>132.06895118015055</v>
      </c>
      <c r="N467" s="125">
        <f>N350*$E467</f>
        <v>241.44172840893782</v>
      </c>
      <c r="O467" s="125">
        <f>O350*$E467</f>
        <v>139.02581525251614</v>
      </c>
      <c r="P467" s="122"/>
      <c r="Q467" s="122"/>
      <c r="R467" s="122"/>
      <c r="S467" s="122"/>
      <c r="T467" s="122"/>
      <c r="U467" s="122"/>
      <c r="V467" s="122"/>
      <c r="W467" s="122"/>
      <c r="X467" s="122"/>
      <c r="Y467" s="122"/>
      <c r="Z467" s="122"/>
    </row>
    <row r="468" spans="1:26" ht="12.75" x14ac:dyDescent="0.2">
      <c r="A468" s="122"/>
      <c r="B468" s="180"/>
      <c r="C468" s="152" t="s">
        <v>231</v>
      </c>
      <c r="D468" s="180"/>
      <c r="E468" s="299">
        <f>E467</f>
        <v>0.98628157029794861</v>
      </c>
      <c r="F468" s="125">
        <f>F351*$E468</f>
        <v>16.578998684080396</v>
      </c>
      <c r="G468" s="125">
        <f>G351*$E468</f>
        <v>11.095391731900545</v>
      </c>
      <c r="H468" s="125">
        <f>H351*$E468</f>
        <v>21.546066689830891</v>
      </c>
      <c r="I468" s="125">
        <f>I351*$E468</f>
        <v>11.679852586770139</v>
      </c>
      <c r="J468" s="125">
        <f>J351*$E468</f>
        <v>24.868498026120594</v>
      </c>
      <c r="K468" s="125">
        <f>K351*$E468</f>
        <v>12.295100501630845</v>
      </c>
      <c r="L468" s="125">
        <f>L351*$E468</f>
        <v>24.868498026120594</v>
      </c>
      <c r="M468" s="125">
        <f>M351*$E468</f>
        <v>12.942757215654751</v>
      </c>
      <c r="N468" s="125">
        <f>N351*$E468</f>
        <v>24.868498026120594</v>
      </c>
      <c r="O468" s="125">
        <f>O351*$E468</f>
        <v>13.624529894746582</v>
      </c>
      <c r="P468" s="122"/>
      <c r="Q468" s="122"/>
      <c r="R468" s="122"/>
      <c r="S468" s="122"/>
      <c r="T468" s="122"/>
      <c r="U468" s="122"/>
      <c r="V468" s="122"/>
      <c r="W468" s="122"/>
      <c r="X468" s="122"/>
      <c r="Y468" s="122"/>
      <c r="Z468" s="122"/>
    </row>
    <row r="469" spans="1:26" ht="12.75" x14ac:dyDescent="0.2">
      <c r="A469" s="122"/>
      <c r="B469" s="180"/>
      <c r="C469" s="198" t="s">
        <v>432</v>
      </c>
      <c r="D469" s="182"/>
      <c r="E469" s="182"/>
      <c r="F469" s="193">
        <f t="shared" ref="F469:O469" si="109">F467-F468</f>
        <v>144.38215358854484</v>
      </c>
      <c r="G469" s="193">
        <f t="shared" si="109"/>
        <v>102.12289124667642</v>
      </c>
      <c r="H469" s="193">
        <f t="shared" si="109"/>
        <v>187.6390468036729</v>
      </c>
      <c r="I469" s="193">
        <f t="shared" si="109"/>
        <v>107.50231666598637</v>
      </c>
      <c r="J469" s="193">
        <f t="shared" si="109"/>
        <v>216.5732303828172</v>
      </c>
      <c r="K469" s="193">
        <f t="shared" si="109"/>
        <v>113.16510869868388</v>
      </c>
      <c r="L469" s="193">
        <f t="shared" si="109"/>
        <v>216.57323038281723</v>
      </c>
      <c r="M469" s="193">
        <f t="shared" si="109"/>
        <v>119.1261939644958</v>
      </c>
      <c r="N469" s="193">
        <f t="shared" si="109"/>
        <v>216.57323038281723</v>
      </c>
      <c r="O469" s="193">
        <f t="shared" si="109"/>
        <v>125.40128535776955</v>
      </c>
      <c r="P469" s="122"/>
      <c r="Q469" s="122"/>
      <c r="R469" s="122"/>
      <c r="S469" s="122"/>
      <c r="T469" s="122"/>
      <c r="U469" s="122"/>
      <c r="V469" s="122"/>
      <c r="W469" s="122"/>
      <c r="X469" s="122"/>
      <c r="Y469" s="122"/>
      <c r="Z469" s="122"/>
    </row>
    <row r="470" spans="1:26" ht="12.75" x14ac:dyDescent="0.2">
      <c r="A470" s="122"/>
      <c r="B470" s="180"/>
      <c r="C470" s="152"/>
      <c r="D470" s="180"/>
      <c r="E470" s="180"/>
      <c r="F470" s="194"/>
      <c r="G470" s="194"/>
      <c r="H470" s="194"/>
      <c r="I470" s="194"/>
      <c r="J470" s="194"/>
      <c r="K470" s="194"/>
      <c r="L470" s="194"/>
      <c r="M470" s="194"/>
      <c r="N470" s="194"/>
      <c r="O470" s="194"/>
      <c r="P470" s="122"/>
      <c r="Q470" s="122"/>
      <c r="R470" s="122"/>
      <c r="S470" s="122"/>
      <c r="T470" s="122"/>
      <c r="U470" s="122"/>
      <c r="V470" s="122"/>
      <c r="W470" s="122"/>
      <c r="X470" s="122"/>
      <c r="Y470" s="122"/>
      <c r="Z470" s="122"/>
    </row>
    <row r="471" spans="1:26" ht="12.75" x14ac:dyDescent="0.2">
      <c r="A471" s="122"/>
      <c r="B471" s="180"/>
      <c r="C471" s="188" t="s">
        <v>266</v>
      </c>
      <c r="D471" s="180"/>
      <c r="E471" s="180"/>
      <c r="F471" s="194"/>
      <c r="G471" s="194"/>
      <c r="H471" s="194"/>
      <c r="I471" s="194"/>
      <c r="J471" s="194"/>
      <c r="K471" s="194"/>
      <c r="L471" s="194"/>
      <c r="M471" s="194"/>
      <c r="N471" s="194"/>
      <c r="O471" s="194"/>
      <c r="P471" s="122"/>
      <c r="Q471" s="122"/>
      <c r="R471" s="122"/>
      <c r="S471" s="122"/>
      <c r="T471" s="122"/>
      <c r="U471" s="122"/>
      <c r="V471" s="122"/>
      <c r="W471" s="122"/>
      <c r="X471" s="122"/>
      <c r="Y471" s="122"/>
      <c r="Z471" s="122"/>
    </row>
    <row r="472" spans="1:26" ht="12.75" x14ac:dyDescent="0.2">
      <c r="A472" s="122"/>
      <c r="B472" s="180"/>
      <c r="C472" s="155" t="s">
        <v>267</v>
      </c>
      <c r="D472" s="180"/>
      <c r="E472" s="299">
        <v>0</v>
      </c>
      <c r="F472" s="125">
        <f>F355*$E472</f>
        <v>0</v>
      </c>
      <c r="G472" s="125">
        <f>G355*$E472</f>
        <v>0</v>
      </c>
      <c r="H472" s="125">
        <f>H355*$E472</f>
        <v>0</v>
      </c>
      <c r="I472" s="125">
        <f>I355*$E472</f>
        <v>0</v>
      </c>
      <c r="J472" s="125">
        <f>J355*$E472</f>
        <v>0</v>
      </c>
      <c r="K472" s="125">
        <f>K355*$E472</f>
        <v>0</v>
      </c>
      <c r="L472" s="125">
        <f>L355*$E472</f>
        <v>0</v>
      </c>
      <c r="M472" s="125">
        <f>M355*$E472</f>
        <v>0</v>
      </c>
      <c r="N472" s="125">
        <f>N355*$E472</f>
        <v>0</v>
      </c>
      <c r="O472" s="125">
        <f>O355*$E472</f>
        <v>0</v>
      </c>
      <c r="P472" s="122"/>
      <c r="Q472" s="122"/>
      <c r="R472" s="122"/>
      <c r="S472" s="122"/>
      <c r="T472" s="122"/>
      <c r="U472" s="122"/>
      <c r="V472" s="122"/>
      <c r="W472" s="122"/>
      <c r="X472" s="122"/>
      <c r="Y472" s="122"/>
      <c r="Z472" s="122"/>
    </row>
    <row r="473" spans="1:26" ht="12.75" x14ac:dyDescent="0.2">
      <c r="A473" s="122"/>
      <c r="B473" s="180"/>
      <c r="C473" s="155" t="s">
        <v>138</v>
      </c>
      <c r="D473" s="180"/>
      <c r="E473" s="299">
        <v>0</v>
      </c>
      <c r="F473" s="125">
        <f>F356*$E473</f>
        <v>0</v>
      </c>
      <c r="G473" s="125">
        <f>G356*$E473</f>
        <v>0</v>
      </c>
      <c r="H473" s="125">
        <f>H356*$E473</f>
        <v>0</v>
      </c>
      <c r="I473" s="125">
        <f>I356*$E473</f>
        <v>0</v>
      </c>
      <c r="J473" s="125">
        <f>J356*$E473</f>
        <v>0</v>
      </c>
      <c r="K473" s="125">
        <f>K356*$E473</f>
        <v>0</v>
      </c>
      <c r="L473" s="125">
        <f>L356*$E473</f>
        <v>0</v>
      </c>
      <c r="M473" s="125">
        <f>M356*$E473</f>
        <v>0</v>
      </c>
      <c r="N473" s="125">
        <f>N356*$E473</f>
        <v>0</v>
      </c>
      <c r="O473" s="125">
        <f>O356*$E473</f>
        <v>0</v>
      </c>
      <c r="P473" s="122"/>
      <c r="Q473" s="122"/>
      <c r="R473" s="122"/>
      <c r="S473" s="122"/>
      <c r="T473" s="122"/>
      <c r="U473" s="122"/>
      <c r="V473" s="122"/>
      <c r="W473" s="122"/>
      <c r="X473" s="122"/>
      <c r="Y473" s="122"/>
      <c r="Z473" s="122"/>
    </row>
    <row r="474" spans="1:26" ht="12.75" x14ac:dyDescent="0.2">
      <c r="A474" s="122"/>
      <c r="B474" s="180"/>
      <c r="C474" s="198" t="s">
        <v>247</v>
      </c>
      <c r="D474" s="182"/>
      <c r="E474" s="182"/>
      <c r="F474" s="127">
        <f>SUM(F472:F473)</f>
        <v>0</v>
      </c>
      <c r="G474" s="127">
        <f t="shared" ref="G474:O474" si="110">SUM(G472:G473)</f>
        <v>0</v>
      </c>
      <c r="H474" s="127">
        <f t="shared" si="110"/>
        <v>0</v>
      </c>
      <c r="I474" s="127">
        <f t="shared" si="110"/>
        <v>0</v>
      </c>
      <c r="J474" s="127">
        <f t="shared" si="110"/>
        <v>0</v>
      </c>
      <c r="K474" s="127">
        <f t="shared" si="110"/>
        <v>0</v>
      </c>
      <c r="L474" s="127">
        <f t="shared" si="110"/>
        <v>0</v>
      </c>
      <c r="M474" s="127">
        <f t="shared" si="110"/>
        <v>0</v>
      </c>
      <c r="N474" s="127">
        <f t="shared" si="110"/>
        <v>0</v>
      </c>
      <c r="O474" s="127">
        <f t="shared" si="110"/>
        <v>0</v>
      </c>
      <c r="P474" s="122"/>
      <c r="Q474" s="122"/>
      <c r="R474" s="122"/>
      <c r="S474" s="122"/>
      <c r="T474" s="122"/>
      <c r="U474" s="122"/>
      <c r="V474" s="122"/>
      <c r="W474" s="122"/>
      <c r="X474" s="122"/>
      <c r="Y474" s="122"/>
      <c r="Z474" s="122"/>
    </row>
    <row r="475" spans="1:26" ht="12.75" x14ac:dyDescent="0.2">
      <c r="A475" s="122"/>
      <c r="B475" s="180"/>
      <c r="C475" s="152"/>
      <c r="D475" s="180"/>
      <c r="E475" s="180"/>
      <c r="F475" s="194"/>
      <c r="G475" s="194"/>
      <c r="H475" s="194"/>
      <c r="I475" s="194"/>
      <c r="J475" s="194"/>
      <c r="K475" s="194"/>
      <c r="L475" s="194"/>
      <c r="M475" s="194"/>
      <c r="N475" s="194"/>
      <c r="O475" s="194"/>
      <c r="P475" s="122"/>
      <c r="Q475" s="122"/>
      <c r="R475" s="122"/>
      <c r="S475" s="122"/>
      <c r="T475" s="122"/>
      <c r="U475" s="122"/>
      <c r="V475" s="122"/>
      <c r="W475" s="122"/>
      <c r="X475" s="122"/>
      <c r="Y475" s="122"/>
      <c r="Z475" s="122"/>
    </row>
    <row r="476" spans="1:26" ht="12.75" x14ac:dyDescent="0.2">
      <c r="A476" s="122"/>
      <c r="B476" s="180"/>
      <c r="C476" s="342" t="s">
        <v>675</v>
      </c>
      <c r="D476" s="195"/>
      <c r="E476" s="195"/>
      <c r="F476" s="196">
        <f t="shared" ref="F476:O476" si="111">F469+F474</f>
        <v>144.38215358854484</v>
      </c>
      <c r="G476" s="196">
        <f t="shared" si="111"/>
        <v>102.12289124667642</v>
      </c>
      <c r="H476" s="196">
        <f>H469+H474</f>
        <v>187.6390468036729</v>
      </c>
      <c r="I476" s="196">
        <f t="shared" si="111"/>
        <v>107.50231666598637</v>
      </c>
      <c r="J476" s="196">
        <f t="shared" si="111"/>
        <v>216.5732303828172</v>
      </c>
      <c r="K476" s="196">
        <f t="shared" si="111"/>
        <v>113.16510869868388</v>
      </c>
      <c r="L476" s="196">
        <f t="shared" si="111"/>
        <v>216.57323038281723</v>
      </c>
      <c r="M476" s="196">
        <f t="shared" si="111"/>
        <v>119.1261939644958</v>
      </c>
      <c r="N476" s="196">
        <f t="shared" si="111"/>
        <v>216.57323038281723</v>
      </c>
      <c r="O476" s="196">
        <f t="shared" si="111"/>
        <v>125.40128535776955</v>
      </c>
      <c r="P476" s="122"/>
      <c r="Q476" s="122"/>
      <c r="R476" s="122"/>
      <c r="S476" s="122"/>
      <c r="T476" s="122"/>
      <c r="U476" s="122"/>
      <c r="V476" s="122"/>
      <c r="W476" s="122"/>
      <c r="X476" s="122"/>
      <c r="Y476" s="122"/>
      <c r="Z476" s="122"/>
    </row>
    <row r="477" spans="1:26" ht="12.75" x14ac:dyDescent="0.2">
      <c r="A477" s="122"/>
      <c r="B477" s="180"/>
      <c r="C477" s="155"/>
      <c r="D477" s="180"/>
      <c r="E477" s="180"/>
      <c r="F477" s="180"/>
      <c r="G477" s="180"/>
      <c r="H477" s="180"/>
      <c r="I477" s="180"/>
      <c r="J477" s="180"/>
      <c r="K477" s="180"/>
      <c r="L477" s="180"/>
      <c r="M477" s="180"/>
      <c r="N477" s="180"/>
      <c r="O477" s="180"/>
      <c r="P477" s="122"/>
      <c r="Q477" s="122"/>
      <c r="R477" s="122"/>
      <c r="S477" s="122"/>
      <c r="T477" s="122"/>
      <c r="U477" s="122"/>
      <c r="V477" s="122"/>
      <c r="W477" s="122"/>
      <c r="X477" s="122"/>
      <c r="Y477" s="122"/>
      <c r="Z477" s="122"/>
    </row>
    <row r="478" spans="1:26" ht="12.75" x14ac:dyDescent="0.2">
      <c r="A478" s="122"/>
      <c r="C478" s="341" t="s">
        <v>670</v>
      </c>
      <c r="D478" s="180"/>
      <c r="E478" s="180"/>
      <c r="F478" s="180"/>
      <c r="G478" s="180"/>
      <c r="H478" s="180"/>
      <c r="I478" s="180"/>
      <c r="J478" s="180"/>
      <c r="K478" s="180"/>
      <c r="L478" s="180"/>
      <c r="M478" s="180"/>
      <c r="N478" s="180"/>
      <c r="O478" s="180"/>
      <c r="P478" s="122"/>
      <c r="Q478" s="122"/>
      <c r="R478" s="122"/>
      <c r="S478" s="122"/>
      <c r="T478" s="122"/>
      <c r="U478" s="122"/>
      <c r="V478" s="122"/>
      <c r="W478" s="122"/>
      <c r="X478" s="122"/>
      <c r="Y478" s="122"/>
      <c r="Z478" s="122"/>
    </row>
    <row r="479" spans="1:26" ht="12.75" x14ac:dyDescent="0.2">
      <c r="A479" s="122"/>
      <c r="B479" s="192"/>
      <c r="C479" s="188" t="s">
        <v>144</v>
      </c>
      <c r="D479" s="180"/>
      <c r="E479" s="180"/>
      <c r="F479" s="180"/>
      <c r="G479" s="180"/>
      <c r="H479" s="180"/>
      <c r="I479" s="180"/>
      <c r="J479" s="180"/>
      <c r="K479" s="180"/>
      <c r="L479" s="180"/>
      <c r="M479" s="180"/>
      <c r="N479" s="180"/>
      <c r="O479" s="180"/>
      <c r="P479" s="122"/>
      <c r="Q479" s="122"/>
      <c r="R479" s="122"/>
      <c r="S479" s="122"/>
      <c r="T479" s="122"/>
      <c r="U479" s="122"/>
      <c r="V479" s="122"/>
      <c r="W479" s="122"/>
      <c r="X479" s="122"/>
      <c r="Y479" s="122"/>
      <c r="Z479" s="122"/>
    </row>
    <row r="480" spans="1:26" ht="12.75" x14ac:dyDescent="0.2">
      <c r="A480" s="122"/>
      <c r="B480" s="192"/>
      <c r="C480" s="155" t="s">
        <v>245</v>
      </c>
      <c r="D480" s="180"/>
      <c r="E480" s="299">
        <v>0</v>
      </c>
      <c r="F480" s="125">
        <f>F363*$E480</f>
        <v>0</v>
      </c>
      <c r="G480" s="125">
        <f>G363*$E480</f>
        <v>0</v>
      </c>
      <c r="H480" s="125">
        <f>H363*$E480</f>
        <v>0</v>
      </c>
      <c r="I480" s="125">
        <f>I363*$E480</f>
        <v>0</v>
      </c>
      <c r="J480" s="125">
        <f>J363*$E480</f>
        <v>0</v>
      </c>
      <c r="K480" s="125">
        <f>K363*$E480</f>
        <v>0</v>
      </c>
      <c r="L480" s="125">
        <f>L363*$E480</f>
        <v>0</v>
      </c>
      <c r="M480" s="125">
        <f>M363*$E480</f>
        <v>0</v>
      </c>
      <c r="N480" s="125">
        <f>N363*$E480</f>
        <v>0</v>
      </c>
      <c r="O480" s="125">
        <f>O363*$E480</f>
        <v>0</v>
      </c>
      <c r="P480" s="122"/>
      <c r="Q480" s="197"/>
      <c r="R480" s="122"/>
      <c r="S480" s="122"/>
      <c r="T480" s="122"/>
      <c r="U480" s="122"/>
      <c r="V480" s="122"/>
      <c r="W480" s="122"/>
      <c r="X480" s="122"/>
      <c r="Y480" s="122"/>
      <c r="Z480" s="122"/>
    </row>
    <row r="481" spans="1:26" ht="12.75" x14ac:dyDescent="0.2">
      <c r="A481" s="122"/>
      <c r="B481" s="192"/>
      <c r="C481" s="198" t="s">
        <v>245</v>
      </c>
      <c r="D481" s="182"/>
      <c r="E481" s="182"/>
      <c r="F481" s="129">
        <f t="shared" ref="F481:O481" si="112">F480</f>
        <v>0</v>
      </c>
      <c r="G481" s="129">
        <f t="shared" si="112"/>
        <v>0</v>
      </c>
      <c r="H481" s="129">
        <f t="shared" si="112"/>
        <v>0</v>
      </c>
      <c r="I481" s="129">
        <f t="shared" si="112"/>
        <v>0</v>
      </c>
      <c r="J481" s="129">
        <f t="shared" si="112"/>
        <v>0</v>
      </c>
      <c r="K481" s="129">
        <f t="shared" si="112"/>
        <v>0</v>
      </c>
      <c r="L481" s="129">
        <f t="shared" si="112"/>
        <v>0</v>
      </c>
      <c r="M481" s="129">
        <f t="shared" si="112"/>
        <v>0</v>
      </c>
      <c r="N481" s="129">
        <f t="shared" si="112"/>
        <v>0</v>
      </c>
      <c r="O481" s="129">
        <f t="shared" si="112"/>
        <v>0</v>
      </c>
      <c r="P481" s="122"/>
      <c r="Q481" s="197"/>
      <c r="R481" s="122"/>
      <c r="S481" s="122"/>
      <c r="T481" s="122"/>
      <c r="U481" s="122"/>
      <c r="V481" s="122"/>
      <c r="W481" s="122"/>
      <c r="X481" s="122"/>
      <c r="Y481" s="122"/>
      <c r="Z481" s="122"/>
    </row>
    <row r="482" spans="1:26" ht="12.75" x14ac:dyDescent="0.2">
      <c r="A482" s="122"/>
      <c r="B482" s="192"/>
      <c r="C482" s="232"/>
      <c r="D482" s="180"/>
      <c r="E482" s="180"/>
      <c r="F482" s="180"/>
      <c r="G482" s="180"/>
      <c r="H482" s="180"/>
      <c r="I482" s="180"/>
      <c r="J482" s="180"/>
      <c r="K482" s="180"/>
      <c r="L482" s="180"/>
      <c r="M482" s="180"/>
      <c r="N482" s="180"/>
      <c r="O482" s="180"/>
      <c r="P482" s="122"/>
      <c r="Q482" s="122"/>
      <c r="R482" s="122"/>
      <c r="S482" s="122"/>
      <c r="T482" s="122"/>
      <c r="U482" s="122"/>
      <c r="V482" s="122"/>
      <c r="W482" s="122"/>
      <c r="X482" s="122"/>
      <c r="Y482" s="122"/>
      <c r="Z482" s="122"/>
    </row>
    <row r="483" spans="1:26" ht="12.75" x14ac:dyDescent="0.2">
      <c r="A483" s="122"/>
      <c r="B483" s="180"/>
      <c r="C483" s="188" t="s">
        <v>218</v>
      </c>
      <c r="D483" s="180"/>
      <c r="E483" s="180"/>
      <c r="F483" s="180"/>
      <c r="G483" s="180"/>
      <c r="H483" s="180"/>
      <c r="I483" s="180"/>
      <c r="J483" s="180"/>
      <c r="K483" s="180"/>
      <c r="L483" s="180"/>
      <c r="M483" s="180"/>
      <c r="N483" s="180"/>
      <c r="O483" s="180"/>
      <c r="P483" s="122"/>
      <c r="Q483" s="122"/>
      <c r="R483" s="122"/>
      <c r="S483" s="122"/>
      <c r="T483" s="122"/>
      <c r="U483" s="122"/>
      <c r="V483" s="122"/>
      <c r="W483" s="122"/>
      <c r="X483" s="122"/>
      <c r="Y483" s="122"/>
      <c r="Z483" s="122"/>
    </row>
    <row r="484" spans="1:26" ht="12.75" x14ac:dyDescent="0.2">
      <c r="A484" s="122"/>
      <c r="B484" s="180"/>
      <c r="C484" s="228" t="s">
        <v>272</v>
      </c>
      <c r="D484" s="180"/>
      <c r="E484" s="299">
        <v>1</v>
      </c>
      <c r="F484" s="125">
        <f>F367*$E484</f>
        <v>9.288120000000001</v>
      </c>
      <c r="G484" s="125">
        <f>G367*$E484</f>
        <v>9.4775852769230777</v>
      </c>
      <c r="H484" s="125">
        <f>H367*$E484</f>
        <v>9.288120000000001</v>
      </c>
      <c r="I484" s="125">
        <f>I367*$E484</f>
        <v>9.4775852769230777</v>
      </c>
      <c r="J484" s="125">
        <f>J367*$E484</f>
        <v>9.288120000000001</v>
      </c>
      <c r="K484" s="125">
        <f>K367*$E484</f>
        <v>9.4775852769230777</v>
      </c>
      <c r="L484" s="125">
        <f>L367*$E484</f>
        <v>9.288120000000001</v>
      </c>
      <c r="M484" s="125">
        <f>M367*$E484</f>
        <v>9.477585276923076</v>
      </c>
      <c r="N484" s="125">
        <f>N367*$E484</f>
        <v>9.288120000000001</v>
      </c>
      <c r="O484" s="125">
        <f>O367*$E484</f>
        <v>9.477585276923076</v>
      </c>
      <c r="P484" s="122"/>
      <c r="Q484" s="122"/>
      <c r="R484" s="122"/>
      <c r="S484" s="122"/>
      <c r="T484" s="122"/>
      <c r="U484" s="122"/>
      <c r="V484" s="122"/>
      <c r="W484" s="122"/>
      <c r="X484" s="122"/>
      <c r="Y484" s="122"/>
      <c r="Z484" s="122"/>
    </row>
    <row r="485" spans="1:26" ht="12.75" x14ac:dyDescent="0.2">
      <c r="A485" s="122"/>
      <c r="B485" s="180"/>
      <c r="C485" s="228" t="s">
        <v>273</v>
      </c>
      <c r="D485" s="180"/>
      <c r="E485" s="299">
        <v>1</v>
      </c>
      <c r="F485" s="125">
        <f>F368*$E485</f>
        <v>8.772000000000002</v>
      </c>
      <c r="G485" s="125">
        <f>G368*$E485</f>
        <v>4.1604954999999997</v>
      </c>
      <c r="H485" s="125">
        <f>H368*$E485</f>
        <v>8.772000000000002</v>
      </c>
      <c r="I485" s="125">
        <f>I368*$E485</f>
        <v>4.1604954999999988</v>
      </c>
      <c r="J485" s="125">
        <f>J368*$E485</f>
        <v>8.772000000000002</v>
      </c>
      <c r="K485" s="125">
        <f>K368*$E485</f>
        <v>4.1604954999999988</v>
      </c>
      <c r="L485" s="125">
        <f>L368*$E485</f>
        <v>8.772000000000002</v>
      </c>
      <c r="M485" s="125">
        <f>M368*$E485</f>
        <v>4.1604954999999988</v>
      </c>
      <c r="N485" s="125">
        <f>N368*$E485</f>
        <v>8.772000000000002</v>
      </c>
      <c r="O485" s="125">
        <f>O368*$E485</f>
        <v>4.1604954999999988</v>
      </c>
      <c r="P485" s="122"/>
      <c r="Q485" s="122"/>
      <c r="R485" s="122"/>
      <c r="S485" s="122"/>
      <c r="T485" s="122"/>
      <c r="U485" s="122"/>
      <c r="V485" s="122"/>
      <c r="W485" s="122"/>
      <c r="X485" s="122"/>
      <c r="Y485" s="122"/>
      <c r="Z485" s="122"/>
    </row>
    <row r="486" spans="1:26" ht="12.75" x14ac:dyDescent="0.2">
      <c r="A486" s="122"/>
      <c r="B486" s="180"/>
      <c r="C486" s="228" t="s">
        <v>274</v>
      </c>
      <c r="D486" s="180"/>
      <c r="E486" s="299">
        <v>1</v>
      </c>
      <c r="F486" s="125">
        <f>F369*$E486</f>
        <v>6.2016</v>
      </c>
      <c r="G486" s="125">
        <f>G369*$E486</f>
        <v>4.4537594594594587</v>
      </c>
      <c r="H486" s="125">
        <f>H369*$E486</f>
        <v>6.2016000000000009</v>
      </c>
      <c r="I486" s="125">
        <f>I369*$E486</f>
        <v>4.4537594594594587</v>
      </c>
      <c r="J486" s="125">
        <f>J369*$E486</f>
        <v>6.2016000000000009</v>
      </c>
      <c r="K486" s="125">
        <f>K369*$E486</f>
        <v>4.4537594594594596</v>
      </c>
      <c r="L486" s="125">
        <f>L369*$E486</f>
        <v>6.2016</v>
      </c>
      <c r="M486" s="125">
        <f>M369*$E486</f>
        <v>4.4537594594594596</v>
      </c>
      <c r="N486" s="125">
        <f>N369*$E486</f>
        <v>6.2016000000000009</v>
      </c>
      <c r="O486" s="125">
        <f>O369*$E486</f>
        <v>4.4537594594594596</v>
      </c>
      <c r="P486" s="122"/>
      <c r="Q486" s="122"/>
      <c r="R486" s="122"/>
      <c r="S486" s="122"/>
      <c r="T486" s="122"/>
      <c r="U486" s="122"/>
      <c r="V486" s="122"/>
      <c r="W486" s="122"/>
      <c r="X486" s="122"/>
      <c r="Y486" s="122"/>
      <c r="Z486" s="122"/>
    </row>
    <row r="487" spans="1:26" ht="12.75" x14ac:dyDescent="0.2">
      <c r="A487" s="122"/>
      <c r="B487" s="180"/>
      <c r="C487" s="228" t="s">
        <v>275</v>
      </c>
      <c r="D487" s="180"/>
      <c r="E487" s="299">
        <v>1</v>
      </c>
      <c r="F487" s="125">
        <f>F370*$E487</f>
        <v>8.9069049350649347</v>
      </c>
      <c r="G487" s="125">
        <f>G370*$E487</f>
        <v>10.430995951067988</v>
      </c>
      <c r="H487" s="125">
        <f>H370*$E487</f>
        <v>8.9069049350649347</v>
      </c>
      <c r="I487" s="125">
        <f>I370*$E487</f>
        <v>10.430995951067986</v>
      </c>
      <c r="J487" s="125">
        <f>J370*$E487</f>
        <v>8.9069049350649347</v>
      </c>
      <c r="K487" s="125">
        <f>K370*$E487</f>
        <v>10.430995951067988</v>
      </c>
      <c r="L487" s="125">
        <f>L370*$E487</f>
        <v>8.9069049350649347</v>
      </c>
      <c r="M487" s="125">
        <f>M370*$E487</f>
        <v>10.430995951067988</v>
      </c>
      <c r="N487" s="125">
        <f>N370*$E487</f>
        <v>8.9069049350649347</v>
      </c>
      <c r="O487" s="125">
        <f>O370*$E487</f>
        <v>10.430995951067988</v>
      </c>
      <c r="P487" s="122"/>
      <c r="Q487" s="122"/>
      <c r="R487" s="122"/>
      <c r="S487" s="122"/>
      <c r="T487" s="122"/>
      <c r="U487" s="122"/>
      <c r="V487" s="122"/>
      <c r="W487" s="122"/>
      <c r="X487" s="122"/>
      <c r="Y487" s="122"/>
      <c r="Z487" s="122"/>
    </row>
    <row r="488" spans="1:26" ht="12.75" x14ac:dyDescent="0.2">
      <c r="A488" s="122"/>
      <c r="B488" s="180"/>
      <c r="C488" s="152" t="s">
        <v>293</v>
      </c>
      <c r="D488" s="180"/>
      <c r="E488" s="299">
        <v>1</v>
      </c>
      <c r="F488" s="125">
        <f>F371*$E488</f>
        <v>9.0167999999999999</v>
      </c>
      <c r="G488" s="125">
        <f>G371*$E488</f>
        <v>7.131086511627907</v>
      </c>
      <c r="H488" s="125">
        <f>H371*$E488</f>
        <v>9.0167999999999999</v>
      </c>
      <c r="I488" s="125">
        <f>I371*$E488</f>
        <v>7.131086511627907</v>
      </c>
      <c r="J488" s="125">
        <f>J371*$E488</f>
        <v>9.0167999999999999</v>
      </c>
      <c r="K488" s="125">
        <f>K371*$E488</f>
        <v>7.1310865116279079</v>
      </c>
      <c r="L488" s="125">
        <f>L371*$E488</f>
        <v>9.0167999999999999</v>
      </c>
      <c r="M488" s="125">
        <f>M371*$E488</f>
        <v>7.1310865116279079</v>
      </c>
      <c r="N488" s="125">
        <f>N371*$E488</f>
        <v>9.0167999999999981</v>
      </c>
      <c r="O488" s="125">
        <f>O371*$E488</f>
        <v>7.131086511627907</v>
      </c>
      <c r="P488" s="122"/>
      <c r="Q488" s="122"/>
      <c r="R488" s="122"/>
      <c r="S488" s="122"/>
      <c r="T488" s="122"/>
      <c r="U488" s="122"/>
      <c r="V488" s="122"/>
      <c r="W488" s="122"/>
      <c r="X488" s="122"/>
      <c r="Y488" s="122"/>
      <c r="Z488" s="122"/>
    </row>
    <row r="489" spans="1:26" ht="12.75" x14ac:dyDescent="0.2">
      <c r="A489" s="122"/>
      <c r="B489" s="180"/>
      <c r="C489" s="228" t="s">
        <v>278</v>
      </c>
      <c r="D489" s="180"/>
      <c r="E489" s="299">
        <v>1</v>
      </c>
      <c r="F489" s="125">
        <f>F372*$E489</f>
        <v>31.385400000000001</v>
      </c>
      <c r="G489" s="125">
        <f>G372*$E489</f>
        <v>24.550149391110523</v>
      </c>
      <c r="H489" s="125">
        <f>H372*$E489</f>
        <v>31.385400000000004</v>
      </c>
      <c r="I489" s="125">
        <f>I372*$E489</f>
        <v>24.550149391110526</v>
      </c>
      <c r="J489" s="125">
        <f>J372*$E489</f>
        <v>31.385400000000001</v>
      </c>
      <c r="K489" s="125">
        <f>K372*$E489</f>
        <v>24.550149391110523</v>
      </c>
      <c r="L489" s="125">
        <f>L372*$E489</f>
        <v>31.385400000000001</v>
      </c>
      <c r="M489" s="125">
        <f>M372*$E489</f>
        <v>24.550149391110523</v>
      </c>
      <c r="N489" s="125">
        <f>N372*$E489</f>
        <v>31.385400000000001</v>
      </c>
      <c r="O489" s="125">
        <f>O372*$E489</f>
        <v>24.550149391110526</v>
      </c>
      <c r="P489" s="122"/>
      <c r="Q489" s="122"/>
      <c r="R489" s="122"/>
      <c r="S489" s="122"/>
      <c r="T489" s="122"/>
      <c r="U489" s="122"/>
      <c r="V489" s="122"/>
      <c r="W489" s="122"/>
      <c r="X489" s="122"/>
      <c r="Y489" s="122"/>
      <c r="Z489" s="122"/>
    </row>
    <row r="490" spans="1:26" ht="12.75" x14ac:dyDescent="0.2">
      <c r="A490" s="122"/>
      <c r="B490" s="180"/>
      <c r="C490" s="152" t="s">
        <v>85</v>
      </c>
      <c r="D490" s="180"/>
      <c r="E490" s="299">
        <v>1</v>
      </c>
      <c r="F490" s="125">
        <f>F373*$E490</f>
        <v>10.86</v>
      </c>
      <c r="G490" s="125">
        <f>G373*$E490</f>
        <v>0</v>
      </c>
      <c r="H490" s="125">
        <f>H373*$E490</f>
        <v>10.86</v>
      </c>
      <c r="I490" s="125">
        <f>I373*$E490</f>
        <v>0</v>
      </c>
      <c r="J490" s="125">
        <f>J373*$E490</f>
        <v>0</v>
      </c>
      <c r="K490" s="125">
        <f>K373*$E490</f>
        <v>0</v>
      </c>
      <c r="L490" s="125">
        <f>L373*$E490</f>
        <v>0</v>
      </c>
      <c r="M490" s="125">
        <f>M373*$E490</f>
        <v>0</v>
      </c>
      <c r="N490" s="125">
        <f>N373*$E490</f>
        <v>0</v>
      </c>
      <c r="O490" s="125">
        <f>O373*$E490</f>
        <v>0</v>
      </c>
      <c r="P490" s="122"/>
      <c r="Q490" s="122"/>
      <c r="R490" s="122"/>
      <c r="S490" s="122"/>
      <c r="T490" s="122"/>
      <c r="U490" s="122"/>
      <c r="V490" s="122"/>
      <c r="W490" s="122"/>
      <c r="X490" s="122"/>
      <c r="Y490" s="122"/>
      <c r="Z490" s="122"/>
    </row>
    <row r="491" spans="1:26" ht="12.75" x14ac:dyDescent="0.2">
      <c r="A491" s="122"/>
      <c r="B491" s="180"/>
      <c r="C491" s="198" t="s">
        <v>207</v>
      </c>
      <c r="D491" s="182"/>
      <c r="E491" s="182"/>
      <c r="F491" s="193">
        <f>SUM(F484:F490)</f>
        <v>84.430824935064948</v>
      </c>
      <c r="G491" s="193">
        <f t="shared" ref="G491:O491" si="113">SUM(G484:G490)</f>
        <v>60.204072090188959</v>
      </c>
      <c r="H491" s="193">
        <f t="shared" si="113"/>
        <v>84.430824935064948</v>
      </c>
      <c r="I491" s="193">
        <f t="shared" si="113"/>
        <v>60.204072090188959</v>
      </c>
      <c r="J491" s="193">
        <f t="shared" si="113"/>
        <v>73.570824935064948</v>
      </c>
      <c r="K491" s="193">
        <f t="shared" si="113"/>
        <v>60.204072090188951</v>
      </c>
      <c r="L491" s="193">
        <f t="shared" si="113"/>
        <v>73.570824935064948</v>
      </c>
      <c r="M491" s="193">
        <f t="shared" si="113"/>
        <v>60.204072090188951</v>
      </c>
      <c r="N491" s="193">
        <f t="shared" si="113"/>
        <v>73.570824935064934</v>
      </c>
      <c r="O491" s="193">
        <f t="shared" si="113"/>
        <v>60.204072090188959</v>
      </c>
      <c r="P491" s="122"/>
      <c r="Q491" s="122"/>
      <c r="R491" s="122"/>
      <c r="S491" s="122"/>
      <c r="T491" s="122"/>
      <c r="U491" s="122"/>
      <c r="V491" s="122"/>
      <c r="W491" s="122"/>
      <c r="X491" s="122"/>
      <c r="Y491" s="122"/>
      <c r="Z491" s="122"/>
    </row>
    <row r="492" spans="1:26" ht="12.75" x14ac:dyDescent="0.2">
      <c r="A492" s="122"/>
      <c r="B492" s="180"/>
      <c r="C492" s="155"/>
      <c r="D492" s="180"/>
      <c r="E492" s="180"/>
      <c r="F492" s="180"/>
      <c r="G492" s="180"/>
      <c r="H492" s="180"/>
      <c r="I492" s="180"/>
      <c r="J492" s="180"/>
      <c r="K492" s="180"/>
      <c r="L492" s="180"/>
      <c r="M492" s="180"/>
      <c r="N492" s="180"/>
      <c r="O492" s="180"/>
      <c r="P492" s="122"/>
      <c r="Q492" s="122"/>
      <c r="R492" s="122"/>
      <c r="S492" s="122"/>
      <c r="T492" s="122"/>
      <c r="U492" s="122"/>
      <c r="V492" s="122"/>
      <c r="W492" s="122"/>
      <c r="X492" s="122"/>
      <c r="Y492" s="122"/>
      <c r="Z492" s="122"/>
    </row>
    <row r="493" spans="1:26" ht="12.75" x14ac:dyDescent="0.2">
      <c r="A493" s="122"/>
      <c r="B493" s="180"/>
      <c r="C493" s="188" t="s">
        <v>215</v>
      </c>
      <c r="D493" s="180"/>
      <c r="E493" s="180"/>
      <c r="F493" s="183"/>
      <c r="G493" s="183"/>
      <c r="H493" s="183"/>
      <c r="I493" s="183"/>
      <c r="J493" s="183"/>
      <c r="K493" s="183"/>
      <c r="L493" s="183"/>
      <c r="M493" s="183"/>
      <c r="N493" s="183"/>
      <c r="O493" s="183"/>
      <c r="P493" s="122"/>
      <c r="Q493" s="122"/>
      <c r="R493" s="122"/>
      <c r="S493" s="122"/>
      <c r="T493" s="122"/>
      <c r="U493" s="122"/>
      <c r="V493" s="122"/>
      <c r="W493" s="122"/>
      <c r="X493" s="122"/>
      <c r="Y493" s="122"/>
      <c r="Z493" s="122"/>
    </row>
    <row r="494" spans="1:26" ht="12.75" x14ac:dyDescent="0.2">
      <c r="A494" s="122"/>
      <c r="B494" s="180"/>
      <c r="C494" s="155" t="s">
        <v>110</v>
      </c>
      <c r="D494" s="180"/>
      <c r="E494" s="299">
        <v>1</v>
      </c>
      <c r="F494" s="125">
        <f>F377*$E494</f>
        <v>2.38</v>
      </c>
      <c r="G494" s="125">
        <f>G377*$E494</f>
        <v>6.21936</v>
      </c>
      <c r="H494" s="125">
        <f>H377*$E494</f>
        <v>2.38</v>
      </c>
      <c r="I494" s="125">
        <f>I377*$E494</f>
        <v>6.21936</v>
      </c>
      <c r="J494" s="125">
        <f>J377*$E494</f>
        <v>2.3800000000000003</v>
      </c>
      <c r="K494" s="125">
        <f>K377*$E494</f>
        <v>6.21936</v>
      </c>
      <c r="L494" s="125">
        <f>L377*$E494</f>
        <v>2.38</v>
      </c>
      <c r="M494" s="125">
        <f>M377*$E494</f>
        <v>6.2193599999999991</v>
      </c>
      <c r="N494" s="125">
        <f>N377*$E494</f>
        <v>2.3800000000000003</v>
      </c>
      <c r="O494" s="125">
        <f>O377*$E494</f>
        <v>6.2193599999999991</v>
      </c>
      <c r="P494" s="122"/>
      <c r="Q494" s="122"/>
      <c r="R494" s="122"/>
      <c r="S494" s="122"/>
      <c r="T494" s="122"/>
      <c r="U494" s="122"/>
      <c r="V494" s="122"/>
      <c r="W494" s="122"/>
      <c r="X494" s="122"/>
      <c r="Y494" s="122"/>
      <c r="Z494" s="122"/>
    </row>
    <row r="495" spans="1:26" ht="12.75" x14ac:dyDescent="0.2">
      <c r="A495" s="122"/>
      <c r="B495" s="180"/>
      <c r="C495" s="184" t="s">
        <v>283</v>
      </c>
      <c r="D495" s="185"/>
      <c r="E495" s="343">
        <v>1</v>
      </c>
      <c r="F495" s="125">
        <f>F378*$E495</f>
        <v>2.5110399999999999</v>
      </c>
      <c r="G495" s="125">
        <f>G378*$E495</f>
        <v>3.74369</v>
      </c>
      <c r="H495" s="125">
        <f>H378*$E495</f>
        <v>2.5110399999999999</v>
      </c>
      <c r="I495" s="125">
        <f>I378*$E495</f>
        <v>3.7436899999999995</v>
      </c>
      <c r="J495" s="125">
        <f>J378*$E495</f>
        <v>2.5110399999999999</v>
      </c>
      <c r="K495" s="125">
        <f>K378*$E495</f>
        <v>3.74369</v>
      </c>
      <c r="L495" s="125">
        <f>L378*$E495</f>
        <v>2.5110399999999999</v>
      </c>
      <c r="M495" s="125">
        <f>M378*$E495</f>
        <v>3.74369</v>
      </c>
      <c r="N495" s="125">
        <f>N378*$E495</f>
        <v>2.5110399999999999</v>
      </c>
      <c r="O495" s="125">
        <f>O378*$E495</f>
        <v>3.74369</v>
      </c>
      <c r="P495" s="122"/>
      <c r="Q495" s="122"/>
      <c r="R495" s="122"/>
      <c r="S495" s="122"/>
      <c r="T495" s="122"/>
      <c r="U495" s="122"/>
      <c r="V495" s="122"/>
      <c r="W495" s="122"/>
      <c r="X495" s="122"/>
      <c r="Y495" s="122"/>
      <c r="Z495" s="122"/>
    </row>
    <row r="496" spans="1:26" ht="12.75" x14ac:dyDescent="0.2">
      <c r="A496" s="122"/>
      <c r="B496" s="180"/>
      <c r="C496" s="199" t="s">
        <v>216</v>
      </c>
      <c r="D496" s="182"/>
      <c r="E496" s="155"/>
      <c r="F496" s="127">
        <f t="shared" ref="F496:O496" si="114">SUM(F494:F495)</f>
        <v>4.8910400000000003</v>
      </c>
      <c r="G496" s="127">
        <f t="shared" si="114"/>
        <v>9.9630499999999991</v>
      </c>
      <c r="H496" s="127">
        <f>SUM(H494:H495)</f>
        <v>4.8910400000000003</v>
      </c>
      <c r="I496" s="127">
        <f t="shared" si="114"/>
        <v>9.9630499999999991</v>
      </c>
      <c r="J496" s="127">
        <f t="shared" si="114"/>
        <v>4.8910400000000003</v>
      </c>
      <c r="K496" s="127">
        <f t="shared" si="114"/>
        <v>9.9630499999999991</v>
      </c>
      <c r="L496" s="127">
        <f t="shared" si="114"/>
        <v>4.8910400000000003</v>
      </c>
      <c r="M496" s="127">
        <f t="shared" si="114"/>
        <v>9.9630499999999991</v>
      </c>
      <c r="N496" s="127">
        <f t="shared" si="114"/>
        <v>4.8910400000000003</v>
      </c>
      <c r="O496" s="127">
        <f t="shared" si="114"/>
        <v>9.9630499999999991</v>
      </c>
      <c r="P496" s="122"/>
      <c r="Q496" s="122"/>
      <c r="R496" s="122"/>
      <c r="S496" s="122"/>
      <c r="T496" s="122"/>
      <c r="U496" s="122"/>
      <c r="V496" s="122"/>
      <c r="W496" s="122"/>
      <c r="X496" s="122"/>
      <c r="Y496" s="122"/>
      <c r="Z496" s="122"/>
    </row>
    <row r="497" spans="1:26" ht="12.75" x14ac:dyDescent="0.2">
      <c r="A497" s="122"/>
      <c r="B497" s="180"/>
      <c r="C497" s="155"/>
      <c r="D497" s="180"/>
      <c r="E497" s="201"/>
      <c r="F497" s="183"/>
      <c r="G497" s="183"/>
      <c r="H497" s="183"/>
      <c r="I497" s="183"/>
      <c r="J497" s="183"/>
      <c r="K497" s="183"/>
      <c r="L497" s="183"/>
      <c r="M497" s="183"/>
      <c r="N497" s="183"/>
      <c r="O497" s="183"/>
      <c r="P497" s="122"/>
      <c r="Q497" s="122"/>
      <c r="R497" s="122"/>
      <c r="S497" s="122"/>
      <c r="T497" s="122"/>
      <c r="U497" s="122"/>
      <c r="V497" s="122"/>
      <c r="W497" s="122"/>
      <c r="X497" s="122"/>
      <c r="Y497" s="122"/>
      <c r="Z497" s="122"/>
    </row>
    <row r="498" spans="1:26" ht="12.75" x14ac:dyDescent="0.2">
      <c r="A498" s="122"/>
      <c r="B498" s="180"/>
      <c r="C498" s="188" t="s">
        <v>219</v>
      </c>
      <c r="D498" s="180"/>
      <c r="E498" s="180"/>
      <c r="F498" s="183"/>
      <c r="G498" s="183"/>
      <c r="H498" s="183"/>
      <c r="I498" s="183"/>
      <c r="J498" s="183"/>
      <c r="K498" s="183"/>
      <c r="L498" s="183"/>
      <c r="M498" s="183"/>
      <c r="N498" s="183"/>
      <c r="O498" s="183"/>
      <c r="P498" s="122"/>
      <c r="Q498" s="122"/>
      <c r="R498" s="122"/>
      <c r="S498" s="122"/>
      <c r="T498" s="122"/>
      <c r="U498" s="122"/>
      <c r="V498" s="122"/>
      <c r="W498" s="122"/>
      <c r="X498" s="122"/>
      <c r="Y498" s="122"/>
      <c r="Z498" s="122"/>
    </row>
    <row r="499" spans="1:26" ht="12.75" x14ac:dyDescent="0.2">
      <c r="A499" s="122"/>
      <c r="B499" s="180"/>
      <c r="C499" s="152" t="s">
        <v>92</v>
      </c>
      <c r="D499" s="180"/>
      <c r="E499" s="299">
        <f>E468</f>
        <v>0.98628157029794861</v>
      </c>
      <c r="F499" s="125">
        <f>F382*$E499</f>
        <v>2.5150180042597694</v>
      </c>
      <c r="G499" s="125">
        <f>G382*$E499</f>
        <v>3.1846812029674911</v>
      </c>
      <c r="H499" s="125">
        <f>H382*$E499</f>
        <v>2.5150180042597694</v>
      </c>
      <c r="I499" s="125">
        <f>I382*$E499</f>
        <v>3.1846812029674911</v>
      </c>
      <c r="J499" s="125">
        <f>J382*$E499</f>
        <v>2.5150180042597694</v>
      </c>
      <c r="K499" s="125">
        <f>K382*$E499</f>
        <v>3.1846812029674911</v>
      </c>
      <c r="L499" s="125">
        <f>L382*$E499</f>
        <v>2.5150180042597694</v>
      </c>
      <c r="M499" s="125">
        <f>M382*$E499</f>
        <v>3.1846812029674911</v>
      </c>
      <c r="N499" s="125">
        <f>N382*$E499</f>
        <v>2.5150180042597694</v>
      </c>
      <c r="O499" s="125">
        <f>O382*$E499</f>
        <v>3.1846812029674911</v>
      </c>
      <c r="P499" s="122"/>
      <c r="Q499" s="122"/>
      <c r="R499" s="122"/>
      <c r="S499" s="122"/>
      <c r="T499" s="122"/>
      <c r="U499" s="122"/>
      <c r="V499" s="122"/>
      <c r="W499" s="122"/>
      <c r="X499" s="122"/>
      <c r="Y499" s="122"/>
      <c r="Z499" s="122"/>
    </row>
    <row r="500" spans="1:26" ht="12.75" x14ac:dyDescent="0.2">
      <c r="A500" s="122"/>
      <c r="B500" s="180"/>
      <c r="C500" s="152" t="s">
        <v>96</v>
      </c>
      <c r="D500" s="180"/>
      <c r="E500" s="299">
        <v>1</v>
      </c>
      <c r="F500" s="125">
        <f>F383*$E500</f>
        <v>7.4119999999999999</v>
      </c>
      <c r="G500" s="125">
        <f>G383*$E500</f>
        <v>3.15</v>
      </c>
      <c r="H500" s="125">
        <f>H383*$E500</f>
        <v>7.4119999999999999</v>
      </c>
      <c r="I500" s="125">
        <f>I383*$E500</f>
        <v>3.15</v>
      </c>
      <c r="J500" s="125">
        <f>J383*$E500</f>
        <v>7.411999999999999</v>
      </c>
      <c r="K500" s="125">
        <f>K383*$E500</f>
        <v>3.1500000000000004</v>
      </c>
      <c r="L500" s="125">
        <f>L383*$E500</f>
        <v>7.4119999999999999</v>
      </c>
      <c r="M500" s="125">
        <f>M383*$E500</f>
        <v>3.15</v>
      </c>
      <c r="N500" s="125">
        <f>N383*$E500</f>
        <v>7.4120000000000008</v>
      </c>
      <c r="O500" s="125">
        <f>O383*$E500</f>
        <v>3.15</v>
      </c>
      <c r="P500" s="122"/>
      <c r="Q500" s="122"/>
      <c r="R500" s="122"/>
      <c r="S500" s="122"/>
      <c r="T500" s="122"/>
      <c r="U500" s="122"/>
      <c r="V500" s="122"/>
      <c r="W500" s="122"/>
      <c r="X500" s="122"/>
      <c r="Y500" s="122"/>
      <c r="Z500" s="122"/>
    </row>
    <row r="501" spans="1:26" ht="12.75" x14ac:dyDescent="0.2">
      <c r="A501" s="122"/>
      <c r="B501" s="180"/>
      <c r="C501" s="152" t="s">
        <v>99</v>
      </c>
      <c r="D501" s="180"/>
      <c r="E501" s="299">
        <f>CFs!$C$252</f>
        <v>1.5401003517880794</v>
      </c>
      <c r="F501" s="125">
        <f>F384*$E501</f>
        <v>9.9651929597267443</v>
      </c>
      <c r="G501" s="125">
        <f>G384*$E501</f>
        <v>4.8440729703754046</v>
      </c>
      <c r="H501" s="125">
        <f>H384*$E501</f>
        <v>9.9651929597267426</v>
      </c>
      <c r="I501" s="125">
        <f>I384*$E501</f>
        <v>4.8440729703754055</v>
      </c>
      <c r="J501" s="125">
        <f>J384*$E501</f>
        <v>9.9651929597267426</v>
      </c>
      <c r="K501" s="125">
        <f>K384*$E501</f>
        <v>4.8440729703754064</v>
      </c>
      <c r="L501" s="125">
        <f>L384*$E501</f>
        <v>9.9651929597267426</v>
      </c>
      <c r="M501" s="125">
        <f>M384*$E501</f>
        <v>4.8440729703754064</v>
      </c>
      <c r="N501" s="125">
        <f>N384*$E501</f>
        <v>9.9651929597267426</v>
      </c>
      <c r="O501" s="125">
        <f>O384*$E501</f>
        <v>4.8440729703754046</v>
      </c>
      <c r="P501" s="122"/>
      <c r="Q501" s="122"/>
      <c r="R501" s="122"/>
      <c r="S501" s="122"/>
      <c r="T501" s="122"/>
      <c r="U501" s="122"/>
      <c r="V501" s="122"/>
      <c r="W501" s="122"/>
      <c r="X501" s="122"/>
      <c r="Y501" s="122"/>
      <c r="Z501" s="122"/>
    </row>
    <row r="502" spans="1:26" ht="12.75" x14ac:dyDescent="0.2">
      <c r="A502" s="122"/>
      <c r="B502" s="180"/>
      <c r="C502" s="152" t="s">
        <v>102</v>
      </c>
      <c r="D502" s="180"/>
      <c r="E502" s="299">
        <f>CFs!$C$218</f>
        <v>1.0969941102134646</v>
      </c>
      <c r="F502" s="125">
        <f>F385*$E502</f>
        <v>14.313681126637769</v>
      </c>
      <c r="G502" s="125">
        <f>G385*$E502</f>
        <v>10.21112752137056</v>
      </c>
      <c r="H502" s="125">
        <f>H385*$E502</f>
        <v>14.313681126637769</v>
      </c>
      <c r="I502" s="125">
        <f>I385*$E502</f>
        <v>10.211127521370562</v>
      </c>
      <c r="J502" s="125">
        <f>J385*$E502</f>
        <v>14.313681126637768</v>
      </c>
      <c r="K502" s="125">
        <f>K385*$E502</f>
        <v>10.21112752137056</v>
      </c>
      <c r="L502" s="125">
        <f>L385*$E502</f>
        <v>14.313681126637768</v>
      </c>
      <c r="M502" s="125">
        <f>M385*$E502</f>
        <v>10.211127521370564</v>
      </c>
      <c r="N502" s="125">
        <f>N385*$E502</f>
        <v>14.313681126637771</v>
      </c>
      <c r="O502" s="125">
        <f>O385*$E502</f>
        <v>10.21112752137056</v>
      </c>
      <c r="P502" s="122"/>
      <c r="Q502" s="122"/>
      <c r="R502" s="122"/>
      <c r="S502" s="122"/>
      <c r="T502" s="122"/>
      <c r="U502" s="122"/>
      <c r="V502" s="122"/>
      <c r="W502" s="122"/>
      <c r="X502" s="122"/>
      <c r="Y502" s="122"/>
      <c r="Z502" s="122"/>
    </row>
    <row r="503" spans="1:26" ht="12.75" x14ac:dyDescent="0.2">
      <c r="A503" s="122"/>
      <c r="B503" s="180"/>
      <c r="C503" s="152" t="s">
        <v>418</v>
      </c>
      <c r="D503" s="180"/>
      <c r="E503" s="299">
        <v>1.2482325458709678</v>
      </c>
      <c r="F503" s="125">
        <f>F386*$E503</f>
        <v>23.681467860264004</v>
      </c>
      <c r="G503" s="125">
        <f>G386*$E503</f>
        <v>0</v>
      </c>
      <c r="H503" s="125">
        <f>H386*$E503</f>
        <v>23.681467860263997</v>
      </c>
      <c r="I503" s="125">
        <f>I386*$E503</f>
        <v>0</v>
      </c>
      <c r="J503" s="125">
        <f>J386*$E503</f>
        <v>23.681467860263997</v>
      </c>
      <c r="K503" s="125">
        <f>K386*$E503</f>
        <v>0</v>
      </c>
      <c r="L503" s="125">
        <f>L386*$E503</f>
        <v>23.681467860264004</v>
      </c>
      <c r="M503" s="125">
        <f>M386*$E503</f>
        <v>0</v>
      </c>
      <c r="N503" s="125">
        <f>N386*$E503</f>
        <v>23.681467860264004</v>
      </c>
      <c r="O503" s="125">
        <f>O386*$E503</f>
        <v>0</v>
      </c>
      <c r="P503" s="122"/>
      <c r="Q503" s="122"/>
      <c r="R503" s="122"/>
      <c r="S503" s="122"/>
      <c r="T503" s="122"/>
      <c r="U503" s="122"/>
      <c r="V503" s="122"/>
      <c r="W503" s="122"/>
      <c r="X503" s="122"/>
      <c r="Y503" s="122"/>
      <c r="Z503" s="122"/>
    </row>
    <row r="504" spans="1:26" ht="12.75" x14ac:dyDescent="0.2">
      <c r="A504" s="122"/>
      <c r="B504" s="180"/>
      <c r="C504" s="152" t="s">
        <v>105</v>
      </c>
      <c r="D504" s="180"/>
      <c r="E504" s="299">
        <v>1</v>
      </c>
      <c r="F504" s="125">
        <f>F387*$E504</f>
        <v>2.2467200000000003</v>
      </c>
      <c r="G504" s="125">
        <f>G387*$E504</f>
        <v>0.51393176470588231</v>
      </c>
      <c r="H504" s="125">
        <f>H387*$E504</f>
        <v>2.2467200000000003</v>
      </c>
      <c r="I504" s="125">
        <f>I387*$E504</f>
        <v>0.51393176470588231</v>
      </c>
      <c r="J504" s="125">
        <f>J387*$E504</f>
        <v>2.2467200000000003</v>
      </c>
      <c r="K504" s="125">
        <f>K387*$E504</f>
        <v>0.51393176470588231</v>
      </c>
      <c r="L504" s="125">
        <f>L387*$E504</f>
        <v>2.2467199999999998</v>
      </c>
      <c r="M504" s="125">
        <f>M387*$E504</f>
        <v>0.51393176470588242</v>
      </c>
      <c r="N504" s="125">
        <f>N387*$E504</f>
        <v>2.2467200000000003</v>
      </c>
      <c r="O504" s="125">
        <f>O387*$E504</f>
        <v>0.51393176470588231</v>
      </c>
      <c r="P504" s="122"/>
      <c r="Q504" s="122"/>
      <c r="R504" s="122"/>
      <c r="S504" s="122"/>
      <c r="T504" s="122"/>
      <c r="U504" s="122"/>
      <c r="V504" s="122"/>
      <c r="W504" s="122"/>
      <c r="X504" s="122"/>
      <c r="Y504" s="122"/>
      <c r="Z504" s="122"/>
    </row>
    <row r="505" spans="1:26" ht="12.75" x14ac:dyDescent="0.2">
      <c r="A505" s="122"/>
      <c r="B505" s="180"/>
      <c r="C505" s="152" t="s">
        <v>108</v>
      </c>
      <c r="D505" s="180"/>
      <c r="E505" s="299">
        <v>1</v>
      </c>
      <c r="F505" s="125">
        <f>F388*$E505</f>
        <v>3.5</v>
      </c>
      <c r="G505" s="125">
        <f>G388*$E505</f>
        <v>2.1419999999999999</v>
      </c>
      <c r="H505" s="125">
        <f>H388*$E505</f>
        <v>4.7</v>
      </c>
      <c r="I505" s="125">
        <f>I388*$E505</f>
        <v>2.3939999999999997</v>
      </c>
      <c r="J505" s="125">
        <f>J388*$E505</f>
        <v>5.5</v>
      </c>
      <c r="K505" s="125">
        <f>K388*$E505</f>
        <v>2.52</v>
      </c>
      <c r="L505" s="125">
        <f>L388*$E505</f>
        <v>5.5000000000000009</v>
      </c>
      <c r="M505" s="125">
        <f>M388*$E505</f>
        <v>2.7720000000000002</v>
      </c>
      <c r="N505" s="125">
        <f>N388*$E505</f>
        <v>5.5</v>
      </c>
      <c r="O505" s="125">
        <f>O388*$E505</f>
        <v>2.8979999999999997</v>
      </c>
      <c r="P505" s="122"/>
      <c r="Q505" s="122"/>
      <c r="R505" s="122"/>
      <c r="S505" s="122"/>
      <c r="T505" s="122"/>
      <c r="U505" s="122"/>
      <c r="V505" s="122"/>
      <c r="W505" s="122"/>
      <c r="X505" s="122"/>
      <c r="Y505" s="122"/>
      <c r="Z505" s="122"/>
    </row>
    <row r="506" spans="1:26" ht="12.75" x14ac:dyDescent="0.2">
      <c r="A506" s="122"/>
      <c r="B506" s="155"/>
      <c r="C506" s="198" t="s">
        <v>217</v>
      </c>
      <c r="D506" s="198"/>
      <c r="E506" s="198"/>
      <c r="F506" s="200">
        <f t="shared" ref="F506:O506" si="115">SUM(F499:F505)</f>
        <v>63.634079950888285</v>
      </c>
      <c r="G506" s="200">
        <f t="shared" si="115"/>
        <v>24.045813459419339</v>
      </c>
      <c r="H506" s="200">
        <f t="shared" si="115"/>
        <v>64.834079950888281</v>
      </c>
      <c r="I506" s="200">
        <f t="shared" si="115"/>
        <v>24.297813459419341</v>
      </c>
      <c r="J506" s="200">
        <f t="shared" si="115"/>
        <v>65.634079950888264</v>
      </c>
      <c r="K506" s="200">
        <f t="shared" si="115"/>
        <v>24.423813459419343</v>
      </c>
      <c r="L506" s="200">
        <f t="shared" si="115"/>
        <v>65.634079950888278</v>
      </c>
      <c r="M506" s="200">
        <f t="shared" si="115"/>
        <v>24.675813459419345</v>
      </c>
      <c r="N506" s="200">
        <f t="shared" si="115"/>
        <v>65.634079950888292</v>
      </c>
      <c r="O506" s="200">
        <f t="shared" si="115"/>
        <v>24.801813459419339</v>
      </c>
      <c r="P506" s="122"/>
      <c r="Q506" s="122"/>
      <c r="R506" s="122"/>
      <c r="S506" s="122"/>
      <c r="T506" s="122"/>
      <c r="U506" s="122"/>
      <c r="V506" s="122"/>
      <c r="W506" s="122"/>
      <c r="X506" s="122"/>
      <c r="Y506" s="122"/>
      <c r="Z506" s="122"/>
    </row>
    <row r="507" spans="1:26" ht="12.75" x14ac:dyDescent="0.2">
      <c r="A507" s="122"/>
      <c r="B507" s="155"/>
      <c r="C507" s="155"/>
      <c r="D507" s="155"/>
      <c r="E507" s="155"/>
      <c r="F507" s="155"/>
      <c r="G507" s="155"/>
      <c r="H507" s="155"/>
      <c r="I507" s="155"/>
      <c r="J507" s="155"/>
      <c r="K507" s="155"/>
      <c r="L507" s="155"/>
      <c r="M507" s="155"/>
      <c r="N507" s="155"/>
      <c r="O507" s="155"/>
      <c r="P507" s="122"/>
      <c r="Q507" s="122"/>
      <c r="R507" s="122"/>
      <c r="S507" s="122"/>
      <c r="T507" s="122"/>
      <c r="U507" s="122"/>
      <c r="V507" s="122"/>
      <c r="W507" s="122"/>
      <c r="X507" s="122"/>
      <c r="Y507" s="122"/>
      <c r="Z507" s="122"/>
    </row>
    <row r="508" spans="1:26" ht="12.75" x14ac:dyDescent="0.2">
      <c r="A508" s="122"/>
      <c r="B508" s="180"/>
      <c r="C508" s="188" t="s">
        <v>287</v>
      </c>
      <c r="D508" s="201"/>
      <c r="E508" s="155"/>
      <c r="F508" s="202"/>
      <c r="G508" s="202"/>
      <c r="H508" s="202"/>
      <c r="I508" s="202"/>
      <c r="J508" s="202"/>
      <c r="K508" s="202"/>
      <c r="L508" s="202"/>
      <c r="M508" s="202"/>
      <c r="N508" s="202"/>
      <c r="O508" s="202"/>
      <c r="P508" s="122"/>
      <c r="Q508" s="122"/>
      <c r="R508" s="122"/>
      <c r="S508" s="122"/>
      <c r="T508" s="122"/>
      <c r="U508" s="122"/>
      <c r="V508" s="122"/>
      <c r="W508" s="122"/>
      <c r="X508" s="122"/>
      <c r="Y508" s="122"/>
      <c r="Z508" s="122"/>
    </row>
    <row r="509" spans="1:26" ht="12.75" x14ac:dyDescent="0.2">
      <c r="A509" s="122"/>
      <c r="B509" s="180"/>
      <c r="C509" s="155" t="s">
        <v>375</v>
      </c>
      <c r="D509" s="201"/>
      <c r="E509" s="299">
        <v>1.2</v>
      </c>
      <c r="F509" s="125">
        <f>F392*$E509</f>
        <v>8.159912720796088</v>
      </c>
      <c r="G509" s="125">
        <f>G392*$E509</f>
        <v>3.3818347446765382</v>
      </c>
      <c r="H509" s="125">
        <f>H392*$E509</f>
        <v>10.922832104924169</v>
      </c>
      <c r="I509" s="125">
        <f>I392*$E509</f>
        <v>3.6537666063871983</v>
      </c>
      <c r="J509" s="125">
        <f>J392*$E509</f>
        <v>12.770926379220782</v>
      </c>
      <c r="K509" s="125">
        <f>K392*$E509</f>
        <v>3.9400227508453294</v>
      </c>
      <c r="L509" s="125">
        <f>L392*$E509</f>
        <v>12.77092637922078</v>
      </c>
      <c r="M509" s="125">
        <f>M392*$E509</f>
        <v>4.2413577239689371</v>
      </c>
      <c r="N509" s="125">
        <f>N392*$E509</f>
        <v>12.770926379220782</v>
      </c>
      <c r="O509" s="125">
        <f>O392*$E509</f>
        <v>4.5585658181368034</v>
      </c>
      <c r="P509" s="122"/>
      <c r="Q509" s="122"/>
      <c r="R509" s="122"/>
      <c r="S509" s="122"/>
      <c r="T509" s="122"/>
      <c r="U509" s="122"/>
      <c r="V509" s="122"/>
      <c r="W509" s="122"/>
      <c r="X509" s="122"/>
      <c r="Y509" s="122"/>
      <c r="Z509" s="122"/>
    </row>
    <row r="510" spans="1:26" ht="12.75" x14ac:dyDescent="0.2">
      <c r="A510" s="122"/>
      <c r="B510" s="180"/>
      <c r="C510" s="184" t="s">
        <v>284</v>
      </c>
      <c r="D510" s="185"/>
      <c r="E510" s="343">
        <v>1</v>
      </c>
      <c r="F510" s="141">
        <f>F393*$E510</f>
        <v>5.193579469050432</v>
      </c>
      <c r="G510" s="141">
        <f>G393*$E510</f>
        <v>1.4016622058208001</v>
      </c>
      <c r="H510" s="141">
        <f>H393*$E510</f>
        <v>6.7495758779779411</v>
      </c>
      <c r="I510" s="141">
        <f>I393*$E510</f>
        <v>1.4754961641746167</v>
      </c>
      <c r="J510" s="141">
        <f>J393*$E510</f>
        <v>7.7903692035756471</v>
      </c>
      <c r="K510" s="141">
        <f>K393*$E510</f>
        <v>1.5532194001186788</v>
      </c>
      <c r="L510" s="141">
        <f>L393*$E510</f>
        <v>7.7903692035756471</v>
      </c>
      <c r="M510" s="141">
        <f>M393*$E510</f>
        <v>1.6350367852393308</v>
      </c>
      <c r="N510" s="141">
        <f>N393*$E510</f>
        <v>7.7903692035756471</v>
      </c>
      <c r="O510" s="141">
        <f>O393*$E510</f>
        <v>1.7211639829385978</v>
      </c>
      <c r="P510" s="122"/>
      <c r="Q510" s="122"/>
      <c r="R510" s="122"/>
      <c r="S510" s="122"/>
      <c r="T510" s="122"/>
      <c r="U510" s="122"/>
      <c r="V510" s="122"/>
      <c r="W510" s="122"/>
      <c r="X510" s="122"/>
      <c r="Y510" s="122"/>
      <c r="Z510" s="122"/>
    </row>
    <row r="511" spans="1:26" ht="12.75" x14ac:dyDescent="0.2">
      <c r="A511" s="122"/>
      <c r="B511" s="180"/>
      <c r="C511" s="189" t="s">
        <v>289</v>
      </c>
      <c r="D511" s="201"/>
      <c r="E511" s="201"/>
      <c r="F511" s="202">
        <f t="shared" ref="F511:O511" si="116">SUM(F509:F510)</f>
        <v>13.35349218984652</v>
      </c>
      <c r="G511" s="202">
        <f t="shared" si="116"/>
        <v>4.7834969504973381</v>
      </c>
      <c r="H511" s="202">
        <f t="shared" si="116"/>
        <v>17.672407982902108</v>
      </c>
      <c r="I511" s="202">
        <f t="shared" si="116"/>
        <v>5.129262770561815</v>
      </c>
      <c r="J511" s="202">
        <f t="shared" si="116"/>
        <v>20.561295582796429</v>
      </c>
      <c r="K511" s="202">
        <f t="shared" si="116"/>
        <v>5.4932421509640079</v>
      </c>
      <c r="L511" s="202">
        <f t="shared" si="116"/>
        <v>20.561295582796426</v>
      </c>
      <c r="M511" s="202">
        <f t="shared" si="116"/>
        <v>5.8763945092082679</v>
      </c>
      <c r="N511" s="202">
        <f t="shared" si="116"/>
        <v>20.561295582796429</v>
      </c>
      <c r="O511" s="202">
        <f t="shared" si="116"/>
        <v>6.2797298010754012</v>
      </c>
      <c r="P511" s="122"/>
      <c r="Q511" s="122"/>
      <c r="R511" s="122"/>
      <c r="S511" s="122"/>
      <c r="T511" s="122"/>
      <c r="U511" s="122"/>
      <c r="V511" s="122"/>
      <c r="W511" s="122"/>
      <c r="X511" s="122"/>
      <c r="Y511" s="122"/>
      <c r="Z511" s="122"/>
    </row>
    <row r="512" spans="1:26" ht="12.75" x14ac:dyDescent="0.2">
      <c r="A512" s="122"/>
      <c r="B512" s="155"/>
      <c r="C512" s="155"/>
      <c r="D512" s="155"/>
      <c r="E512" s="155"/>
      <c r="F512" s="155"/>
      <c r="G512" s="155"/>
      <c r="H512" s="155"/>
      <c r="I512" s="155"/>
      <c r="J512" s="155"/>
      <c r="K512" s="155"/>
      <c r="L512" s="155"/>
      <c r="M512" s="155"/>
      <c r="N512" s="155"/>
      <c r="O512" s="155"/>
      <c r="P512" s="122"/>
      <c r="Q512" s="122"/>
      <c r="R512" s="122"/>
      <c r="S512" s="122"/>
      <c r="T512" s="122"/>
      <c r="U512" s="122"/>
      <c r="V512" s="122"/>
      <c r="W512" s="122"/>
      <c r="X512" s="122"/>
      <c r="Y512" s="122"/>
      <c r="Z512" s="122"/>
    </row>
    <row r="513" spans="1:26" ht="12.75" x14ac:dyDescent="0.2">
      <c r="A513" s="122"/>
      <c r="B513" s="155"/>
      <c r="C513" s="342" t="s">
        <v>669</v>
      </c>
      <c r="D513" s="203"/>
      <c r="E513" s="203"/>
      <c r="F513" s="204">
        <f t="shared" ref="F513:O513" si="117">F481+F491+F496+F506+F511</f>
        <v>166.30943707579976</v>
      </c>
      <c r="G513" s="204">
        <f t="shared" si="117"/>
        <v>98.996432500105627</v>
      </c>
      <c r="H513" s="204">
        <f t="shared" si="117"/>
        <v>171.82835286885535</v>
      </c>
      <c r="I513" s="204">
        <f t="shared" si="117"/>
        <v>99.594198320170108</v>
      </c>
      <c r="J513" s="204">
        <f t="shared" si="117"/>
        <v>164.65724046874962</v>
      </c>
      <c r="K513" s="204">
        <f t="shared" si="117"/>
        <v>100.08417770057231</v>
      </c>
      <c r="L513" s="204">
        <f t="shared" si="117"/>
        <v>164.65724046874965</v>
      </c>
      <c r="M513" s="204">
        <f t="shared" si="117"/>
        <v>100.71933005881657</v>
      </c>
      <c r="N513" s="204">
        <f t="shared" si="117"/>
        <v>164.65724046874965</v>
      </c>
      <c r="O513" s="204">
        <f t="shared" si="117"/>
        <v>101.24866535068369</v>
      </c>
      <c r="P513" s="122"/>
      <c r="Q513" s="122"/>
      <c r="R513" s="122"/>
      <c r="S513" s="122"/>
      <c r="T513" s="122"/>
      <c r="U513" s="122"/>
      <c r="V513" s="122"/>
      <c r="W513" s="122"/>
      <c r="X513" s="122"/>
      <c r="Y513" s="122"/>
      <c r="Z513" s="122"/>
    </row>
    <row r="514" spans="1:26" ht="12.75" x14ac:dyDescent="0.2">
      <c r="A514" s="122"/>
      <c r="B514" s="155"/>
      <c r="C514" s="155"/>
      <c r="D514" s="155"/>
      <c r="E514" s="155"/>
      <c r="F514" s="155"/>
      <c r="G514" s="155"/>
      <c r="H514" s="155"/>
      <c r="I514" s="155"/>
      <c r="J514" s="155"/>
      <c r="K514" s="155"/>
      <c r="L514" s="155"/>
      <c r="M514" s="155"/>
      <c r="N514" s="155"/>
      <c r="O514" s="155"/>
      <c r="P514" s="122"/>
      <c r="Q514" s="122"/>
      <c r="R514" s="122"/>
      <c r="S514" s="122"/>
      <c r="T514" s="122"/>
      <c r="U514" s="122"/>
      <c r="V514" s="122"/>
      <c r="W514" s="122"/>
      <c r="X514" s="122"/>
      <c r="Y514" s="122"/>
      <c r="Z514" s="122"/>
    </row>
    <row r="515" spans="1:26" ht="12.75" x14ac:dyDescent="0.2">
      <c r="A515" s="122"/>
      <c r="C515" s="206" t="s">
        <v>689</v>
      </c>
      <c r="D515" s="203"/>
      <c r="E515" s="203"/>
      <c r="F515" s="208">
        <f t="shared" ref="F515:O515" si="118">F476-F513</f>
        <v>-21.927283487254925</v>
      </c>
      <c r="G515" s="208">
        <f t="shared" si="118"/>
        <v>3.1264587465707905</v>
      </c>
      <c r="H515" s="208">
        <f t="shared" si="118"/>
        <v>15.81069393481755</v>
      </c>
      <c r="I515" s="208">
        <f t="shared" si="118"/>
        <v>7.9081183458162627</v>
      </c>
      <c r="J515" s="208">
        <f t="shared" si="118"/>
        <v>51.91598991406758</v>
      </c>
      <c r="K515" s="208">
        <f t="shared" si="118"/>
        <v>13.080930998111569</v>
      </c>
      <c r="L515" s="208">
        <f t="shared" si="118"/>
        <v>51.91598991406758</v>
      </c>
      <c r="M515" s="208">
        <f t="shared" si="118"/>
        <v>18.406863905679231</v>
      </c>
      <c r="N515" s="208">
        <f t="shared" si="118"/>
        <v>51.91598991406758</v>
      </c>
      <c r="O515" s="208">
        <f t="shared" si="118"/>
        <v>24.152620007085858</v>
      </c>
      <c r="P515" s="122"/>
      <c r="Q515" s="122"/>
      <c r="R515" s="122"/>
      <c r="S515" s="122"/>
      <c r="T515" s="122"/>
      <c r="U515" s="122"/>
      <c r="V515" s="122"/>
      <c r="W515" s="122"/>
      <c r="X515" s="122"/>
      <c r="Y515" s="122"/>
      <c r="Z515" s="122"/>
    </row>
    <row r="516" spans="1:26" ht="12.75" x14ac:dyDescent="0.2">
      <c r="A516" s="122"/>
      <c r="B516" s="122"/>
      <c r="C516" s="122"/>
      <c r="D516" s="122"/>
      <c r="E516" s="122"/>
      <c r="F516" s="122"/>
      <c r="G516" s="122"/>
      <c r="H516" s="122"/>
      <c r="I516" s="122"/>
      <c r="J516" s="122"/>
      <c r="K516" s="122"/>
      <c r="L516" s="122"/>
      <c r="M516" s="122"/>
      <c r="N516" s="122"/>
      <c r="O516" s="122"/>
      <c r="P516" s="122"/>
      <c r="Q516" s="122"/>
      <c r="R516" s="122"/>
      <c r="S516" s="122"/>
      <c r="T516" s="122"/>
      <c r="U516" s="122"/>
      <c r="V516" s="122"/>
      <c r="W516" s="122"/>
      <c r="X516" s="122"/>
      <c r="Y516" s="122"/>
      <c r="Z516" s="122"/>
    </row>
    <row r="517" spans="1:26" s="143" customFormat="1" ht="12.75" x14ac:dyDescent="0.2">
      <c r="A517" s="392" t="s">
        <v>769</v>
      </c>
      <c r="B517" s="119"/>
      <c r="C517" s="119"/>
      <c r="D517" s="161" t="s">
        <v>174</v>
      </c>
      <c r="E517" s="161"/>
      <c r="F517" s="162">
        <v>0</v>
      </c>
      <c r="G517" s="162">
        <v>1</v>
      </c>
      <c r="H517" s="162">
        <v>2</v>
      </c>
      <c r="I517" s="162">
        <v>3</v>
      </c>
      <c r="J517" s="162">
        <v>4</v>
      </c>
      <c r="K517" s="162">
        <v>5</v>
      </c>
      <c r="L517" s="162">
        <v>6</v>
      </c>
      <c r="M517" s="162">
        <v>7</v>
      </c>
      <c r="N517" s="162">
        <v>8</v>
      </c>
      <c r="O517" s="162">
        <v>9</v>
      </c>
      <c r="P517" s="119"/>
      <c r="Q517" s="119"/>
      <c r="R517" s="119"/>
      <c r="S517" s="119"/>
      <c r="T517" s="119"/>
      <c r="U517" s="119"/>
      <c r="V517" s="119"/>
      <c r="W517" s="119"/>
      <c r="X517" s="119"/>
      <c r="Y517" s="119"/>
      <c r="Z517" s="119"/>
    </row>
    <row r="518" spans="1:26" s="143" customFormat="1" ht="12.75" x14ac:dyDescent="0.2">
      <c r="A518" s="3"/>
      <c r="B518" s="154" t="s">
        <v>279</v>
      </c>
      <c r="C518" s="155"/>
      <c r="D518" s="155"/>
      <c r="E518" s="155"/>
      <c r="F518" s="155"/>
      <c r="G518" s="155"/>
      <c r="H518" s="155"/>
      <c r="I518" s="155"/>
      <c r="J518" s="155"/>
      <c r="K518" s="155"/>
      <c r="L518" s="155"/>
      <c r="M518" s="155"/>
      <c r="N518" s="155"/>
      <c r="O518" s="155"/>
      <c r="P518" s="122"/>
      <c r="Q518" s="122"/>
      <c r="R518" s="122"/>
      <c r="S518" s="122"/>
      <c r="T518" s="122"/>
      <c r="U518" s="122"/>
      <c r="V518" s="122"/>
      <c r="W518" s="122"/>
      <c r="X518" s="122"/>
      <c r="Y518" s="122"/>
      <c r="Z518" s="122"/>
    </row>
    <row r="519" spans="1:26" s="143" customFormat="1" ht="12.75" x14ac:dyDescent="0.2">
      <c r="A519" s="3"/>
      <c r="B519" s="155"/>
      <c r="C519" s="155" t="s">
        <v>672</v>
      </c>
      <c r="D519" s="155"/>
      <c r="E519" s="155"/>
      <c r="F519" s="125">
        <f>F476-F424</f>
        <v>74.898242174057629</v>
      </c>
      <c r="G519" s="125">
        <f t="shared" ref="G519:O519" si="119">G476-G424</f>
        <v>8.4291910235351963</v>
      </c>
      <c r="H519" s="125">
        <f t="shared" si="119"/>
        <v>104.48183535995068</v>
      </c>
      <c r="I519" s="125">
        <f t="shared" si="119"/>
        <v>22.18301772472735</v>
      </c>
      <c r="J519" s="125">
        <f t="shared" si="119"/>
        <v>141.94977240786861</v>
      </c>
      <c r="K519" s="125">
        <f t="shared" si="119"/>
        <v>9.3406121465580441</v>
      </c>
      <c r="L519" s="125">
        <f t="shared" si="119"/>
        <v>124.42449901388891</v>
      </c>
      <c r="M519" s="125">
        <f t="shared" si="119"/>
        <v>24.581595579975343</v>
      </c>
      <c r="N519" s="125">
        <f t="shared" si="119"/>
        <v>136.43006678166927</v>
      </c>
      <c r="O519" s="125">
        <f t="shared" si="119"/>
        <v>10.350582283498454</v>
      </c>
      <c r="P519" s="122"/>
      <c r="Q519" s="122"/>
      <c r="R519" s="122"/>
      <c r="S519" s="122"/>
      <c r="T519" s="122"/>
      <c r="U519" s="122"/>
      <c r="V519" s="122"/>
      <c r="W519" s="122"/>
      <c r="X519" s="122"/>
      <c r="Y519" s="122"/>
      <c r="Z519" s="122"/>
    </row>
    <row r="520" spans="1:26" s="143" customFormat="1" ht="12.75" x14ac:dyDescent="0.2">
      <c r="A520" s="3"/>
      <c r="B520" s="155"/>
      <c r="C520" s="155" t="s">
        <v>673</v>
      </c>
      <c r="D520" s="155"/>
      <c r="E520" s="155"/>
      <c r="F520" s="125">
        <f>F513-F461</f>
        <v>77.648824669586205</v>
      </c>
      <c r="G520" s="125">
        <f t="shared" ref="G520:O520" si="120">G513-G461</f>
        <v>3.3882916140974544</v>
      </c>
      <c r="H520" s="125">
        <f t="shared" si="120"/>
        <v>78.133663267117001</v>
      </c>
      <c r="I520" s="125">
        <f t="shared" si="120"/>
        <v>5.6605392377966268</v>
      </c>
      <c r="J520" s="125">
        <f t="shared" si="120"/>
        <v>78.719160183471118</v>
      </c>
      <c r="K520" s="125">
        <f t="shared" si="120"/>
        <v>3.4780737576280529</v>
      </c>
      <c r="L520" s="125">
        <f t="shared" si="120"/>
        <v>70.084615489488442</v>
      </c>
      <c r="M520" s="125">
        <f t="shared" si="120"/>
        <v>5.8927092791046363</v>
      </c>
      <c r="N520" s="125">
        <f t="shared" si="120"/>
        <v>78.519160183471143</v>
      </c>
      <c r="O520" s="125">
        <f t="shared" si="120"/>
        <v>3.5741901985896192</v>
      </c>
      <c r="P520" s="122"/>
      <c r="Q520" s="122"/>
      <c r="R520" s="122"/>
      <c r="S520" s="122"/>
      <c r="T520" s="122"/>
      <c r="U520" s="122"/>
      <c r="V520" s="122"/>
      <c r="W520" s="122"/>
      <c r="X520" s="122"/>
      <c r="Y520" s="122"/>
      <c r="Z520" s="122"/>
    </row>
    <row r="521" spans="1:26" s="143" customFormat="1" ht="12.75" x14ac:dyDescent="0.2">
      <c r="A521" s="3"/>
      <c r="B521" s="155"/>
      <c r="C521" s="155" t="s">
        <v>674</v>
      </c>
      <c r="D521" s="155"/>
      <c r="E521" s="155"/>
      <c r="F521" s="125">
        <f>F519-F520</f>
        <v>-2.750582495528576</v>
      </c>
      <c r="G521" s="125">
        <f t="shared" ref="G521:O521" si="121">G519-G520</f>
        <v>5.040899409437742</v>
      </c>
      <c r="H521" s="125">
        <f t="shared" si="121"/>
        <v>26.348172092833678</v>
      </c>
      <c r="I521" s="125">
        <f t="shared" si="121"/>
        <v>16.522478486930723</v>
      </c>
      <c r="J521" s="125">
        <f t="shared" si="121"/>
        <v>63.23061222439749</v>
      </c>
      <c r="K521" s="125">
        <f t="shared" si="121"/>
        <v>5.8625383889299911</v>
      </c>
      <c r="L521" s="125">
        <f t="shared" si="121"/>
        <v>54.339883524400463</v>
      </c>
      <c r="M521" s="125">
        <f t="shared" si="121"/>
        <v>18.688886300870706</v>
      </c>
      <c r="N521" s="125">
        <f t="shared" si="121"/>
        <v>57.910906598198125</v>
      </c>
      <c r="O521" s="125">
        <f t="shared" si="121"/>
        <v>6.776392084908835</v>
      </c>
      <c r="P521" s="122"/>
      <c r="Q521" s="122"/>
      <c r="R521" s="122"/>
      <c r="S521" s="122"/>
      <c r="T521" s="122"/>
      <c r="U521" s="122"/>
      <c r="V521" s="122"/>
      <c r="W521" s="122"/>
      <c r="X521" s="122"/>
      <c r="Y521" s="122"/>
      <c r="Z521" s="122"/>
    </row>
    <row r="522" spans="1:26" s="143" customFormat="1" ht="12.75" x14ac:dyDescent="0.2">
      <c r="A522" s="3"/>
      <c r="B522" s="122"/>
      <c r="C522" s="122"/>
      <c r="D522" s="122"/>
      <c r="E522" s="122"/>
      <c r="F522" s="122"/>
      <c r="G522" s="122"/>
      <c r="H522" s="122"/>
      <c r="I522" s="122"/>
      <c r="J522" s="122"/>
      <c r="K522" s="122"/>
      <c r="L522" s="122"/>
      <c r="M522" s="122"/>
      <c r="N522" s="122"/>
      <c r="O522" s="122"/>
      <c r="P522" s="122"/>
      <c r="Q522" s="122"/>
      <c r="R522" s="122"/>
      <c r="S522" s="122"/>
      <c r="T522" s="122"/>
      <c r="U522" s="122"/>
      <c r="V522" s="122"/>
      <c r="W522" s="122"/>
      <c r="X522" s="122"/>
      <c r="Y522" s="122"/>
      <c r="Z522" s="122"/>
    </row>
    <row r="523" spans="1:26" s="143" customFormat="1" ht="12.75" x14ac:dyDescent="0.2">
      <c r="A523" s="392" t="s">
        <v>770</v>
      </c>
      <c r="B523" s="119"/>
      <c r="C523" s="119"/>
      <c r="D523" s="161" t="s">
        <v>174</v>
      </c>
      <c r="E523" s="161"/>
      <c r="F523" s="162">
        <v>0</v>
      </c>
      <c r="G523" s="162">
        <v>1</v>
      </c>
      <c r="H523" s="162">
        <v>2</v>
      </c>
      <c r="I523" s="162">
        <v>3</v>
      </c>
      <c r="J523" s="162">
        <v>4</v>
      </c>
      <c r="K523" s="162">
        <v>5</v>
      </c>
      <c r="L523" s="162">
        <v>6</v>
      </c>
      <c r="M523" s="162">
        <v>7</v>
      </c>
      <c r="N523" s="162">
        <v>8</v>
      </c>
      <c r="O523" s="162">
        <v>9</v>
      </c>
      <c r="P523" s="162">
        <v>10</v>
      </c>
      <c r="Q523" s="162">
        <v>11</v>
      </c>
      <c r="R523" s="162">
        <v>12</v>
      </c>
      <c r="S523" s="162">
        <v>13</v>
      </c>
      <c r="T523" s="119"/>
      <c r="U523" s="119"/>
      <c r="V523" s="119"/>
      <c r="W523" s="119"/>
      <c r="X523" s="119"/>
      <c r="Y523" s="119"/>
      <c r="Z523" s="119"/>
    </row>
    <row r="524" spans="1:26" s="143" customFormat="1" ht="12.75" x14ac:dyDescent="0.2">
      <c r="A524" s="122"/>
      <c r="B524" s="154" t="s">
        <v>865</v>
      </c>
      <c r="C524" s="155"/>
      <c r="D524" s="155"/>
      <c r="E524" s="155"/>
      <c r="F524" s="155"/>
      <c r="G524" s="155"/>
      <c r="H524" s="155"/>
      <c r="I524" s="155"/>
      <c r="J524" s="155"/>
      <c r="K524" s="122"/>
      <c r="L524" s="122"/>
      <c r="M524" s="122"/>
      <c r="N524" s="122"/>
      <c r="O524" s="122"/>
      <c r="P524" s="122"/>
      <c r="Q524" s="122"/>
      <c r="R524" s="122"/>
      <c r="S524" s="122"/>
      <c r="T524" s="122"/>
      <c r="U524" s="122"/>
      <c r="V524" s="122"/>
      <c r="W524" s="122"/>
      <c r="X524" s="122"/>
      <c r="Y524" s="122"/>
      <c r="Z524" s="122"/>
    </row>
    <row r="525" spans="1:26" s="143" customFormat="1" ht="12.75" x14ac:dyDescent="0.2">
      <c r="A525" s="122"/>
      <c r="B525" s="155"/>
      <c r="C525" s="155" t="s">
        <v>260</v>
      </c>
      <c r="D525" s="155"/>
      <c r="E525" s="155"/>
      <c r="F525" s="155">
        <f>$I$106*(1+$I$118)</f>
        <v>0</v>
      </c>
      <c r="G525" s="209">
        <f>$I$107*(1+$I$118)</f>
        <v>8500</v>
      </c>
      <c r="H525" s="209">
        <f>$I$108*(1+$I$118)</f>
        <v>15500</v>
      </c>
      <c r="I525" s="209">
        <f>$I$109*(1+$I$118)</f>
        <v>20000</v>
      </c>
      <c r="J525" s="209">
        <f>$I$110*(1+$I$118)</f>
        <v>20500</v>
      </c>
      <c r="K525" s="122"/>
      <c r="L525" s="122"/>
      <c r="M525" s="122"/>
      <c r="N525" s="122"/>
      <c r="O525" s="122"/>
      <c r="P525" s="122"/>
      <c r="Q525" s="122"/>
      <c r="R525" s="122"/>
      <c r="S525" s="122"/>
      <c r="T525" s="122"/>
      <c r="U525" s="122"/>
      <c r="V525" s="122"/>
      <c r="W525" s="122"/>
      <c r="X525" s="122"/>
      <c r="Y525" s="122"/>
      <c r="Z525" s="122"/>
    </row>
    <row r="526" spans="1:26" s="143" customFormat="1" ht="12.75" x14ac:dyDescent="0.2">
      <c r="A526" s="122"/>
      <c r="B526" s="155"/>
      <c r="C526" s="155" t="s">
        <v>258</v>
      </c>
      <c r="D526" s="155"/>
      <c r="E526" s="155"/>
      <c r="F526" s="210">
        <f>$I$111</f>
        <v>0.9</v>
      </c>
      <c r="G526" s="210">
        <f t="shared" ref="G526:S526" si="122">$I$111</f>
        <v>0.9</v>
      </c>
      <c r="H526" s="210">
        <f t="shared" si="122"/>
        <v>0.9</v>
      </c>
      <c r="I526" s="210">
        <f t="shared" si="122"/>
        <v>0.9</v>
      </c>
      <c r="J526" s="210">
        <f t="shared" si="122"/>
        <v>0.9</v>
      </c>
      <c r="K526" s="210">
        <f t="shared" si="122"/>
        <v>0.9</v>
      </c>
      <c r="L526" s="210">
        <f t="shared" si="122"/>
        <v>0.9</v>
      </c>
      <c r="M526" s="210">
        <f t="shared" si="122"/>
        <v>0.9</v>
      </c>
      <c r="N526" s="210">
        <f t="shared" si="122"/>
        <v>0.9</v>
      </c>
      <c r="O526" s="210">
        <f t="shared" si="122"/>
        <v>0.9</v>
      </c>
      <c r="P526" s="210">
        <f t="shared" si="122"/>
        <v>0.9</v>
      </c>
      <c r="Q526" s="210">
        <f t="shared" si="122"/>
        <v>0.9</v>
      </c>
      <c r="R526" s="210">
        <f t="shared" si="122"/>
        <v>0.9</v>
      </c>
      <c r="S526" s="210">
        <f t="shared" si="122"/>
        <v>0.9</v>
      </c>
      <c r="T526" s="122"/>
      <c r="U526" s="122"/>
      <c r="V526" s="122"/>
      <c r="W526" s="122"/>
      <c r="X526" s="122"/>
      <c r="Y526" s="122"/>
      <c r="Z526" s="122"/>
    </row>
    <row r="527" spans="1:26" s="143" customFormat="1" ht="12.75" x14ac:dyDescent="0.2">
      <c r="A527" s="122"/>
      <c r="B527" s="155"/>
      <c r="C527" s="155" t="s">
        <v>259</v>
      </c>
      <c r="D527" s="155"/>
      <c r="E527" s="155"/>
      <c r="F527" s="132">
        <f>IF(F523&lt;$I$113,0,$I$112)</f>
        <v>0</v>
      </c>
      <c r="G527" s="132">
        <f t="shared" ref="G527:S527" si="123">IF(G523&lt;$I$113,0,$I$112)</f>
        <v>0</v>
      </c>
      <c r="H527" s="132">
        <f t="shared" si="123"/>
        <v>0</v>
      </c>
      <c r="I527" s="132">
        <f t="shared" si="123"/>
        <v>0</v>
      </c>
      <c r="J527" s="132">
        <f t="shared" si="123"/>
        <v>0</v>
      </c>
      <c r="K527" s="132">
        <f t="shared" si="123"/>
        <v>0.2</v>
      </c>
      <c r="L527" s="132">
        <f t="shared" si="123"/>
        <v>0.2</v>
      </c>
      <c r="M527" s="132">
        <f t="shared" si="123"/>
        <v>0.2</v>
      </c>
      <c r="N527" s="132">
        <f t="shared" si="123"/>
        <v>0.2</v>
      </c>
      <c r="O527" s="132">
        <f t="shared" si="123"/>
        <v>0.2</v>
      </c>
      <c r="P527" s="132">
        <f t="shared" si="123"/>
        <v>0.2</v>
      </c>
      <c r="Q527" s="132">
        <f t="shared" si="123"/>
        <v>0.2</v>
      </c>
      <c r="R527" s="132">
        <f t="shared" si="123"/>
        <v>0.2</v>
      </c>
      <c r="S527" s="132">
        <f t="shared" si="123"/>
        <v>0.2</v>
      </c>
      <c r="T527" s="122"/>
      <c r="U527" s="122"/>
      <c r="V527" s="122"/>
      <c r="W527" s="122"/>
      <c r="X527" s="122"/>
      <c r="Y527" s="122"/>
      <c r="Z527" s="122"/>
    </row>
    <row r="528" spans="1:26" s="143" customFormat="1" ht="12.75" x14ac:dyDescent="0.2">
      <c r="A528" s="122"/>
      <c r="B528" s="122"/>
      <c r="C528" s="122"/>
      <c r="D528" s="122"/>
      <c r="E528" s="122"/>
      <c r="F528" s="122"/>
      <c r="G528" s="122"/>
      <c r="H528" s="122"/>
      <c r="I528" s="122"/>
      <c r="J528" s="122"/>
      <c r="K528" s="122"/>
      <c r="L528" s="122"/>
      <c r="M528" s="122"/>
      <c r="N528" s="122"/>
      <c r="O528" s="122"/>
      <c r="P528" s="122"/>
      <c r="Q528" s="122"/>
      <c r="R528" s="122"/>
      <c r="S528" s="122"/>
      <c r="T528" s="122"/>
      <c r="U528" s="122"/>
      <c r="V528" s="122"/>
      <c r="W528" s="122"/>
      <c r="X528" s="122"/>
      <c r="Y528" s="122"/>
      <c r="Z528" s="122"/>
    </row>
    <row r="529" spans="1:26" s="143" customFormat="1" ht="12.75" x14ac:dyDescent="0.2">
      <c r="A529" s="122"/>
      <c r="B529" s="389" t="s">
        <v>867</v>
      </c>
      <c r="C529" s="155"/>
      <c r="D529" s="155"/>
      <c r="E529" s="155"/>
      <c r="F529" s="155"/>
      <c r="G529" s="155"/>
      <c r="H529" s="155"/>
      <c r="I529" s="155"/>
      <c r="J529" s="155"/>
      <c r="K529" s="155"/>
      <c r="L529" s="155"/>
      <c r="M529" s="155"/>
      <c r="N529" s="155"/>
      <c r="O529" s="155"/>
      <c r="P529" s="155"/>
      <c r="Q529" s="155"/>
      <c r="R529" s="155"/>
      <c r="S529" s="155"/>
      <c r="T529" s="122"/>
      <c r="U529" s="122"/>
      <c r="V529" s="122"/>
      <c r="W529" s="122"/>
      <c r="X529" s="122"/>
      <c r="Y529" s="122"/>
      <c r="Z529" s="122"/>
    </row>
    <row r="530" spans="1:26" s="143" customFormat="1" ht="12.75" x14ac:dyDescent="0.2">
      <c r="A530" s="122"/>
      <c r="C530" s="154" t="s">
        <v>681</v>
      </c>
      <c r="D530" s="155"/>
      <c r="E530" s="155"/>
      <c r="F530" s="155"/>
      <c r="G530" s="155"/>
      <c r="H530" s="155"/>
      <c r="I530" s="155"/>
      <c r="J530" s="155"/>
      <c r="K530" s="155"/>
      <c r="L530" s="155"/>
      <c r="M530" s="155"/>
      <c r="N530" s="155"/>
      <c r="O530" s="155"/>
      <c r="P530" s="155"/>
      <c r="Q530" s="155"/>
      <c r="R530" s="155"/>
      <c r="S530" s="155"/>
      <c r="T530" s="122"/>
      <c r="U530" s="122"/>
      <c r="V530" s="122"/>
      <c r="W530" s="122"/>
      <c r="X530" s="122"/>
      <c r="Y530" s="122"/>
      <c r="Z530" s="122"/>
    </row>
    <row r="531" spans="1:26" s="143" customFormat="1" ht="12.75" x14ac:dyDescent="0.2">
      <c r="A531" s="122"/>
      <c r="B531" s="155"/>
      <c r="C531" s="155" t="s">
        <v>252</v>
      </c>
      <c r="D531" s="155"/>
      <c r="E531" s="155"/>
      <c r="F531" s="133">
        <f>$F525*(F526*F521)*(1-F527)</f>
        <v>0</v>
      </c>
      <c r="G531" s="133">
        <f t="shared" ref="G531:S531" si="124">$F525*(G526*G521)*(1-G527)</f>
        <v>0</v>
      </c>
      <c r="H531" s="133">
        <f t="shared" si="124"/>
        <v>0</v>
      </c>
      <c r="I531" s="133">
        <f t="shared" si="124"/>
        <v>0</v>
      </c>
      <c r="J531" s="133">
        <f t="shared" si="124"/>
        <v>0</v>
      </c>
      <c r="K531" s="133">
        <f t="shared" si="124"/>
        <v>0</v>
      </c>
      <c r="L531" s="133">
        <f t="shared" si="124"/>
        <v>0</v>
      </c>
      <c r="M531" s="133">
        <f t="shared" si="124"/>
        <v>0</v>
      </c>
      <c r="N531" s="133">
        <f t="shared" si="124"/>
        <v>0</v>
      </c>
      <c r="O531" s="133">
        <f t="shared" si="124"/>
        <v>0</v>
      </c>
      <c r="P531" s="133">
        <f t="shared" si="124"/>
        <v>0</v>
      </c>
      <c r="Q531" s="133">
        <f t="shared" si="124"/>
        <v>0</v>
      </c>
      <c r="R531" s="133">
        <f t="shared" si="124"/>
        <v>0</v>
      </c>
      <c r="S531" s="133">
        <f t="shared" si="124"/>
        <v>0</v>
      </c>
      <c r="T531" s="122"/>
      <c r="U531" s="122"/>
      <c r="V531" s="122"/>
      <c r="W531" s="122"/>
      <c r="X531" s="122"/>
      <c r="Y531" s="122"/>
      <c r="Z531" s="122"/>
    </row>
    <row r="532" spans="1:26" s="143" customFormat="1" ht="12.75" x14ac:dyDescent="0.2">
      <c r="A532" s="122"/>
      <c r="B532" s="155"/>
      <c r="C532" s="155" t="s">
        <v>253</v>
      </c>
      <c r="D532" s="155"/>
      <c r="E532" s="155"/>
      <c r="F532" s="133"/>
      <c r="G532" s="133">
        <f>$G525*(G526*F521)*(1-G527)</f>
        <v>-21041.956090793607</v>
      </c>
      <c r="H532" s="133">
        <f t="shared" ref="H532:S532" si="125">$G525*(H526*G521)*(1-H527)</f>
        <v>38562.880482198729</v>
      </c>
      <c r="I532" s="133">
        <f t="shared" si="125"/>
        <v>201563.51651017767</v>
      </c>
      <c r="J532" s="133">
        <f t="shared" si="125"/>
        <v>126396.96042502004</v>
      </c>
      <c r="K532" s="133">
        <f t="shared" si="125"/>
        <v>386971.34681331267</v>
      </c>
      <c r="L532" s="133">
        <f t="shared" si="125"/>
        <v>35878.734940251554</v>
      </c>
      <c r="M532" s="133">
        <f t="shared" si="125"/>
        <v>332560.08716933086</v>
      </c>
      <c r="N532" s="133">
        <f t="shared" si="125"/>
        <v>114375.98416132871</v>
      </c>
      <c r="O532" s="133">
        <f t="shared" si="125"/>
        <v>354414.74838097254</v>
      </c>
      <c r="P532" s="133">
        <f t="shared" si="125"/>
        <v>41471.519559642074</v>
      </c>
      <c r="Q532" s="133">
        <f t="shared" si="125"/>
        <v>0</v>
      </c>
      <c r="R532" s="133">
        <f t="shared" si="125"/>
        <v>0</v>
      </c>
      <c r="S532" s="133">
        <f t="shared" si="125"/>
        <v>0</v>
      </c>
      <c r="T532" s="122"/>
      <c r="U532" s="122"/>
      <c r="V532" s="122"/>
      <c r="W532" s="122"/>
      <c r="X532" s="122"/>
      <c r="Y532" s="122"/>
      <c r="Z532" s="122"/>
    </row>
    <row r="533" spans="1:26" s="143" customFormat="1" ht="12.75" x14ac:dyDescent="0.2">
      <c r="A533" s="122"/>
      <c r="B533" s="155"/>
      <c r="C533" s="155" t="s">
        <v>254</v>
      </c>
      <c r="D533" s="155"/>
      <c r="E533" s="155"/>
      <c r="F533" s="133"/>
      <c r="G533" s="133"/>
      <c r="H533" s="133">
        <f>$H525*(H526*F521)*(1-H527)</f>
        <v>-38370.625812623635</v>
      </c>
      <c r="I533" s="133">
        <f t="shared" ref="I533:S533" si="126">$H525*(I526*G521)*(1-I527)</f>
        <v>70320.5467616565</v>
      </c>
      <c r="J533" s="133">
        <f t="shared" si="126"/>
        <v>367557.00069502986</v>
      </c>
      <c r="K533" s="133">
        <f t="shared" si="126"/>
        <v>184390.85991414689</v>
      </c>
      <c r="L533" s="133">
        <f t="shared" si="126"/>
        <v>705653.63242427609</v>
      </c>
      <c r="M533" s="133">
        <f t="shared" si="126"/>
        <v>65425.928420458717</v>
      </c>
      <c r="N533" s="133">
        <f t="shared" si="126"/>
        <v>606433.10013230925</v>
      </c>
      <c r="O533" s="133">
        <f>$H525*(O526*M521)*(1-O527)</f>
        <v>208567.9711177171</v>
      </c>
      <c r="P533" s="133">
        <f t="shared" si="126"/>
        <v>646285.71763589117</v>
      </c>
      <c r="Q533" s="133">
        <f t="shared" si="126"/>
        <v>75624.535667582604</v>
      </c>
      <c r="R533" s="133">
        <f t="shared" si="126"/>
        <v>0</v>
      </c>
      <c r="S533" s="133">
        <f t="shared" si="126"/>
        <v>0</v>
      </c>
      <c r="T533" s="122"/>
      <c r="U533" s="122"/>
      <c r="V533" s="122"/>
      <c r="W533" s="122"/>
      <c r="X533" s="122"/>
      <c r="Y533" s="122"/>
      <c r="Z533" s="122"/>
    </row>
    <row r="534" spans="1:26" s="143" customFormat="1" ht="12.75" x14ac:dyDescent="0.2">
      <c r="A534" s="122"/>
      <c r="B534" s="155"/>
      <c r="C534" s="155" t="s">
        <v>255</v>
      </c>
      <c r="D534" s="155"/>
      <c r="E534" s="155"/>
      <c r="F534" s="133"/>
      <c r="G534" s="133"/>
      <c r="H534" s="133"/>
      <c r="I534" s="133">
        <f>$I525*(I526*F521)*(1-I527)</f>
        <v>-49510.484919514369</v>
      </c>
      <c r="J534" s="133">
        <f t="shared" ref="J534:S534" si="127">$I525*(J526*G521)*(1-J527)</f>
        <v>90736.189369879357</v>
      </c>
      <c r="K534" s="133">
        <f t="shared" si="127"/>
        <v>379413.67813680507</v>
      </c>
      <c r="L534" s="133">
        <f t="shared" si="127"/>
        <v>237923.6902118024</v>
      </c>
      <c r="M534" s="133">
        <f t="shared" si="127"/>
        <v>910520.81603132398</v>
      </c>
      <c r="N534" s="133">
        <f t="shared" si="127"/>
        <v>84420.55280059189</v>
      </c>
      <c r="O534" s="133">
        <f t="shared" si="127"/>
        <v>782494.32275136665</v>
      </c>
      <c r="P534" s="133">
        <f t="shared" si="127"/>
        <v>269119.96273253817</v>
      </c>
      <c r="Q534" s="133">
        <f t="shared" si="127"/>
        <v>833917.05501405313</v>
      </c>
      <c r="R534" s="133">
        <f t="shared" si="127"/>
        <v>97580.046022687224</v>
      </c>
      <c r="S534" s="133">
        <f t="shared" si="127"/>
        <v>0</v>
      </c>
      <c r="T534" s="122"/>
      <c r="U534" s="122"/>
      <c r="V534" s="122"/>
      <c r="W534" s="122"/>
      <c r="X534" s="122"/>
      <c r="Y534" s="122"/>
      <c r="Z534" s="122"/>
    </row>
    <row r="535" spans="1:26" s="143" customFormat="1" ht="12.75" x14ac:dyDescent="0.2">
      <c r="A535" s="122"/>
      <c r="B535" s="155"/>
      <c r="C535" s="155" t="s">
        <v>261</v>
      </c>
      <c r="D535" s="155"/>
      <c r="E535" s="155"/>
      <c r="F535" s="133"/>
      <c r="G535" s="133"/>
      <c r="H535" s="133"/>
      <c r="I535" s="133"/>
      <c r="J535" s="133">
        <f>$J525*(J526*F521)*(1-J527)</f>
        <v>-50748.247042502233</v>
      </c>
      <c r="K535" s="133">
        <f t="shared" ref="K535:S535" si="128">$J525*(K526*G521)*(1-K527)</f>
        <v>74403.675283301083</v>
      </c>
      <c r="L535" s="133">
        <f t="shared" si="128"/>
        <v>388899.02009022515</v>
      </c>
      <c r="M535" s="133">
        <f t="shared" si="128"/>
        <v>243871.78246709748</v>
      </c>
      <c r="N535" s="133">
        <f t="shared" si="128"/>
        <v>933283.83643210703</v>
      </c>
      <c r="O535" s="133">
        <f t="shared" si="128"/>
        <v>86531.066620606682</v>
      </c>
      <c r="P535" s="133">
        <f t="shared" si="128"/>
        <v>802056.68082015088</v>
      </c>
      <c r="Q535" s="133">
        <f t="shared" si="128"/>
        <v>275847.96180085163</v>
      </c>
      <c r="R535" s="133">
        <f t="shared" si="128"/>
        <v>854764.98138940451</v>
      </c>
      <c r="S535" s="133">
        <f t="shared" si="128"/>
        <v>100019.54717325442</v>
      </c>
      <c r="T535" s="122"/>
      <c r="U535" s="122"/>
      <c r="V535" s="122"/>
      <c r="W535" s="122"/>
      <c r="X535" s="122"/>
      <c r="Y535" s="122"/>
      <c r="Z535" s="122"/>
    </row>
    <row r="536" spans="1:26" s="143" customFormat="1" ht="12.75" x14ac:dyDescent="0.2">
      <c r="A536" s="122"/>
      <c r="B536" s="155"/>
      <c r="C536" s="198" t="s">
        <v>686</v>
      </c>
      <c r="D536" s="198"/>
      <c r="E536" s="198"/>
      <c r="F536" s="134">
        <f>SUM(F531:F535)</f>
        <v>0</v>
      </c>
      <c r="G536" s="134">
        <f t="shared" ref="G536:S536" si="129">SUM(G531:G535)</f>
        <v>-21041.956090793607</v>
      </c>
      <c r="H536" s="134">
        <f t="shared" si="129"/>
        <v>192.25466957509343</v>
      </c>
      <c r="I536" s="134">
        <f t="shared" si="129"/>
        <v>222373.5783523198</v>
      </c>
      <c r="J536" s="134">
        <f t="shared" si="129"/>
        <v>533941.90344742697</v>
      </c>
      <c r="K536" s="134">
        <f t="shared" si="129"/>
        <v>1025179.5601475657</v>
      </c>
      <c r="L536" s="134">
        <f t="shared" si="129"/>
        <v>1368355.0776665551</v>
      </c>
      <c r="M536" s="134">
        <f t="shared" si="129"/>
        <v>1552378.6140882112</v>
      </c>
      <c r="N536" s="134">
        <f t="shared" si="129"/>
        <v>1738513.473526337</v>
      </c>
      <c r="O536" s="134">
        <f t="shared" si="129"/>
        <v>1432008.108870663</v>
      </c>
      <c r="P536" s="134">
        <f t="shared" si="129"/>
        <v>1758933.8807482221</v>
      </c>
      <c r="Q536" s="134">
        <f t="shared" si="129"/>
        <v>1185389.5524824874</v>
      </c>
      <c r="R536" s="134">
        <f t="shared" si="129"/>
        <v>952345.02741209173</v>
      </c>
      <c r="S536" s="134">
        <f t="shared" si="129"/>
        <v>100019.54717325442</v>
      </c>
      <c r="T536" s="122"/>
      <c r="U536" s="122"/>
      <c r="V536" s="122"/>
      <c r="W536" s="122"/>
      <c r="X536" s="122"/>
      <c r="Y536" s="122"/>
      <c r="Z536" s="122"/>
    </row>
    <row r="537" spans="1:26" s="143" customFormat="1" ht="12.75" x14ac:dyDescent="0.2">
      <c r="A537" s="122"/>
      <c r="B537" s="122"/>
      <c r="C537" s="122"/>
      <c r="D537" s="122"/>
      <c r="E537" s="122"/>
      <c r="F537" s="122"/>
      <c r="G537" s="122"/>
      <c r="H537" s="122"/>
      <c r="I537" s="122"/>
      <c r="J537" s="122"/>
      <c r="K537" s="122"/>
      <c r="L537" s="122"/>
      <c r="M537" s="122"/>
      <c r="N537" s="122"/>
      <c r="O537" s="122"/>
      <c r="P537" s="122"/>
      <c r="Q537" s="122"/>
      <c r="R537" s="122"/>
      <c r="S537" s="122"/>
      <c r="T537" s="122"/>
      <c r="U537" s="122"/>
      <c r="V537" s="122"/>
      <c r="W537" s="122"/>
      <c r="X537" s="122"/>
      <c r="Y537" s="122"/>
      <c r="Z537" s="122"/>
    </row>
    <row r="538" spans="1:26" s="143" customFormat="1" ht="12.75" x14ac:dyDescent="0.2">
      <c r="A538" s="122"/>
      <c r="B538" s="157"/>
      <c r="C538" s="154" t="s">
        <v>737</v>
      </c>
      <c r="D538" s="155"/>
      <c r="E538" s="155"/>
      <c r="F538" s="155"/>
      <c r="G538" s="155"/>
      <c r="H538" s="155"/>
      <c r="I538" s="155"/>
      <c r="J538" s="155"/>
      <c r="K538" s="155"/>
      <c r="L538" s="155"/>
      <c r="M538" s="155"/>
      <c r="N538" s="155"/>
      <c r="O538" s="155"/>
      <c r="P538" s="155"/>
      <c r="Q538" s="155"/>
      <c r="R538" s="155"/>
      <c r="S538" s="155"/>
      <c r="T538" s="122"/>
      <c r="U538" s="122"/>
      <c r="V538" s="122"/>
      <c r="W538" s="122"/>
      <c r="X538" s="122"/>
      <c r="Y538" s="122"/>
      <c r="Z538" s="122"/>
    </row>
    <row r="539" spans="1:26" s="143" customFormat="1" ht="12.75" x14ac:dyDescent="0.2">
      <c r="A539" s="122"/>
      <c r="B539" s="155"/>
      <c r="C539" s="198" t="s">
        <v>686</v>
      </c>
      <c r="D539" s="198"/>
      <c r="E539" s="198"/>
      <c r="F539" s="82">
        <f>$I$114*(I106/SUM($I$106:$I$110))*F$129/1000*(1+$I$115)</f>
        <v>0</v>
      </c>
      <c r="G539" s="82">
        <f>$I$114*(I107/SUM($I$106:$I$110))*G$129/1000*(1+$I$115)</f>
        <v>116257.9661479074</v>
      </c>
      <c r="H539" s="82">
        <f>$I$114*(I108/SUM($I$106:$I$110))*H$129/1000*(1+$I$115)</f>
        <v>211999.82062265469</v>
      </c>
      <c r="I539" s="82">
        <f>$I$114*(I109/SUM($I$106:$I$110))*I$129/1000*(1+$I$115)</f>
        <v>273548.15564213501</v>
      </c>
      <c r="J539" s="82">
        <f>$I$114*(I110/SUM($I$106:$I$110))*J$129/1000*(1+$I$115)</f>
        <v>280386.8595331884</v>
      </c>
      <c r="K539" s="134"/>
      <c r="L539" s="134"/>
      <c r="M539" s="134"/>
      <c r="N539" s="134"/>
      <c r="O539" s="134"/>
      <c r="P539" s="134"/>
      <c r="Q539" s="134"/>
      <c r="R539" s="134"/>
      <c r="S539" s="134"/>
      <c r="T539" s="122"/>
      <c r="U539" s="122"/>
      <c r="V539" s="122"/>
      <c r="W539" s="122"/>
      <c r="X539" s="122"/>
      <c r="Y539" s="122"/>
      <c r="Z539" s="122"/>
    </row>
    <row r="540" spans="1:26" s="143" customFormat="1" ht="12.75" x14ac:dyDescent="0.2">
      <c r="A540" s="122"/>
      <c r="B540" s="122"/>
      <c r="C540" s="122"/>
      <c r="D540" s="122"/>
      <c r="E540" s="122"/>
      <c r="F540" s="237"/>
      <c r="G540" s="237"/>
      <c r="H540" s="237"/>
      <c r="I540" s="237"/>
      <c r="J540" s="237"/>
      <c r="K540" s="237"/>
      <c r="L540" s="237"/>
      <c r="M540" s="237"/>
      <c r="N540" s="237"/>
      <c r="O540" s="237"/>
      <c r="P540" s="237"/>
      <c r="Q540" s="237"/>
      <c r="R540" s="237"/>
      <c r="S540" s="237"/>
      <c r="T540" s="122"/>
      <c r="U540" s="122"/>
      <c r="V540" s="122"/>
      <c r="W540" s="122"/>
      <c r="X540" s="122"/>
      <c r="Y540" s="122"/>
      <c r="Z540" s="122"/>
    </row>
    <row r="541" spans="1:26" s="143" customFormat="1" ht="12.75" x14ac:dyDescent="0.2">
      <c r="A541" s="122"/>
      <c r="B541" s="122"/>
      <c r="C541" s="206" t="s">
        <v>685</v>
      </c>
      <c r="D541" s="203"/>
      <c r="E541" s="203"/>
      <c r="F541" s="135">
        <f>F536-F539</f>
        <v>0</v>
      </c>
      <c r="G541" s="135">
        <f t="shared" ref="G541:S541" si="130">G536-G539</f>
        <v>-137299.92223870099</v>
      </c>
      <c r="H541" s="135">
        <f t="shared" si="130"/>
        <v>-211807.56595307961</v>
      </c>
      <c r="I541" s="135">
        <f t="shared" si="130"/>
        <v>-51174.577289815206</v>
      </c>
      <c r="J541" s="135">
        <f t="shared" si="130"/>
        <v>253555.04391423857</v>
      </c>
      <c r="K541" s="135">
        <f t="shared" si="130"/>
        <v>1025179.5601475657</v>
      </c>
      <c r="L541" s="135">
        <f t="shared" si="130"/>
        <v>1368355.0776665551</v>
      </c>
      <c r="M541" s="135">
        <f t="shared" si="130"/>
        <v>1552378.6140882112</v>
      </c>
      <c r="N541" s="135">
        <f t="shared" si="130"/>
        <v>1738513.473526337</v>
      </c>
      <c r="O541" s="135">
        <f t="shared" si="130"/>
        <v>1432008.108870663</v>
      </c>
      <c r="P541" s="135">
        <f t="shared" si="130"/>
        <v>1758933.8807482221</v>
      </c>
      <c r="Q541" s="135">
        <f t="shared" si="130"/>
        <v>1185389.5524824874</v>
      </c>
      <c r="R541" s="135">
        <f t="shared" si="130"/>
        <v>952345.02741209173</v>
      </c>
      <c r="S541" s="135">
        <f t="shared" si="130"/>
        <v>100019.54717325442</v>
      </c>
      <c r="T541" s="122"/>
      <c r="U541" s="122"/>
      <c r="V541" s="122"/>
      <c r="W541" s="122"/>
      <c r="X541" s="122"/>
      <c r="Y541" s="122"/>
      <c r="Z541" s="122"/>
    </row>
    <row r="542" spans="1:26" s="143" customFormat="1" ht="13.5" thickBot="1" x14ac:dyDescent="0.25">
      <c r="A542" s="122"/>
      <c r="B542" s="122"/>
      <c r="C542" s="122"/>
      <c r="D542" s="122"/>
      <c r="E542" s="122"/>
      <c r="F542" s="122"/>
      <c r="G542" s="122"/>
      <c r="H542" s="122"/>
      <c r="I542" s="122"/>
      <c r="J542" s="122"/>
      <c r="K542" s="122"/>
      <c r="L542" s="122"/>
      <c r="M542" s="122"/>
      <c r="N542" s="122"/>
      <c r="O542" s="122"/>
      <c r="P542" s="122"/>
      <c r="Q542" s="122"/>
      <c r="R542" s="122"/>
      <c r="S542" s="122"/>
      <c r="T542" s="122"/>
      <c r="U542" s="122"/>
      <c r="V542" s="122"/>
      <c r="W542" s="122"/>
      <c r="X542" s="122"/>
      <c r="Y542" s="122"/>
      <c r="Z542" s="122"/>
    </row>
    <row r="543" spans="1:26" s="143" customFormat="1" ht="13.5" thickTop="1" x14ac:dyDescent="0.2">
      <c r="A543" s="122"/>
      <c r="B543" s="122"/>
      <c r="C543" s="212" t="s">
        <v>676</v>
      </c>
      <c r="D543" s="212"/>
      <c r="E543" s="212"/>
      <c r="F543" s="130">
        <f>NPV($F$20,G541:S541)+F541</f>
        <v>4203474.6449642191</v>
      </c>
      <c r="G543" s="122"/>
      <c r="H543" s="122"/>
      <c r="I543" s="122"/>
      <c r="J543" s="122"/>
      <c r="K543" s="122"/>
      <c r="L543" s="122"/>
      <c r="M543" s="122"/>
      <c r="N543" s="122"/>
      <c r="O543" s="122"/>
      <c r="P543" s="122"/>
      <c r="Q543" s="122"/>
      <c r="R543" s="122"/>
      <c r="S543" s="122"/>
      <c r="T543" s="122"/>
      <c r="U543" s="122"/>
      <c r="V543" s="122"/>
      <c r="W543" s="122"/>
      <c r="X543" s="122"/>
      <c r="Y543" s="122"/>
      <c r="Z543" s="122"/>
    </row>
    <row r="544" spans="1:26" s="143" customFormat="1" ht="12.75" x14ac:dyDescent="0.2">
      <c r="A544" s="122"/>
      <c r="B544" s="122"/>
      <c r="C544" s="154" t="s">
        <v>677</v>
      </c>
      <c r="D544" s="154"/>
      <c r="E544" s="154"/>
      <c r="F544" s="138">
        <f>F543/$F$10*1000</f>
        <v>26681951.535890691</v>
      </c>
      <c r="G544" s="122"/>
      <c r="H544" s="122"/>
      <c r="I544" s="122"/>
      <c r="J544" s="122"/>
      <c r="K544" s="122"/>
      <c r="L544" s="122"/>
      <c r="M544" s="122"/>
      <c r="N544" s="122"/>
      <c r="O544" s="122"/>
      <c r="P544" s="122"/>
      <c r="Q544" s="122"/>
      <c r="R544" s="122"/>
      <c r="S544" s="122"/>
      <c r="T544" s="122"/>
      <c r="U544" s="122"/>
      <c r="V544" s="122"/>
      <c r="W544" s="122"/>
      <c r="X544" s="122"/>
      <c r="Y544" s="122"/>
      <c r="Z544" s="122"/>
    </row>
    <row r="545" spans="1:26" s="143" customFormat="1" ht="12.75" x14ac:dyDescent="0.2">
      <c r="A545" s="122"/>
      <c r="B545" s="122"/>
      <c r="C545" s="154" t="s">
        <v>683</v>
      </c>
      <c r="D545" s="154"/>
      <c r="E545" s="154"/>
      <c r="F545" s="136">
        <f>IRR(F541:S541)</f>
        <v>0.86110389154422484</v>
      </c>
      <c r="G545" s="122"/>
      <c r="H545" s="122"/>
      <c r="I545" s="122"/>
      <c r="J545" s="122"/>
      <c r="K545" s="122"/>
      <c r="L545" s="122"/>
      <c r="M545" s="122"/>
      <c r="N545" s="122"/>
      <c r="O545" s="122"/>
      <c r="P545" s="122"/>
      <c r="Q545" s="122"/>
      <c r="R545" s="122"/>
      <c r="S545" s="122"/>
      <c r="T545" s="122"/>
      <c r="U545" s="122"/>
      <c r="V545" s="122"/>
      <c r="W545" s="122"/>
      <c r="X545" s="122"/>
      <c r="Y545" s="122"/>
      <c r="Z545" s="122"/>
    </row>
    <row r="546" spans="1:26" s="143" customFormat="1" ht="13.5" thickBot="1" x14ac:dyDescent="0.25">
      <c r="A546" s="122"/>
      <c r="B546" s="122"/>
      <c r="C546" s="211" t="s">
        <v>684</v>
      </c>
      <c r="D546" s="211"/>
      <c r="E546" s="211"/>
      <c r="F546" s="137">
        <f>MIRR(F541:S541,$F$20,$F$20)</f>
        <v>0.37072750779152219</v>
      </c>
      <c r="G546" s="122"/>
      <c r="H546" s="122"/>
      <c r="I546" s="122"/>
      <c r="J546" s="122"/>
      <c r="K546" s="122"/>
      <c r="L546" s="122"/>
      <c r="M546" s="122"/>
      <c r="N546" s="122"/>
      <c r="O546" s="122"/>
      <c r="P546" s="122"/>
      <c r="Q546" s="122"/>
      <c r="R546" s="122"/>
      <c r="S546" s="122"/>
      <c r="T546" s="122"/>
      <c r="U546" s="122"/>
      <c r="V546" s="122"/>
      <c r="W546" s="122"/>
      <c r="X546" s="122"/>
      <c r="Y546" s="122"/>
      <c r="Z546" s="122"/>
    </row>
    <row r="547" spans="1:26" ht="13.5" thickTop="1" x14ac:dyDescent="0.2">
      <c r="A547" s="122"/>
      <c r="B547" s="122"/>
      <c r="C547" s="122"/>
      <c r="D547" s="122"/>
      <c r="E547" s="122"/>
      <c r="F547" s="122"/>
      <c r="G547" s="122"/>
      <c r="H547" s="122"/>
      <c r="I547" s="122"/>
      <c r="J547" s="122"/>
      <c r="K547" s="122"/>
      <c r="L547" s="122"/>
      <c r="M547" s="122"/>
      <c r="N547" s="122"/>
      <c r="O547" s="122"/>
      <c r="P547" s="122"/>
      <c r="Q547" s="122"/>
      <c r="R547" s="122"/>
      <c r="S547" s="122"/>
      <c r="T547" s="122"/>
      <c r="U547" s="122"/>
      <c r="V547" s="122"/>
      <c r="W547" s="122"/>
      <c r="X547" s="122"/>
      <c r="Y547" s="122"/>
      <c r="Z547" s="122"/>
    </row>
    <row r="548" spans="1:26" ht="12.75" x14ac:dyDescent="0.2">
      <c r="A548" s="355" t="s">
        <v>914</v>
      </c>
      <c r="B548" s="353"/>
      <c r="C548" s="353"/>
      <c r="D548" s="356"/>
      <c r="E548" s="356"/>
      <c r="F548" s="357"/>
      <c r="G548" s="357"/>
      <c r="H548" s="357"/>
      <c r="I548" s="357"/>
      <c r="J548" s="357"/>
      <c r="K548" s="357"/>
      <c r="L548" s="357"/>
      <c r="M548" s="357"/>
      <c r="N548" s="357"/>
      <c r="O548" s="357"/>
      <c r="P548" s="357"/>
      <c r="Q548" s="357"/>
      <c r="R548" s="357"/>
      <c r="S548" s="357"/>
      <c r="T548" s="353"/>
      <c r="U548" s="353"/>
      <c r="V548" s="353"/>
      <c r="W548" s="353"/>
      <c r="X548" s="353"/>
      <c r="Y548" s="353"/>
      <c r="Z548" s="353"/>
    </row>
    <row r="549" spans="1:26" customFormat="1" ht="12.75" x14ac:dyDescent="0.2">
      <c r="A549" s="241"/>
      <c r="B549" s="611" t="s">
        <v>752</v>
      </c>
      <c r="C549" s="610"/>
      <c r="D549" s="610"/>
      <c r="E549" s="610"/>
      <c r="F549" s="610"/>
      <c r="G549" s="610"/>
      <c r="H549" s="610"/>
      <c r="I549" s="610"/>
      <c r="J549" s="610"/>
      <c r="K549" s="610"/>
      <c r="L549" s="3"/>
      <c r="M549" s="3"/>
      <c r="N549" s="3"/>
      <c r="O549" s="3"/>
      <c r="P549" s="3"/>
      <c r="Q549" s="3"/>
      <c r="R549" s="3"/>
      <c r="S549" s="3"/>
      <c r="T549" s="3"/>
      <c r="U549" s="3"/>
      <c r="V549" s="3"/>
      <c r="W549" s="3"/>
      <c r="X549" s="3"/>
      <c r="Y549" s="3"/>
      <c r="Z549" s="3"/>
    </row>
    <row r="550" spans="1:26" ht="12.75" x14ac:dyDescent="0.2">
      <c r="A550" s="358"/>
      <c r="B550" s="358"/>
      <c r="C550" s="358"/>
      <c r="D550" s="358"/>
      <c r="E550" s="358"/>
      <c r="F550" s="358"/>
      <c r="G550" s="358"/>
      <c r="H550" s="358"/>
      <c r="I550" s="358"/>
      <c r="J550" s="358"/>
      <c r="K550" s="358"/>
      <c r="L550" s="358"/>
      <c r="M550" s="358"/>
      <c r="N550" s="358"/>
      <c r="O550" s="358"/>
      <c r="P550" s="358"/>
      <c r="Q550" s="358"/>
      <c r="R550" s="358"/>
      <c r="S550" s="358"/>
      <c r="T550" s="358"/>
      <c r="U550" s="358"/>
      <c r="V550" s="358"/>
      <c r="W550" s="358"/>
      <c r="X550" s="358"/>
      <c r="Y550" s="358"/>
      <c r="Z550" s="358"/>
    </row>
    <row r="551" spans="1:26" ht="38.25" x14ac:dyDescent="0.2">
      <c r="A551" s="358"/>
      <c r="B551" s="358"/>
      <c r="C551" s="359" t="s">
        <v>753</v>
      </c>
      <c r="D551" s="360" t="s">
        <v>812</v>
      </c>
      <c r="E551" s="361" t="s">
        <v>813</v>
      </c>
      <c r="F551" s="361" t="s">
        <v>1000</v>
      </c>
      <c r="G551" s="358"/>
      <c r="H551" s="359" t="s">
        <v>754</v>
      </c>
      <c r="I551" s="360" t="s">
        <v>812</v>
      </c>
      <c r="J551" s="361" t="s">
        <v>813</v>
      </c>
      <c r="K551" s="361" t="s">
        <v>1000</v>
      </c>
      <c r="L551" s="358"/>
      <c r="M551" s="358"/>
      <c r="N551" s="358"/>
      <c r="O551" s="358"/>
      <c r="P551" s="358"/>
      <c r="Q551" s="358"/>
      <c r="R551" s="358"/>
      <c r="S551" s="358"/>
      <c r="T551" s="358"/>
      <c r="U551" s="358"/>
      <c r="V551" s="358"/>
      <c r="W551" s="358"/>
      <c r="X551" s="358"/>
      <c r="Y551" s="358"/>
      <c r="Z551" s="358"/>
    </row>
    <row r="552" spans="1:26" ht="12.75" x14ac:dyDescent="0.2">
      <c r="A552" s="358"/>
      <c r="B552" s="358"/>
      <c r="C552" s="362"/>
      <c r="D552" s="363">
        <f>$F$407</f>
        <v>912.83875482370172</v>
      </c>
      <c r="E552" s="364">
        <f>$F$544</f>
        <v>26681951.535890691</v>
      </c>
      <c r="F552" s="364">
        <f>AVERAGE($H$404,$I$404,$J$404)*1000/$F$10</f>
        <v>269.03106007804075</v>
      </c>
      <c r="G552" s="358"/>
      <c r="H552" s="362"/>
      <c r="I552" s="363">
        <f>$F$407</f>
        <v>912.83875482370172</v>
      </c>
      <c r="J552" s="364">
        <f>$F$544</f>
        <v>26681951.535890691</v>
      </c>
      <c r="K552" s="364">
        <f>AVERAGE($H$404,$I$404,$J$404)*1000/$F$10</f>
        <v>269.03106007804075</v>
      </c>
      <c r="L552" s="358"/>
      <c r="M552" s="358"/>
      <c r="N552" s="358"/>
      <c r="O552" s="358"/>
      <c r="P552" s="358"/>
      <c r="Q552" s="358"/>
      <c r="R552" s="358"/>
      <c r="S552" s="358"/>
      <c r="T552" s="358"/>
      <c r="U552" s="358"/>
      <c r="V552" s="358"/>
      <c r="W552" s="358"/>
      <c r="X552" s="358"/>
      <c r="Y552" s="358"/>
      <c r="Z552" s="358"/>
    </row>
    <row r="553" spans="1:26" ht="12.75" x14ac:dyDescent="0.2">
      <c r="A553" s="358"/>
      <c r="B553" s="358"/>
      <c r="C553" s="365">
        <v>0.03</v>
      </c>
      <c r="D553" s="366">
        <f t="dataTable" ref="D553:F558" dt2D="0" dtr="0" r1="F8" ca="1"/>
        <v>912.83875482370217</v>
      </c>
      <c r="E553" s="367">
        <v>26681951.535890691</v>
      </c>
      <c r="F553" s="367">
        <v>269.03106007804081</v>
      </c>
      <c r="G553" s="358"/>
      <c r="H553" s="365">
        <v>-0.01</v>
      </c>
      <c r="I553" s="366">
        <f t="dataTable" ref="I553:K558" dt2D="0" dtr="0" r1="F9" ca="1"/>
        <v>912.83875482370172</v>
      </c>
      <c r="J553" s="367">
        <v>26681951.535890672</v>
      </c>
      <c r="K553" s="367">
        <v>269.03106007804075</v>
      </c>
      <c r="L553" s="358"/>
      <c r="M553" s="358"/>
      <c r="N553" s="358"/>
      <c r="O553" s="358"/>
      <c r="P553" s="358"/>
      <c r="Q553" s="358"/>
      <c r="R553" s="358"/>
      <c r="S553" s="358"/>
      <c r="T553" s="358"/>
      <c r="U553" s="358"/>
      <c r="V553" s="358"/>
      <c r="W553" s="358"/>
      <c r="X553" s="358"/>
      <c r="Y553" s="358"/>
      <c r="Z553" s="358"/>
    </row>
    <row r="554" spans="1:26" ht="12.75" x14ac:dyDescent="0.2">
      <c r="A554" s="358"/>
      <c r="B554" s="358"/>
      <c r="C554" s="368">
        <v>0.05</v>
      </c>
      <c r="D554" s="369">
        <v>912.83875482370172</v>
      </c>
      <c r="E554" s="370">
        <v>26681951.535890665</v>
      </c>
      <c r="F554" s="370">
        <v>269.0310600780407</v>
      </c>
      <c r="G554" s="358"/>
      <c r="H554" s="368">
        <v>0</v>
      </c>
      <c r="I554" s="369">
        <v>912.83875482370172</v>
      </c>
      <c r="J554" s="370">
        <v>26681951.535890684</v>
      </c>
      <c r="K554" s="370">
        <v>269.03106007804075</v>
      </c>
      <c r="L554" s="358"/>
      <c r="M554" s="358"/>
      <c r="N554" s="358"/>
      <c r="O554" s="358"/>
      <c r="P554" s="358"/>
      <c r="Q554" s="358"/>
      <c r="R554" s="358"/>
      <c r="S554" s="358"/>
      <c r="T554" s="358"/>
      <c r="U554" s="358"/>
      <c r="V554" s="358"/>
      <c r="W554" s="358"/>
      <c r="X554" s="358"/>
      <c r="Y554" s="358"/>
      <c r="Z554" s="358"/>
    </row>
    <row r="555" spans="1:26" ht="12.75" x14ac:dyDescent="0.2">
      <c r="A555" s="358"/>
      <c r="B555" s="358"/>
      <c r="C555" s="371">
        <v>7.9000000000000001E-2</v>
      </c>
      <c r="D555" s="372">
        <v>912.83875482370172</v>
      </c>
      <c r="E555" s="373">
        <v>26681951.535890691</v>
      </c>
      <c r="F555" s="373">
        <v>269.03106007804075</v>
      </c>
      <c r="G555" s="358"/>
      <c r="H555" s="368">
        <v>0.01</v>
      </c>
      <c r="I555" s="369">
        <v>912.83875482370172</v>
      </c>
      <c r="J555" s="370">
        <v>26681951.535890684</v>
      </c>
      <c r="K555" s="370">
        <v>269.03106007804075</v>
      </c>
      <c r="L555" s="358"/>
      <c r="M555" s="358"/>
      <c r="N555" s="358"/>
      <c r="O555" s="358"/>
      <c r="P555" s="358"/>
      <c r="Q555" s="358"/>
      <c r="R555" s="358"/>
      <c r="S555" s="358"/>
      <c r="T555" s="358"/>
      <c r="U555" s="358"/>
      <c r="V555" s="358"/>
      <c r="W555" s="358"/>
      <c r="X555" s="358"/>
      <c r="Y555" s="358"/>
      <c r="Z555" s="358"/>
    </row>
    <row r="556" spans="1:26" ht="12.75" x14ac:dyDescent="0.2">
      <c r="A556" s="358"/>
      <c r="B556" s="358"/>
      <c r="C556" s="368">
        <v>0.1</v>
      </c>
      <c r="D556" s="369">
        <v>912.83875482370217</v>
      </c>
      <c r="E556" s="370">
        <v>26681951.535890691</v>
      </c>
      <c r="F556" s="370">
        <v>269.03106007804081</v>
      </c>
      <c r="G556" s="358"/>
      <c r="H556" s="374">
        <v>2.5000000000000001E-2</v>
      </c>
      <c r="I556" s="372">
        <v>912.83875482370172</v>
      </c>
      <c r="J556" s="373">
        <v>26681951.535890691</v>
      </c>
      <c r="K556" s="373">
        <v>269.03106007804075</v>
      </c>
      <c r="L556" s="358"/>
      <c r="M556" s="358"/>
      <c r="N556" s="358"/>
      <c r="O556" s="358"/>
      <c r="P556" s="358"/>
      <c r="Q556" s="358"/>
      <c r="R556" s="358"/>
      <c r="S556" s="358"/>
      <c r="T556" s="358"/>
      <c r="U556" s="358"/>
      <c r="V556" s="358"/>
      <c r="W556" s="358"/>
      <c r="X556" s="358"/>
      <c r="Y556" s="358"/>
      <c r="Z556" s="358"/>
    </row>
    <row r="557" spans="1:26" ht="12.75" x14ac:dyDescent="0.2">
      <c r="A557" s="358"/>
      <c r="B557" s="358"/>
      <c r="C557" s="368">
        <v>0.15</v>
      </c>
      <c r="D557" s="369">
        <v>912.83875482370172</v>
      </c>
      <c r="E557" s="370">
        <v>26681951.535890684</v>
      </c>
      <c r="F557" s="370">
        <v>269.03106007804081</v>
      </c>
      <c r="G557" s="358"/>
      <c r="H557" s="368">
        <v>0.04</v>
      </c>
      <c r="I557" s="369">
        <v>912.83875482370172</v>
      </c>
      <c r="J557" s="370">
        <v>26681951.535890672</v>
      </c>
      <c r="K557" s="370">
        <v>269.03106007804075</v>
      </c>
      <c r="L557" s="358"/>
      <c r="M557" s="358"/>
      <c r="N557" s="358"/>
      <c r="O557" s="358"/>
      <c r="P557" s="358"/>
      <c r="Q557" s="358"/>
      <c r="R557" s="358"/>
      <c r="S557" s="358"/>
      <c r="T557" s="358"/>
      <c r="U557" s="358"/>
      <c r="V557" s="358"/>
      <c r="W557" s="358"/>
      <c r="X557" s="358"/>
      <c r="Y557" s="358"/>
      <c r="Z557" s="358"/>
    </row>
    <row r="558" spans="1:26" ht="12.75" x14ac:dyDescent="0.2">
      <c r="A558" s="358"/>
      <c r="B558" s="358"/>
      <c r="C558" s="375">
        <v>0.2</v>
      </c>
      <c r="D558" s="376">
        <v>912.83875482370172</v>
      </c>
      <c r="E558" s="377">
        <v>26681951.535890684</v>
      </c>
      <c r="F558" s="377">
        <v>269.03106007804075</v>
      </c>
      <c r="G558" s="358"/>
      <c r="H558" s="375">
        <v>0.06</v>
      </c>
      <c r="I558" s="376">
        <v>912.83875482370172</v>
      </c>
      <c r="J558" s="377">
        <v>26681951.535890684</v>
      </c>
      <c r="K558" s="377">
        <v>269.03106007804075</v>
      </c>
      <c r="L558" s="358"/>
      <c r="M558" s="358"/>
      <c r="N558" s="358"/>
      <c r="O558" s="358"/>
      <c r="P558" s="358"/>
      <c r="Q558" s="358"/>
      <c r="R558" s="358"/>
      <c r="S558" s="358"/>
      <c r="T558" s="358"/>
      <c r="U558" s="358"/>
      <c r="V558" s="358"/>
      <c r="W558" s="358"/>
      <c r="X558" s="358"/>
      <c r="Y558" s="358"/>
      <c r="Z558" s="358"/>
    </row>
    <row r="559" spans="1:26" ht="12.75" x14ac:dyDescent="0.2">
      <c r="A559" s="358"/>
      <c r="B559" s="358"/>
      <c r="C559" s="358"/>
      <c r="D559" s="358"/>
      <c r="E559" s="358"/>
      <c r="F559" s="358"/>
      <c r="G559" s="358"/>
      <c r="H559" s="358"/>
      <c r="I559" s="358"/>
      <c r="J559" s="358"/>
      <c r="K559" s="358"/>
      <c r="L559" s="358"/>
      <c r="M559" s="358"/>
      <c r="N559" s="358"/>
      <c r="O559" s="358"/>
      <c r="P559" s="358"/>
      <c r="Q559" s="358"/>
      <c r="R559" s="358"/>
      <c r="S559" s="358"/>
      <c r="T559" s="358"/>
      <c r="U559" s="358"/>
      <c r="V559" s="358"/>
      <c r="W559" s="358"/>
      <c r="X559" s="358"/>
      <c r="Y559" s="358"/>
      <c r="Z559" s="358"/>
    </row>
    <row r="560" spans="1:26" ht="38.25" x14ac:dyDescent="0.2">
      <c r="A560" s="358"/>
      <c r="B560" s="358"/>
      <c r="C560" s="359" t="s">
        <v>181</v>
      </c>
      <c r="D560" s="360" t="s">
        <v>812</v>
      </c>
      <c r="E560" s="361" t="s">
        <v>813</v>
      </c>
      <c r="F560" s="361" t="s">
        <v>1000</v>
      </c>
      <c r="G560" s="358"/>
      <c r="H560" s="359" t="s">
        <v>755</v>
      </c>
      <c r="I560" s="360" t="s">
        <v>812</v>
      </c>
      <c r="J560" s="361" t="s">
        <v>813</v>
      </c>
      <c r="K560" s="361" t="s">
        <v>1000</v>
      </c>
      <c r="L560" s="358"/>
      <c r="M560" s="358"/>
      <c r="N560" s="358"/>
      <c r="O560" s="358"/>
      <c r="P560" s="358"/>
      <c r="Q560" s="358"/>
      <c r="R560" s="358"/>
      <c r="S560" s="358"/>
      <c r="T560" s="358"/>
      <c r="U560" s="358"/>
      <c r="V560" s="358"/>
      <c r="W560" s="358"/>
      <c r="X560" s="358"/>
      <c r="Y560" s="358"/>
      <c r="Z560" s="358"/>
    </row>
    <row r="561" spans="1:26" ht="12.75" x14ac:dyDescent="0.2">
      <c r="A561" s="354"/>
      <c r="B561" s="354"/>
      <c r="C561" s="362"/>
      <c r="D561" s="363">
        <f>$F$407</f>
        <v>912.83875482370172</v>
      </c>
      <c r="E561" s="364">
        <f>$F$544</f>
        <v>26681951.535890691</v>
      </c>
      <c r="F561" s="364">
        <f>AVERAGE($H$404,$I$404,$J$404)*1000/$F$10</f>
        <v>269.03106007804075</v>
      </c>
      <c r="G561" s="358"/>
      <c r="H561" s="362"/>
      <c r="I561" s="363">
        <f>$F$407</f>
        <v>912.83875482370172</v>
      </c>
      <c r="J561" s="364">
        <f>$F$544</f>
        <v>26681951.535890691</v>
      </c>
      <c r="K561" s="364">
        <f>AVERAGE($H$404,$I$404,$J$404)*1000/$F$10</f>
        <v>269.03106007804075</v>
      </c>
      <c r="L561" s="354"/>
      <c r="M561" s="354"/>
      <c r="N561" s="354"/>
      <c r="O561" s="354"/>
      <c r="P561" s="354"/>
      <c r="Q561" s="354"/>
      <c r="R561" s="354"/>
      <c r="S561" s="354"/>
      <c r="T561" s="354"/>
      <c r="U561" s="354"/>
      <c r="V561" s="354"/>
      <c r="W561" s="354"/>
      <c r="X561" s="354"/>
      <c r="Y561" s="354"/>
      <c r="Z561" s="354"/>
    </row>
    <row r="562" spans="1:26" ht="12.75" x14ac:dyDescent="0.2">
      <c r="A562" s="354"/>
      <c r="B562" s="354"/>
      <c r="C562" s="378">
        <v>140</v>
      </c>
      <c r="D562" s="613">
        <f t="dataTable" ref="D562:F567" dt2D="0" dtr="0" r1="F10" ca="1"/>
        <v>1100.0150638865352</v>
      </c>
      <c r="E562" s="614">
        <v>34389457.210712343</v>
      </c>
      <c r="F562" s="614">
        <v>320.16279778255313</v>
      </c>
      <c r="G562" s="358"/>
      <c r="H562" s="365">
        <v>-0.1</v>
      </c>
      <c r="I562" s="613">
        <f t="dataTable" ref="I562:K567" dt2D="0" dtr="0" r1="F11" ca="1"/>
        <v>1051.9883591794173</v>
      </c>
      <c r="J562" s="614">
        <v>35137969.349805981</v>
      </c>
      <c r="K562" s="614">
        <v>303.59875858197341</v>
      </c>
      <c r="L562" s="354"/>
      <c r="M562" s="354"/>
      <c r="N562" s="354"/>
      <c r="O562" s="354"/>
      <c r="P562" s="354"/>
      <c r="Q562" s="354"/>
      <c r="R562" s="354"/>
      <c r="S562" s="354"/>
      <c r="T562" s="354"/>
      <c r="U562" s="354"/>
      <c r="V562" s="354"/>
      <c r="W562" s="354"/>
      <c r="X562" s="354"/>
      <c r="Y562" s="354"/>
      <c r="Z562" s="354"/>
    </row>
    <row r="563" spans="1:26" ht="12.75" x14ac:dyDescent="0.2">
      <c r="A563" s="354"/>
      <c r="B563" s="354"/>
      <c r="C563" s="379">
        <v>150</v>
      </c>
      <c r="D563" s="613">
        <v>987.93693492508055</v>
      </c>
      <c r="E563" s="614">
        <v>29774328.195085563</v>
      </c>
      <c r="F563" s="614">
        <v>289.54594503466689</v>
      </c>
      <c r="G563" s="358"/>
      <c r="H563" s="368">
        <v>-0.05</v>
      </c>
      <c r="I563" s="613">
        <v>989.53538459475874</v>
      </c>
      <c r="J563" s="614">
        <v>31331301.107009944</v>
      </c>
      <c r="K563" s="614">
        <v>287.24679772166439</v>
      </c>
      <c r="L563" s="354"/>
      <c r="M563" s="354"/>
      <c r="N563" s="354"/>
      <c r="O563" s="354"/>
      <c r="P563" s="354"/>
      <c r="Q563" s="354"/>
      <c r="R563" s="354"/>
      <c r="S563" s="354"/>
      <c r="T563" s="354"/>
      <c r="U563" s="354"/>
      <c r="V563" s="354"/>
      <c r="W563" s="354"/>
      <c r="X563" s="354"/>
      <c r="Y563" s="354"/>
      <c r="Z563" s="354"/>
    </row>
    <row r="564" spans="1:26" ht="12.75" x14ac:dyDescent="0.2">
      <c r="A564" s="354"/>
      <c r="B564" s="354"/>
      <c r="C564" s="380">
        <v>157.54</v>
      </c>
      <c r="D564" s="617">
        <v>912.83875482370172</v>
      </c>
      <c r="E564" s="618">
        <v>26681951.535890691</v>
      </c>
      <c r="F564" s="618">
        <v>269.03106007804075</v>
      </c>
      <c r="G564" s="358"/>
      <c r="H564" s="371">
        <v>0</v>
      </c>
      <c r="I564" s="617">
        <v>912.83875482370172</v>
      </c>
      <c r="J564" s="618">
        <v>26681951.535890691</v>
      </c>
      <c r="K564" s="618">
        <v>269.03106007804075</v>
      </c>
      <c r="L564" s="354"/>
      <c r="M564" s="354"/>
      <c r="N564" s="354"/>
      <c r="O564" s="354"/>
      <c r="P564" s="354"/>
      <c r="Q564" s="354"/>
      <c r="R564" s="354"/>
      <c r="S564" s="354"/>
      <c r="T564" s="354"/>
      <c r="U564" s="354"/>
      <c r="V564" s="354"/>
      <c r="W564" s="354"/>
      <c r="X564" s="354"/>
      <c r="Y564" s="354"/>
      <c r="Z564" s="354"/>
    </row>
    <row r="565" spans="1:26" ht="12.75" x14ac:dyDescent="0.2">
      <c r="A565" s="354"/>
      <c r="B565" s="354"/>
      <c r="C565" s="379">
        <v>165</v>
      </c>
      <c r="D565" s="613">
        <v>845.2920435195922</v>
      </c>
      <c r="E565" s="614">
        <v>23900527.629742391</v>
      </c>
      <c r="F565" s="614">
        <v>250.57904153735703</v>
      </c>
      <c r="G565" s="358"/>
      <c r="H565" s="597">
        <v>0.05</v>
      </c>
      <c r="I565" s="613">
        <v>818.52378154954749</v>
      </c>
      <c r="J565" s="614">
        <v>20993295.098320756</v>
      </c>
      <c r="K565" s="614">
        <v>248.79682664998404</v>
      </c>
      <c r="L565" s="354"/>
      <c r="M565" s="354"/>
      <c r="N565" s="354"/>
      <c r="O565" s="354"/>
      <c r="P565" s="354"/>
      <c r="Q565" s="354"/>
      <c r="R565" s="354"/>
      <c r="S565" s="354"/>
      <c r="T565" s="354"/>
      <c r="U565" s="354"/>
      <c r="V565" s="354"/>
      <c r="W565" s="354"/>
      <c r="X565" s="354"/>
      <c r="Y565" s="354"/>
      <c r="Z565" s="354"/>
    </row>
    <row r="566" spans="1:26" ht="12.75" x14ac:dyDescent="0.2">
      <c r="A566" s="354"/>
      <c r="B566" s="354"/>
      <c r="C566" s="379">
        <v>175</v>
      </c>
      <c r="D566" s="613">
        <v>763.78067700217082</v>
      </c>
      <c r="E566" s="614">
        <v>20544070.163832031</v>
      </c>
      <c r="F566" s="614">
        <v>228.31223953889429</v>
      </c>
      <c r="G566" s="358"/>
      <c r="H566" s="368">
        <v>0.1</v>
      </c>
      <c r="I566" s="613">
        <v>702.49019116274212</v>
      </c>
      <c r="J566" s="614">
        <v>14026291.582163962</v>
      </c>
      <c r="K566" s="614">
        <v>226.38144412862641</v>
      </c>
      <c r="L566" s="354"/>
      <c r="M566" s="354"/>
      <c r="N566" s="354"/>
      <c r="O566" s="354"/>
      <c r="P566" s="354"/>
      <c r="Q566" s="354"/>
      <c r="R566" s="354"/>
      <c r="S566" s="354"/>
      <c r="T566" s="354"/>
      <c r="U566" s="354"/>
      <c r="V566" s="354"/>
      <c r="W566" s="354"/>
      <c r="X566" s="354"/>
      <c r="Y566" s="354"/>
      <c r="Z566" s="354"/>
    </row>
    <row r="567" spans="1:26" ht="12.75" x14ac:dyDescent="0.2">
      <c r="A567" s="354"/>
      <c r="B567" s="354"/>
      <c r="C567" s="381">
        <v>185</v>
      </c>
      <c r="D567" s="619">
        <v>691.08135010825413</v>
      </c>
      <c r="E567" s="620">
        <v>17550472.964506548</v>
      </c>
      <c r="F567" s="620">
        <v>208.45265937810322</v>
      </c>
      <c r="G567" s="358"/>
      <c r="H567" s="375">
        <v>0.15</v>
      </c>
      <c r="I567" s="619">
        <v>559.78472179662651</v>
      </c>
      <c r="J567" s="620">
        <v>5491937.054238406</v>
      </c>
      <c r="K567" s="620">
        <v>201.61432489735074</v>
      </c>
      <c r="L567" s="354"/>
      <c r="M567" s="354"/>
      <c r="N567" s="354"/>
      <c r="O567" s="354"/>
      <c r="P567" s="354"/>
      <c r="Q567" s="354"/>
      <c r="R567" s="354"/>
      <c r="S567" s="354"/>
      <c r="T567" s="354"/>
      <c r="U567" s="354"/>
      <c r="V567" s="354"/>
      <c r="W567" s="354"/>
      <c r="X567" s="354"/>
      <c r="Y567" s="354"/>
      <c r="Z567" s="354"/>
    </row>
    <row r="568" spans="1:26" ht="12.75" x14ac:dyDescent="0.2">
      <c r="A568" s="354"/>
      <c r="B568" s="354"/>
      <c r="C568" s="354"/>
      <c r="D568" s="354"/>
      <c r="E568" s="354"/>
      <c r="F568" s="354"/>
      <c r="G568" s="354"/>
      <c r="H568" s="354"/>
      <c r="I568" s="354"/>
      <c r="J568" s="354"/>
      <c r="K568" s="354"/>
      <c r="L568" s="354"/>
      <c r="M568" s="354"/>
      <c r="N568" s="354"/>
      <c r="O568" s="354"/>
      <c r="P568" s="354"/>
      <c r="Q568" s="354"/>
      <c r="R568" s="354"/>
      <c r="S568" s="354"/>
      <c r="T568" s="354"/>
      <c r="U568" s="354"/>
      <c r="V568" s="354"/>
      <c r="W568" s="354"/>
      <c r="X568" s="354"/>
      <c r="Y568" s="354"/>
      <c r="Z568" s="354"/>
    </row>
    <row r="569" spans="1:26" ht="38.25" x14ac:dyDescent="0.2">
      <c r="A569" s="354"/>
      <c r="B569" s="354"/>
      <c r="C569" s="359" t="s">
        <v>21</v>
      </c>
      <c r="D569" s="360" t="s">
        <v>812</v>
      </c>
      <c r="E569" s="361" t="s">
        <v>813</v>
      </c>
      <c r="F569" s="361" t="s">
        <v>1000</v>
      </c>
      <c r="G569" s="358"/>
      <c r="H569" s="359" t="s">
        <v>23</v>
      </c>
      <c r="I569" s="360" t="s">
        <v>812</v>
      </c>
      <c r="J569" s="361" t="s">
        <v>813</v>
      </c>
      <c r="K569" s="361" t="s">
        <v>1000</v>
      </c>
      <c r="L569" s="354"/>
      <c r="M569" s="354"/>
      <c r="N569" s="354"/>
      <c r="O569" s="354"/>
      <c r="P569" s="354"/>
      <c r="Q569" s="354"/>
      <c r="R569" s="354"/>
      <c r="S569" s="354"/>
      <c r="T569" s="354"/>
      <c r="U569" s="354"/>
      <c r="V569" s="354"/>
      <c r="W569" s="354"/>
      <c r="X569" s="354"/>
      <c r="Y569" s="354"/>
      <c r="Z569" s="354"/>
    </row>
    <row r="570" spans="1:26" ht="12.75" x14ac:dyDescent="0.2">
      <c r="A570" s="354"/>
      <c r="B570" s="354"/>
      <c r="C570" s="362"/>
      <c r="D570" s="363">
        <f>$F$407</f>
        <v>912.83875482370172</v>
      </c>
      <c r="E570" s="364">
        <f>$F$544</f>
        <v>26681951.535890691</v>
      </c>
      <c r="F570" s="364">
        <f>AVERAGE($H$404,$I$404,$J$404)*1000/$F$10</f>
        <v>269.03106007804075</v>
      </c>
      <c r="G570" s="358"/>
      <c r="H570" s="362"/>
      <c r="I570" s="363">
        <f>$F$407</f>
        <v>912.83875482370172</v>
      </c>
      <c r="J570" s="364">
        <f>$F$544</f>
        <v>26681951.535890691</v>
      </c>
      <c r="K570" s="364">
        <f>AVERAGE($H$404,$I$404,$J$404)*1000/$F$10</f>
        <v>269.03106007804075</v>
      </c>
      <c r="L570" s="354"/>
      <c r="M570" s="354"/>
      <c r="N570" s="354"/>
      <c r="O570" s="354"/>
      <c r="P570" s="354"/>
      <c r="Q570" s="354"/>
      <c r="R570" s="354"/>
      <c r="S570" s="354"/>
      <c r="T570" s="354"/>
      <c r="U570" s="354"/>
      <c r="V570" s="354"/>
      <c r="W570" s="354"/>
      <c r="X570" s="354"/>
      <c r="Y570" s="354"/>
      <c r="Z570" s="354"/>
    </row>
    <row r="571" spans="1:26" ht="12.75" x14ac:dyDescent="0.2">
      <c r="A571" s="354"/>
      <c r="B571" s="354"/>
      <c r="C571" s="382">
        <v>7.0000000000000007E-2</v>
      </c>
      <c r="D571" s="613">
        <f t="dataTable" ref="D571:F576" dt2D="0" dtr="0" r1="F19" ca="1"/>
        <v>1371.3070098310213</v>
      </c>
      <c r="E571" s="614">
        <v>26681951.535890691</v>
      </c>
      <c r="F571" s="614">
        <v>269.03106007804075</v>
      </c>
      <c r="G571" s="358"/>
      <c r="H571" s="365">
        <v>0.06</v>
      </c>
      <c r="I571" s="613">
        <f t="dataTable" ref="I571:K576" dt2D="0" dtr="0" r1="F20" ca="1"/>
        <v>912.83875482370172</v>
      </c>
      <c r="J571" s="614">
        <v>42326660.556680657</v>
      </c>
      <c r="K571" s="614">
        <v>269.03106007804075</v>
      </c>
      <c r="L571" s="354"/>
      <c r="M571" s="354"/>
      <c r="N571" s="354"/>
      <c r="O571" s="354"/>
      <c r="P571" s="354"/>
      <c r="Q571" s="354"/>
      <c r="R571" s="354"/>
      <c r="S571" s="354"/>
      <c r="T571" s="354"/>
      <c r="U571" s="354"/>
      <c r="V571" s="354"/>
      <c r="W571" s="354"/>
      <c r="X571" s="354"/>
      <c r="Y571" s="354"/>
      <c r="Z571" s="354"/>
    </row>
    <row r="572" spans="1:26" ht="12.75" x14ac:dyDescent="0.2">
      <c r="A572" s="354"/>
      <c r="B572" s="354"/>
      <c r="C572" s="383">
        <v>0.1</v>
      </c>
      <c r="D572" s="613">
        <v>1200.790414960599</v>
      </c>
      <c r="E572" s="614">
        <v>26681951.535890691</v>
      </c>
      <c r="F572" s="614">
        <v>269.03106007804075</v>
      </c>
      <c r="G572" s="358"/>
      <c r="H572" s="368">
        <v>0.08</v>
      </c>
      <c r="I572" s="613">
        <v>912.83875482370172</v>
      </c>
      <c r="J572" s="614">
        <v>36159397.481663622</v>
      </c>
      <c r="K572" s="614">
        <v>269.03106007804075</v>
      </c>
      <c r="L572" s="354"/>
      <c r="M572" s="354"/>
      <c r="N572" s="354"/>
      <c r="O572" s="354"/>
      <c r="P572" s="354"/>
      <c r="Q572" s="354"/>
      <c r="R572" s="354"/>
      <c r="S572" s="354"/>
      <c r="T572" s="354"/>
      <c r="U572" s="354"/>
      <c r="V572" s="354"/>
      <c r="W572" s="354"/>
      <c r="X572" s="354"/>
      <c r="Y572" s="354"/>
      <c r="Z572" s="354"/>
    </row>
    <row r="573" spans="1:26" ht="12.75" x14ac:dyDescent="0.2">
      <c r="A573" s="354"/>
      <c r="B573" s="354"/>
      <c r="C573" s="384">
        <v>0.12</v>
      </c>
      <c r="D573" s="615">
        <v>1103.6522913672784</v>
      </c>
      <c r="E573" s="616">
        <v>26681951.535890691</v>
      </c>
      <c r="F573" s="616">
        <v>269.03106007804075</v>
      </c>
      <c r="G573" s="358"/>
      <c r="H573" s="368">
        <v>0.1</v>
      </c>
      <c r="I573" s="615">
        <v>912.83875482370172</v>
      </c>
      <c r="J573" s="616">
        <v>31006830.258837748</v>
      </c>
      <c r="K573" s="616">
        <v>269.03106007804075</v>
      </c>
      <c r="L573" s="354"/>
      <c r="M573" s="354"/>
      <c r="N573" s="354"/>
      <c r="O573" s="354"/>
      <c r="P573" s="354"/>
      <c r="Q573" s="354"/>
      <c r="R573" s="354"/>
      <c r="S573" s="354"/>
      <c r="T573" s="354"/>
      <c r="U573" s="354"/>
      <c r="V573" s="354"/>
      <c r="W573" s="354"/>
      <c r="X573" s="354"/>
      <c r="Y573" s="354"/>
      <c r="Z573" s="354"/>
    </row>
    <row r="574" spans="1:26" ht="12.75" x14ac:dyDescent="0.2">
      <c r="A574" s="354"/>
      <c r="B574" s="354"/>
      <c r="C574" s="387">
        <v>0.16800000000000001</v>
      </c>
      <c r="D574" s="617">
        <v>912.83875482370172</v>
      </c>
      <c r="E574" s="618">
        <v>26681951.535890691</v>
      </c>
      <c r="F574" s="618">
        <v>269.03106007804075</v>
      </c>
      <c r="G574" s="358"/>
      <c r="H574" s="371">
        <v>0.12</v>
      </c>
      <c r="I574" s="617">
        <v>912.83875482370172</v>
      </c>
      <c r="J574" s="618">
        <v>26681951.535890691</v>
      </c>
      <c r="K574" s="618">
        <v>269.03106007804075</v>
      </c>
      <c r="L574" s="354"/>
      <c r="M574" s="354"/>
      <c r="N574" s="354"/>
      <c r="O574" s="354"/>
      <c r="P574" s="354"/>
      <c r="Q574" s="354"/>
      <c r="R574" s="354"/>
      <c r="S574" s="354"/>
      <c r="T574" s="354"/>
      <c r="U574" s="354"/>
      <c r="V574" s="354"/>
      <c r="W574" s="354"/>
      <c r="X574" s="354"/>
      <c r="Y574" s="354"/>
      <c r="Z574" s="354"/>
    </row>
    <row r="575" spans="1:26" ht="12.75" x14ac:dyDescent="0.2">
      <c r="A575" s="354"/>
      <c r="B575" s="354"/>
      <c r="C575" s="383">
        <v>0.2</v>
      </c>
      <c r="D575" s="613">
        <v>811.75092559257212</v>
      </c>
      <c r="E575" s="614">
        <v>26681951.535890691</v>
      </c>
      <c r="F575" s="614">
        <v>269.03106007804075</v>
      </c>
      <c r="G575" s="358"/>
      <c r="H575" s="368">
        <v>0.14000000000000001</v>
      </c>
      <c r="I575" s="613">
        <v>912.83875482370172</v>
      </c>
      <c r="J575" s="614">
        <v>23035634.762414403</v>
      </c>
      <c r="K575" s="614">
        <v>269.03106007804075</v>
      </c>
      <c r="L575" s="354"/>
      <c r="M575" s="354"/>
      <c r="N575" s="354"/>
      <c r="O575" s="354"/>
      <c r="P575" s="354"/>
      <c r="Q575" s="354"/>
      <c r="R575" s="354"/>
      <c r="S575" s="354"/>
      <c r="T575" s="354"/>
      <c r="U575" s="354"/>
      <c r="V575" s="354"/>
      <c r="W575" s="354"/>
      <c r="X575" s="354"/>
      <c r="Y575" s="354"/>
      <c r="Z575" s="354"/>
    </row>
    <row r="576" spans="1:26" ht="12.75" x14ac:dyDescent="0.2">
      <c r="A576" s="354"/>
      <c r="B576" s="354"/>
      <c r="C576" s="388">
        <v>0.25</v>
      </c>
      <c r="D576" s="619">
        <v>684.79922650205799</v>
      </c>
      <c r="E576" s="620">
        <v>26681951.535890691</v>
      </c>
      <c r="F576" s="620">
        <v>269.03106007804075</v>
      </c>
      <c r="G576" s="358"/>
      <c r="H576" s="375">
        <v>0.16</v>
      </c>
      <c r="I576" s="619">
        <v>912.83875482370172</v>
      </c>
      <c r="J576" s="620">
        <v>19948326.065493625</v>
      </c>
      <c r="K576" s="620">
        <v>269.03106007804075</v>
      </c>
      <c r="L576" s="354"/>
      <c r="M576" s="354"/>
      <c r="N576" s="354"/>
      <c r="O576" s="354"/>
      <c r="P576" s="354"/>
      <c r="Q576" s="354"/>
      <c r="R576" s="354"/>
      <c r="S576" s="354"/>
      <c r="T576" s="354"/>
      <c r="U576" s="354"/>
      <c r="V576" s="354"/>
      <c r="W576" s="354"/>
      <c r="X576" s="354"/>
      <c r="Y576" s="354"/>
      <c r="Z576" s="354"/>
    </row>
    <row r="577" spans="1:26" ht="12.75" x14ac:dyDescent="0.2">
      <c r="A577" s="122"/>
      <c r="B577" s="122"/>
      <c r="C577" s="122"/>
      <c r="D577" s="122"/>
      <c r="E577" s="122"/>
      <c r="F577" s="122"/>
      <c r="G577" s="122"/>
      <c r="H577" s="122"/>
      <c r="I577" s="122"/>
      <c r="J577" s="122"/>
      <c r="K577" s="122"/>
      <c r="L577" s="122"/>
      <c r="M577" s="122"/>
      <c r="N577" s="122"/>
      <c r="O577" s="122"/>
      <c r="P577" s="122"/>
      <c r="Q577" s="122"/>
      <c r="R577" s="122"/>
      <c r="S577" s="122"/>
      <c r="T577" s="122"/>
      <c r="U577" s="122"/>
      <c r="V577" s="122"/>
      <c r="W577" s="122"/>
      <c r="X577" s="122"/>
      <c r="Y577" s="122"/>
      <c r="Z577" s="122"/>
    </row>
    <row r="578" spans="1:26" customFormat="1" ht="38.25" x14ac:dyDescent="0.2">
      <c r="A578" s="246"/>
      <c r="B578" s="3"/>
      <c r="C578" s="359" t="s">
        <v>950</v>
      </c>
      <c r="D578" s="360" t="s">
        <v>812</v>
      </c>
      <c r="E578" s="361" t="s">
        <v>813</v>
      </c>
      <c r="F578" s="361" t="s">
        <v>1000</v>
      </c>
      <c r="G578" s="3"/>
      <c r="H578" s="359" t="s">
        <v>911</v>
      </c>
      <c r="I578" s="360" t="s">
        <v>812</v>
      </c>
      <c r="J578" s="361" t="s">
        <v>813</v>
      </c>
      <c r="K578" s="361" t="s">
        <v>1000</v>
      </c>
      <c r="L578" s="3"/>
      <c r="M578" s="3"/>
      <c r="N578" s="3"/>
      <c r="O578" s="3"/>
      <c r="P578" s="3"/>
      <c r="Q578" s="3"/>
      <c r="R578" s="3"/>
      <c r="S578" s="3"/>
      <c r="T578" s="3"/>
      <c r="U578" s="3"/>
      <c r="V578" s="3"/>
      <c r="W578" s="3"/>
      <c r="X578" s="3"/>
      <c r="Y578" s="3"/>
      <c r="Z578" s="3"/>
    </row>
    <row r="579" spans="1:26" customFormat="1" ht="12.75" x14ac:dyDescent="0.2">
      <c r="A579" s="246"/>
      <c r="B579" s="3"/>
      <c r="C579" s="362"/>
      <c r="D579" s="363">
        <f>$F$407</f>
        <v>912.83875482370172</v>
      </c>
      <c r="E579" s="364">
        <f>$F$544</f>
        <v>26681951.535890691</v>
      </c>
      <c r="F579" s="364">
        <f>AVERAGE($H$404,$I$404,$J$404)*1000/$F$10</f>
        <v>269.03106007804075</v>
      </c>
      <c r="G579" s="358"/>
      <c r="H579" s="362"/>
      <c r="I579" s="363">
        <f>$F$407</f>
        <v>912.83875482370172</v>
      </c>
      <c r="J579" s="364">
        <f>$F$544</f>
        <v>26681951.535890691</v>
      </c>
      <c r="K579" s="364">
        <f>AVERAGE($H$404,$I$404,$J$404)*1000/$F$10</f>
        <v>269.03106007804075</v>
      </c>
      <c r="L579" s="3"/>
      <c r="M579" s="3"/>
      <c r="N579" s="3"/>
      <c r="O579" s="3"/>
      <c r="P579" s="3"/>
      <c r="Q579" s="3"/>
      <c r="R579" s="3"/>
      <c r="S579" s="3"/>
      <c r="T579" s="3"/>
      <c r="U579" s="3"/>
      <c r="V579" s="3"/>
      <c r="W579" s="3"/>
      <c r="X579" s="3"/>
      <c r="Y579" s="3"/>
      <c r="Z579" s="3"/>
    </row>
    <row r="580" spans="1:26" customFormat="1" ht="12.75" x14ac:dyDescent="0.2">
      <c r="A580" s="246"/>
      <c r="B580" s="3"/>
      <c r="C580" s="720">
        <v>-0.03</v>
      </c>
      <c r="D580" s="622">
        <f t="dataTable" ref="D580:F587" dt2D="0" dtr="0" r1="F54" ca="1"/>
        <v>981.11808097519963</v>
      </c>
      <c r="E580" s="622">
        <v>29603675.326290645</v>
      </c>
      <c r="F580" s="622">
        <v>284.00832120554975</v>
      </c>
      <c r="G580" s="3"/>
      <c r="H580" s="720">
        <v>-0.1</v>
      </c>
      <c r="I580" s="622">
        <f t="dataTable" ref="I580:K587" dt2D="0" dtr="0" r1="F79" ca="1"/>
        <v>982.97685841069313</v>
      </c>
      <c r="J580" s="622">
        <v>30263533.504581213</v>
      </c>
      <c r="K580" s="622">
        <v>285.9417453426509</v>
      </c>
      <c r="L580" s="3"/>
      <c r="M580" s="3"/>
      <c r="N580" s="3"/>
      <c r="O580" s="3"/>
      <c r="P580" s="3"/>
      <c r="Q580" s="3"/>
      <c r="R580" s="3"/>
      <c r="S580" s="3"/>
      <c r="T580" s="3"/>
      <c r="U580" s="3"/>
      <c r="V580" s="3"/>
      <c r="W580" s="3"/>
      <c r="X580" s="3"/>
      <c r="Y580" s="3"/>
      <c r="Z580" s="3"/>
    </row>
    <row r="581" spans="1:26" customFormat="1" ht="12.75" x14ac:dyDescent="0.2">
      <c r="A581" s="246"/>
      <c r="B581" s="3"/>
      <c r="C581" s="719">
        <v>-0.02</v>
      </c>
      <c r="D581" s="614">
        <v>959.1940301354598</v>
      </c>
      <c r="E581" s="614">
        <v>28666477.258978914</v>
      </c>
      <c r="F581" s="614">
        <v>279.09633628486239</v>
      </c>
      <c r="G581" s="3"/>
      <c r="H581" s="719">
        <v>-0.05</v>
      </c>
      <c r="I581" s="614">
        <v>947.90780661719748</v>
      </c>
      <c r="J581" s="614">
        <v>28472742.520235937</v>
      </c>
      <c r="K581" s="614">
        <v>277.48640271034577</v>
      </c>
      <c r="L581" s="3"/>
      <c r="M581" s="3"/>
      <c r="N581" s="3"/>
      <c r="O581" s="3"/>
      <c r="P581" s="3"/>
      <c r="Q581" s="3"/>
      <c r="R581" s="3"/>
      <c r="S581" s="3"/>
      <c r="T581" s="3"/>
      <c r="U581" s="3"/>
      <c r="V581" s="3"/>
      <c r="W581" s="3"/>
      <c r="X581" s="3"/>
      <c r="Y581" s="3"/>
      <c r="Z581" s="3"/>
    </row>
    <row r="582" spans="1:26" customFormat="1" ht="12.75" x14ac:dyDescent="0.2">
      <c r="A582" s="246"/>
      <c r="B582" s="3"/>
      <c r="C582" s="721">
        <v>-0.01</v>
      </c>
      <c r="D582" s="616">
        <v>936.44524208743769</v>
      </c>
      <c r="E582" s="616">
        <v>27693061.275559917</v>
      </c>
      <c r="F582" s="616">
        <v>274.10421950622435</v>
      </c>
      <c r="G582" s="3"/>
      <c r="H582" s="721">
        <v>-0.01</v>
      </c>
      <c r="I582" s="616">
        <v>919.85256518240101</v>
      </c>
      <c r="J582" s="616">
        <v>27040109.73275974</v>
      </c>
      <c r="K582" s="616">
        <v>270.72212860450185</v>
      </c>
      <c r="L582" s="3"/>
      <c r="M582" s="3"/>
      <c r="N582" s="3"/>
      <c r="O582" s="3"/>
      <c r="P582" s="3"/>
      <c r="Q582" s="3"/>
      <c r="R582" s="3"/>
      <c r="S582" s="3"/>
      <c r="T582" s="3"/>
      <c r="U582" s="3"/>
      <c r="V582" s="3"/>
      <c r="W582" s="3"/>
      <c r="X582" s="3"/>
      <c r="Y582" s="3"/>
      <c r="Z582" s="3"/>
    </row>
    <row r="583" spans="1:26" customFormat="1" ht="12.75" x14ac:dyDescent="0.2">
      <c r="A583" s="246"/>
      <c r="B583" s="3"/>
      <c r="C583" s="722">
        <v>0</v>
      </c>
      <c r="D583" s="618">
        <v>912.83875482370172</v>
      </c>
      <c r="E583" s="618">
        <v>26681951.535890691</v>
      </c>
      <c r="F583" s="618">
        <v>269.03106007804075</v>
      </c>
      <c r="G583" s="3"/>
      <c r="H583" s="722">
        <v>0</v>
      </c>
      <c r="I583" s="618">
        <v>912.83875482370172</v>
      </c>
      <c r="J583" s="618">
        <v>26681951.535890691</v>
      </c>
      <c r="K583" s="618">
        <v>269.03106007804075</v>
      </c>
      <c r="L583" s="3"/>
      <c r="M583" s="3"/>
      <c r="N583" s="3"/>
      <c r="O583" s="3"/>
      <c r="P583" s="3"/>
      <c r="Q583" s="3"/>
      <c r="R583" s="3"/>
      <c r="S583" s="3"/>
      <c r="T583" s="3"/>
      <c r="U583" s="3"/>
      <c r="V583" s="3"/>
      <c r="W583" s="3"/>
      <c r="X583" s="3"/>
      <c r="Y583" s="3"/>
      <c r="Z583" s="3"/>
    </row>
    <row r="584" spans="1:26" customFormat="1" ht="12.75" x14ac:dyDescent="0.2">
      <c r="A584" s="246"/>
      <c r="B584" s="3"/>
      <c r="C584" s="719">
        <v>0.01</v>
      </c>
      <c r="D584" s="614">
        <v>888.34040380300883</v>
      </c>
      <c r="E584" s="614">
        <v>25631617.6119144</v>
      </c>
      <c r="F584" s="614">
        <v>263.87593796210166</v>
      </c>
      <c r="G584" s="3"/>
      <c r="H584" s="719">
        <v>0.01</v>
      </c>
      <c r="I584" s="614">
        <v>905.82494446500289</v>
      </c>
      <c r="J584" s="614">
        <v>26323793.339021634</v>
      </c>
      <c r="K584" s="614">
        <v>267.33999155157977</v>
      </c>
      <c r="L584" s="3"/>
      <c r="M584" s="3"/>
      <c r="N584" s="3"/>
      <c r="O584" s="3"/>
      <c r="P584" s="3"/>
      <c r="Q584" s="3"/>
      <c r="R584" s="3"/>
      <c r="S584" s="3"/>
      <c r="T584" s="3"/>
      <c r="U584" s="3"/>
      <c r="V584" s="3"/>
      <c r="W584" s="3"/>
      <c r="X584" s="3"/>
      <c r="Y584" s="3"/>
      <c r="Z584" s="3"/>
    </row>
    <row r="585" spans="1:26" customFormat="1" ht="12.75" x14ac:dyDescent="0.2">
      <c r="A585" s="246"/>
      <c r="B585" s="3"/>
      <c r="C585" s="719">
        <v>0.02</v>
      </c>
      <c r="D585" s="614">
        <v>862.91478668097432</v>
      </c>
      <c r="E585" s="614">
        <v>24540472.861006118</v>
      </c>
      <c r="F585" s="614">
        <v>258.63792387358188</v>
      </c>
      <c r="G585" s="3"/>
      <c r="H585" s="719">
        <v>2.5000000000000001E-2</v>
      </c>
      <c r="I585" s="614">
        <v>895.30422892695401</v>
      </c>
      <c r="J585" s="614">
        <v>25786556.043718062</v>
      </c>
      <c r="K585" s="614">
        <v>264.8033887618883</v>
      </c>
      <c r="L585" s="3"/>
      <c r="M585" s="3"/>
      <c r="N585" s="3"/>
      <c r="O585" s="3"/>
      <c r="P585" s="3"/>
      <c r="Q585" s="3"/>
      <c r="R585" s="3"/>
      <c r="S585" s="3"/>
      <c r="T585" s="3"/>
      <c r="U585" s="3"/>
      <c r="V585" s="3"/>
      <c r="W585" s="3"/>
      <c r="X585" s="3"/>
      <c r="Y585" s="3"/>
      <c r="Z585" s="3"/>
    </row>
    <row r="586" spans="1:26" customFormat="1" ht="12.75" x14ac:dyDescent="0.2">
      <c r="A586" s="246"/>
      <c r="B586" s="3"/>
      <c r="C586" s="719">
        <v>0.03</v>
      </c>
      <c r="D586" s="614">
        <v>836.52522723555307</v>
      </c>
      <c r="E586" s="614">
        <v>23406872.761537626</v>
      </c>
      <c r="F586" s="614">
        <v>253.31607928104097</v>
      </c>
      <c r="G586" s="3"/>
      <c r="H586" s="719">
        <v>0.05</v>
      </c>
      <c r="I586" s="614">
        <v>877.76970303020641</v>
      </c>
      <c r="J586" s="614">
        <v>24891160.551545426</v>
      </c>
      <c r="K586" s="614">
        <v>260.57571744573579</v>
      </c>
      <c r="L586" s="3"/>
      <c r="M586" s="3"/>
      <c r="N586" s="3"/>
      <c r="O586" s="3"/>
      <c r="P586" s="3"/>
      <c r="Q586" s="3"/>
      <c r="R586" s="3"/>
      <c r="S586" s="3"/>
      <c r="T586" s="3"/>
      <c r="U586" s="3"/>
      <c r="V586" s="3"/>
      <c r="W586" s="3"/>
      <c r="X586" s="3"/>
      <c r="Y586" s="3"/>
      <c r="Z586" s="3"/>
    </row>
    <row r="587" spans="1:26" customFormat="1" ht="12.75" x14ac:dyDescent="0.2">
      <c r="A587" s="246"/>
      <c r="B587" s="3"/>
      <c r="C587" s="723">
        <v>0.04</v>
      </c>
      <c r="D587" s="620">
        <v>809.13373847380012</v>
      </c>
      <c r="E587" s="620">
        <v>22229113.21001827</v>
      </c>
      <c r="F587" s="620">
        <v>247.9094564064234</v>
      </c>
      <c r="G587" s="3"/>
      <c r="H587" s="723">
        <v>0.1</v>
      </c>
      <c r="I587" s="620">
        <v>842.70065123671066</v>
      </c>
      <c r="J587" s="620">
        <v>23100369.56720015</v>
      </c>
      <c r="K587" s="620">
        <v>252.12037481343077</v>
      </c>
      <c r="L587" s="3"/>
      <c r="M587" s="3"/>
      <c r="N587" s="3"/>
      <c r="O587" s="3"/>
      <c r="P587" s="3"/>
      <c r="Q587" s="3"/>
      <c r="R587" s="3"/>
      <c r="S587" s="3"/>
      <c r="T587" s="3"/>
      <c r="U587" s="3"/>
      <c r="V587" s="3"/>
      <c r="W587" s="3"/>
      <c r="X587" s="3"/>
      <c r="Y587" s="3"/>
      <c r="Z587" s="3"/>
    </row>
    <row r="588" spans="1:26" customFormat="1" ht="12.75" x14ac:dyDescent="0.2">
      <c r="A588" s="246"/>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customFormat="1" ht="51" x14ac:dyDescent="0.2">
      <c r="A589" s="246"/>
      <c r="B589" s="3"/>
      <c r="C589" s="359" t="s">
        <v>997</v>
      </c>
      <c r="D589" s="360" t="s">
        <v>812</v>
      </c>
      <c r="E589" s="361" t="s">
        <v>813</v>
      </c>
      <c r="F589" s="361" t="s">
        <v>1000</v>
      </c>
      <c r="G589" s="3"/>
      <c r="H589" s="359" t="s">
        <v>936</v>
      </c>
      <c r="I589" s="360" t="s">
        <v>812</v>
      </c>
      <c r="J589" s="361" t="s">
        <v>813</v>
      </c>
      <c r="K589" s="361" t="s">
        <v>1000</v>
      </c>
      <c r="L589" s="3"/>
      <c r="M589" s="3"/>
      <c r="N589" s="3"/>
      <c r="O589" s="3"/>
      <c r="P589" s="3"/>
      <c r="Q589" s="3"/>
      <c r="R589" s="3"/>
      <c r="S589" s="3"/>
      <c r="T589" s="3"/>
      <c r="U589" s="3"/>
      <c r="V589" s="3"/>
      <c r="W589" s="3"/>
      <c r="X589" s="3"/>
      <c r="Y589" s="3"/>
      <c r="Z589" s="3"/>
    </row>
    <row r="590" spans="1:26" customFormat="1" ht="12.75" x14ac:dyDescent="0.2">
      <c r="A590" s="246"/>
      <c r="B590" s="3"/>
      <c r="C590" s="362"/>
      <c r="D590" s="363">
        <f>$F$407</f>
        <v>912.83875482370172</v>
      </c>
      <c r="E590" s="364">
        <f>$F$544</f>
        <v>26681951.535890691</v>
      </c>
      <c r="F590" s="364">
        <f>AVERAGE($H$404,$I$404,$J$404)*1000/$F$10</f>
        <v>269.03106007804075</v>
      </c>
      <c r="G590" s="358"/>
      <c r="H590" s="362"/>
      <c r="I590" s="363">
        <f>$F$407</f>
        <v>912.83875482370172</v>
      </c>
      <c r="J590" s="364">
        <f>$F$544</f>
        <v>26681951.535890691</v>
      </c>
      <c r="K590" s="364">
        <f>AVERAGE($H$404,$I$404,$J$404)*1000/$F$10</f>
        <v>269.03106007804075</v>
      </c>
      <c r="L590" s="3"/>
      <c r="M590" s="3"/>
      <c r="N590" s="3"/>
      <c r="O590" s="3"/>
      <c r="P590" s="3"/>
      <c r="Q590" s="3"/>
      <c r="R590" s="3"/>
      <c r="S590" s="3"/>
      <c r="T590" s="3"/>
      <c r="U590" s="3"/>
      <c r="V590" s="3"/>
      <c r="W590" s="3"/>
      <c r="X590" s="3"/>
      <c r="Y590" s="3"/>
      <c r="Z590" s="3"/>
    </row>
    <row r="591" spans="1:26" customFormat="1" ht="12.75" x14ac:dyDescent="0.2">
      <c r="A591" s="246"/>
      <c r="B591" s="3"/>
      <c r="C591" s="720">
        <v>-0.1</v>
      </c>
      <c r="D591" s="622">
        <f t="dataTable" ref="D591:F598" dt2D="0" dtr="0" r1="F94" ca="1"/>
        <v>645.64719802664263</v>
      </c>
      <c r="E591" s="622">
        <v>15542031.85821256</v>
      </c>
      <c r="F591" s="622">
        <v>198.32454108197277</v>
      </c>
      <c r="G591" s="3"/>
      <c r="H591" s="720">
        <v>-0.1</v>
      </c>
      <c r="I591" s="622">
        <f t="dataTable" ref="I591:K598" dt2D="0" dtr="0" r1="F78" ca="1"/>
        <v>943.09080297651656</v>
      </c>
      <c r="J591" s="622">
        <v>27985076.745234527</v>
      </c>
      <c r="K591" s="622">
        <v>276.94027664780083</v>
      </c>
      <c r="L591" s="3"/>
      <c r="M591" s="3"/>
      <c r="N591" s="3"/>
      <c r="O591" s="3"/>
      <c r="P591" s="3"/>
      <c r="Q591" s="3"/>
      <c r="R591" s="3"/>
      <c r="S591" s="3"/>
      <c r="T591" s="3"/>
      <c r="U591" s="3"/>
      <c r="V591" s="3"/>
      <c r="W591" s="3"/>
      <c r="X591" s="3"/>
      <c r="Y591" s="3"/>
      <c r="Z591" s="3"/>
    </row>
    <row r="592" spans="1:26" customFormat="1" ht="12.75" x14ac:dyDescent="0.2">
      <c r="A592" s="246"/>
      <c r="B592" s="3"/>
      <c r="C592" s="719">
        <v>-0.05</v>
      </c>
      <c r="D592" s="614">
        <v>779.24297642517206</v>
      </c>
      <c r="E592" s="614">
        <v>21111991.697051607</v>
      </c>
      <c r="F592" s="614">
        <v>233.67780058000673</v>
      </c>
      <c r="G592" s="3"/>
      <c r="H592" s="719">
        <v>-0.05</v>
      </c>
      <c r="I592" s="614">
        <v>929.57476151488447</v>
      </c>
      <c r="J592" s="614">
        <v>27405022.622182228</v>
      </c>
      <c r="K592" s="614">
        <v>273.21901239269101</v>
      </c>
      <c r="L592" s="3"/>
      <c r="M592" s="3"/>
      <c r="N592" s="3"/>
      <c r="O592" s="3"/>
      <c r="P592" s="3"/>
      <c r="Q592" s="3"/>
      <c r="R592" s="3"/>
      <c r="S592" s="3"/>
      <c r="T592" s="3"/>
      <c r="U592" s="3"/>
      <c r="V592" s="3"/>
      <c r="W592" s="3"/>
      <c r="X592" s="3"/>
      <c r="Y592" s="3"/>
      <c r="Z592" s="3"/>
    </row>
    <row r="593" spans="1:26" customFormat="1" ht="12.75" x14ac:dyDescent="0.2">
      <c r="A593" s="246"/>
      <c r="B593" s="3"/>
      <c r="C593" s="721">
        <v>-2.5000000000000001E-2</v>
      </c>
      <c r="D593" s="616">
        <v>846.04086562443683</v>
      </c>
      <c r="E593" s="616">
        <v>23896971.616471149</v>
      </c>
      <c r="F593" s="616">
        <v>251.35443032902376</v>
      </c>
      <c r="G593" s="3"/>
      <c r="H593" s="721">
        <v>-2.5000000000000001E-2</v>
      </c>
      <c r="I593" s="616">
        <v>921.65473586942926</v>
      </c>
      <c r="J593" s="616">
        <v>27063438.279007144</v>
      </c>
      <c r="K593" s="616">
        <v>271.1859422967035</v>
      </c>
      <c r="L593" s="3"/>
      <c r="M593" s="3"/>
      <c r="N593" s="3"/>
      <c r="O593" s="3"/>
      <c r="P593" s="3"/>
      <c r="Q593" s="3"/>
      <c r="R593" s="3"/>
      <c r="S593" s="3"/>
      <c r="T593" s="3"/>
      <c r="U593" s="3"/>
      <c r="V593" s="3"/>
      <c r="W593" s="3"/>
      <c r="X593" s="3"/>
      <c r="Y593" s="3"/>
      <c r="Z593" s="3"/>
    </row>
    <row r="594" spans="1:26" customFormat="1" ht="12.75" x14ac:dyDescent="0.2">
      <c r="A594" s="246"/>
      <c r="B594" s="3"/>
      <c r="C594" s="722">
        <v>0</v>
      </c>
      <c r="D594" s="618">
        <v>912.83875482370172</v>
      </c>
      <c r="E594" s="618">
        <v>26681951.535890691</v>
      </c>
      <c r="F594" s="618">
        <v>269.03106007804075</v>
      </c>
      <c r="G594" s="3"/>
      <c r="H594" s="722">
        <v>0</v>
      </c>
      <c r="I594" s="618">
        <v>912.83875482370172</v>
      </c>
      <c r="J594" s="618">
        <v>26681951.535890691</v>
      </c>
      <c r="K594" s="618">
        <v>269.03106007804075</v>
      </c>
      <c r="L594" s="3"/>
      <c r="M594" s="3"/>
      <c r="N594" s="3"/>
      <c r="O594" s="3"/>
      <c r="P594" s="3"/>
      <c r="Q594" s="3"/>
      <c r="R594" s="3"/>
      <c r="S594" s="3"/>
      <c r="T594" s="3"/>
      <c r="U594" s="3"/>
      <c r="V594" s="3"/>
      <c r="W594" s="3"/>
      <c r="X594" s="3"/>
      <c r="Y594" s="3"/>
      <c r="Z594" s="3"/>
    </row>
    <row r="595" spans="1:26" customFormat="1" ht="12.75" x14ac:dyDescent="0.2">
      <c r="A595" s="246"/>
      <c r="B595" s="3"/>
      <c r="C595" s="719">
        <v>0.01</v>
      </c>
      <c r="D595" s="614">
        <v>939.5579105034077</v>
      </c>
      <c r="E595" s="614">
        <v>27795943.503658522</v>
      </c>
      <c r="F595" s="614">
        <v>276.10171197764771</v>
      </c>
      <c r="G595" s="3"/>
      <c r="H595" s="719">
        <v>0.01</v>
      </c>
      <c r="I595" s="614">
        <v>909.03870673348376</v>
      </c>
      <c r="J595" s="614">
        <v>26517142.967266954</v>
      </c>
      <c r="K595" s="614">
        <v>268.13381530038083</v>
      </c>
      <c r="L595" s="3"/>
      <c r="M595" s="3"/>
      <c r="N595" s="3"/>
      <c r="O595" s="3"/>
      <c r="P595" s="3"/>
      <c r="Q595" s="3"/>
      <c r="R595" s="3"/>
      <c r="S595" s="3"/>
      <c r="T595" s="3"/>
      <c r="U595" s="3"/>
      <c r="V595" s="3"/>
      <c r="W595" s="3"/>
      <c r="X595" s="3"/>
      <c r="Y595" s="3"/>
      <c r="Z595" s="3"/>
    </row>
    <row r="596" spans="1:26" customFormat="1" ht="12.75" x14ac:dyDescent="0.2">
      <c r="A596" s="246"/>
      <c r="B596" s="3"/>
      <c r="C596" s="719">
        <v>2.5000000000000001E-2</v>
      </c>
      <c r="D596" s="614">
        <v>979.63664402296672</v>
      </c>
      <c r="E596" s="614">
        <v>29466931.455310218</v>
      </c>
      <c r="F596" s="614">
        <v>286.70768982705761</v>
      </c>
      <c r="G596" s="3"/>
      <c r="H596" s="719">
        <v>2.5000000000000001E-2</v>
      </c>
      <c r="I596" s="614">
        <v>903.02348402173118</v>
      </c>
      <c r="J596" s="614">
        <v>26255839.73954723</v>
      </c>
      <c r="K596" s="614">
        <v>266.74905765153409</v>
      </c>
      <c r="L596" s="3"/>
      <c r="M596" s="3"/>
      <c r="N596" s="3"/>
      <c r="O596" s="3"/>
      <c r="P596" s="3"/>
      <c r="Q596" s="3"/>
      <c r="R596" s="3"/>
      <c r="S596" s="3"/>
      <c r="T596" s="3"/>
      <c r="U596" s="3"/>
      <c r="V596" s="3"/>
      <c r="W596" s="3"/>
      <c r="X596" s="3"/>
      <c r="Y596" s="3"/>
      <c r="Z596" s="3"/>
    </row>
    <row r="597" spans="1:26" customFormat="1" ht="12.75" x14ac:dyDescent="0.2">
      <c r="A597" s="246"/>
      <c r="B597" s="3"/>
      <c r="C597" s="719">
        <v>0.05</v>
      </c>
      <c r="D597" s="614">
        <v>1046.434533222231</v>
      </c>
      <c r="E597" s="614">
        <v>32251911.374729764</v>
      </c>
      <c r="F597" s="614">
        <v>304.38431957607469</v>
      </c>
      <c r="G597" s="3"/>
      <c r="H597" s="719">
        <v>0.05</v>
      </c>
      <c r="I597" s="614">
        <v>892.09460854148961</v>
      </c>
      <c r="J597" s="614">
        <v>25779869.667599902</v>
      </c>
      <c r="K597" s="614">
        <v>264.33449255011135</v>
      </c>
      <c r="L597" s="3"/>
      <c r="M597" s="3"/>
      <c r="N597" s="3"/>
      <c r="O597" s="3"/>
      <c r="P597" s="3"/>
      <c r="Q597" s="3"/>
      <c r="R597" s="3"/>
      <c r="S597" s="3"/>
      <c r="T597" s="3"/>
      <c r="U597" s="3"/>
      <c r="V597" s="3"/>
      <c r="W597" s="3"/>
      <c r="X597" s="3"/>
      <c r="Y597" s="3"/>
      <c r="Z597" s="3"/>
    </row>
    <row r="598" spans="1:26" customFormat="1" ht="12.75" x14ac:dyDescent="0.2">
      <c r="A598" s="246"/>
      <c r="B598" s="3"/>
      <c r="C598" s="723">
        <v>0.1</v>
      </c>
      <c r="D598" s="620">
        <v>1180.0303116207608</v>
      </c>
      <c r="E598" s="620">
        <v>37821871.213568836</v>
      </c>
      <c r="F598" s="620">
        <v>339.73757907410885</v>
      </c>
      <c r="G598" s="3"/>
      <c r="H598" s="723">
        <v>0.1</v>
      </c>
      <c r="I598" s="620">
        <v>866.37794412012067</v>
      </c>
      <c r="J598" s="620">
        <v>24654589.697852299</v>
      </c>
      <c r="K598" s="620">
        <v>259.08523254471589</v>
      </c>
      <c r="L598" s="3"/>
      <c r="M598" s="3"/>
      <c r="N598" s="3"/>
      <c r="O598" s="3"/>
      <c r="P598" s="3"/>
      <c r="Q598" s="3"/>
      <c r="R598" s="3"/>
      <c r="S598" s="3"/>
      <c r="T598" s="3"/>
      <c r="U598" s="3"/>
      <c r="V598" s="3"/>
      <c r="W598" s="3"/>
      <c r="X598" s="3"/>
      <c r="Y598" s="3"/>
      <c r="Z598" s="3"/>
    </row>
    <row r="599" spans="1:26" customFormat="1" ht="12.75" x14ac:dyDescent="0.2">
      <c r="A599" s="246"/>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customFormat="1" ht="63.75" x14ac:dyDescent="0.2">
      <c r="A600" s="246"/>
      <c r="B600" s="3"/>
      <c r="C600" s="359" t="s">
        <v>998</v>
      </c>
      <c r="D600" s="360" t="s">
        <v>812</v>
      </c>
      <c r="E600" s="361" t="s">
        <v>813</v>
      </c>
      <c r="F600" s="361" t="s">
        <v>1000</v>
      </c>
      <c r="G600" s="3"/>
      <c r="H600" s="359" t="s">
        <v>999</v>
      </c>
      <c r="I600" s="360" t="s">
        <v>812</v>
      </c>
      <c r="J600" s="361" t="s">
        <v>813</v>
      </c>
      <c r="K600" s="361" t="s">
        <v>1000</v>
      </c>
      <c r="L600" s="3"/>
      <c r="M600" s="3"/>
      <c r="N600" s="3"/>
      <c r="O600" s="3"/>
      <c r="P600" s="3"/>
      <c r="Q600" s="3"/>
      <c r="R600" s="3"/>
      <c r="S600" s="3"/>
      <c r="T600" s="3"/>
      <c r="U600" s="3"/>
      <c r="V600" s="3"/>
      <c r="W600" s="3"/>
      <c r="X600" s="3"/>
      <c r="Y600" s="3"/>
      <c r="Z600" s="3"/>
    </row>
    <row r="601" spans="1:26" customFormat="1" ht="12.75" x14ac:dyDescent="0.2">
      <c r="A601" s="246"/>
      <c r="B601" s="3"/>
      <c r="C601" s="362"/>
      <c r="D601" s="363">
        <f>$F$407</f>
        <v>912.83875482370172</v>
      </c>
      <c r="E601" s="364">
        <f>$F$544</f>
        <v>26681951.535890691</v>
      </c>
      <c r="F601" s="364">
        <f>AVERAGE($H$404,$I$404,$J$404)*1000/$F$10</f>
        <v>269.03106007804075</v>
      </c>
      <c r="G601" s="358"/>
      <c r="H601" s="362"/>
      <c r="I601" s="363">
        <f>$F$407</f>
        <v>912.83875482370172</v>
      </c>
      <c r="J601" s="364">
        <f>$F$544</f>
        <v>26681951.535890691</v>
      </c>
      <c r="K601" s="364">
        <f>AVERAGE($H$404,$I$404,$J$404)*1000/$F$10</f>
        <v>269.03106007804075</v>
      </c>
      <c r="L601" s="3"/>
      <c r="M601" s="3"/>
      <c r="N601" s="3"/>
      <c r="O601" s="3"/>
      <c r="P601" s="3"/>
      <c r="Q601" s="3"/>
      <c r="R601" s="3"/>
      <c r="S601" s="3"/>
      <c r="T601" s="3"/>
      <c r="U601" s="3"/>
      <c r="V601" s="3"/>
      <c r="W601" s="3"/>
      <c r="X601" s="3"/>
      <c r="Y601" s="3"/>
      <c r="Z601" s="3"/>
    </row>
    <row r="602" spans="1:26" customFormat="1" ht="12.75" x14ac:dyDescent="0.2">
      <c r="A602" s="246"/>
      <c r="B602" s="3"/>
      <c r="C602" s="720">
        <v>-0.01</v>
      </c>
      <c r="D602" s="622">
        <f t="dataTable" ref="D602:F608" dt2D="0" dtr="0" r1="F34" ca="1"/>
        <v>968.2614248168112</v>
      </c>
      <c r="E602" s="622">
        <v>29087759.189185496</v>
      </c>
      <c r="F602" s="622">
        <v>285.50742550861906</v>
      </c>
      <c r="G602" s="3"/>
      <c r="H602" s="720">
        <v>0.02</v>
      </c>
      <c r="I602" s="622">
        <f t="dataTable" ref="I602:K608" dt2D="0" dtr="0" r1="I35" ca="1"/>
        <v>373.13918676249483</v>
      </c>
      <c r="J602" s="622">
        <v>4505047.3653497044</v>
      </c>
      <c r="K602" s="622">
        <v>83.561780341196169</v>
      </c>
      <c r="L602" s="3"/>
      <c r="M602" s="3"/>
      <c r="N602" s="3"/>
      <c r="O602" s="3"/>
      <c r="P602" s="3"/>
      <c r="Q602" s="3"/>
      <c r="R602" s="3"/>
      <c r="S602" s="3"/>
      <c r="T602" s="3"/>
      <c r="U602" s="3"/>
      <c r="V602" s="3"/>
      <c r="W602" s="3"/>
      <c r="X602" s="3"/>
      <c r="Y602" s="3"/>
      <c r="Z602" s="3"/>
    </row>
    <row r="603" spans="1:26" customFormat="1" ht="12.75" x14ac:dyDescent="0.2">
      <c r="A603" s="246"/>
      <c r="B603" s="3"/>
      <c r="C603" s="719">
        <v>0</v>
      </c>
      <c r="D603" s="614">
        <v>949.5267421520789</v>
      </c>
      <c r="E603" s="614">
        <v>28275696.392987851</v>
      </c>
      <c r="F603" s="614">
        <v>279.84531626860348</v>
      </c>
      <c r="G603" s="3"/>
      <c r="H603" s="719">
        <v>0.04</v>
      </c>
      <c r="I603" s="614">
        <v>528.80902504117182</v>
      </c>
      <c r="J603" s="614">
        <v>11098907.768725576</v>
      </c>
      <c r="K603" s="614">
        <v>118.83989363366275</v>
      </c>
      <c r="L603" s="3"/>
      <c r="M603" s="3"/>
      <c r="N603" s="3"/>
      <c r="O603" s="3"/>
      <c r="P603" s="3"/>
      <c r="Q603" s="3"/>
      <c r="R603" s="3"/>
      <c r="S603" s="3"/>
      <c r="T603" s="3"/>
      <c r="U603" s="3"/>
      <c r="V603" s="3"/>
      <c r="W603" s="3"/>
      <c r="X603" s="3"/>
      <c r="Y603" s="3"/>
      <c r="Z603" s="3"/>
    </row>
    <row r="604" spans="1:26" customFormat="1" ht="12.75" x14ac:dyDescent="0.2">
      <c r="A604" s="246"/>
      <c r="B604" s="3"/>
      <c r="C604" s="721">
        <v>0.01</v>
      </c>
      <c r="D604" s="616">
        <v>929.59727698715426</v>
      </c>
      <c r="E604" s="616">
        <v>27409569.846292883</v>
      </c>
      <c r="F604" s="616">
        <v>274.00432787618712</v>
      </c>
      <c r="G604" s="3"/>
      <c r="H604" s="721">
        <v>0.1</v>
      </c>
      <c r="I604" s="616">
        <v>843.37350899506885</v>
      </c>
      <c r="J604" s="616">
        <v>23931138.815021597</v>
      </c>
      <c r="K604" s="616">
        <v>234.84771908581249</v>
      </c>
      <c r="L604" s="3"/>
      <c r="M604" s="3"/>
      <c r="N604" s="3"/>
      <c r="O604" s="3"/>
      <c r="P604" s="3"/>
      <c r="Q604" s="3"/>
      <c r="R604" s="3"/>
      <c r="S604" s="3"/>
      <c r="T604" s="3"/>
      <c r="U604" s="3"/>
      <c r="V604" s="3"/>
      <c r="W604" s="3"/>
      <c r="X604" s="3"/>
      <c r="Y604" s="3"/>
      <c r="Z604" s="3"/>
    </row>
    <row r="605" spans="1:26" customFormat="1" ht="12.75" x14ac:dyDescent="0.2">
      <c r="A605" s="246"/>
      <c r="B605" s="3"/>
      <c r="C605" s="722">
        <v>1.7999999999999999E-2</v>
      </c>
      <c r="D605" s="618">
        <v>912.83875482370172</v>
      </c>
      <c r="E605" s="618">
        <v>26681951.535890691</v>
      </c>
      <c r="F605" s="618">
        <v>269.03106007804075</v>
      </c>
      <c r="G605" s="3"/>
      <c r="H605" s="722">
        <v>0.14000000000000001</v>
      </c>
      <c r="I605" s="618">
        <v>912.83875482370172</v>
      </c>
      <c r="J605" s="618">
        <v>26681951.535890691</v>
      </c>
      <c r="K605" s="618">
        <v>269.03106007804075</v>
      </c>
      <c r="L605" s="3"/>
      <c r="M605" s="3"/>
      <c r="N605" s="3"/>
      <c r="O605" s="3"/>
      <c r="P605" s="3"/>
      <c r="Q605" s="3"/>
      <c r="R605" s="3"/>
      <c r="S605" s="3"/>
      <c r="T605" s="3"/>
      <c r="U605" s="3"/>
      <c r="V605" s="3"/>
      <c r="W605" s="3"/>
      <c r="X605" s="3"/>
      <c r="Y605" s="3"/>
      <c r="Z605" s="3"/>
    </row>
    <row r="606" spans="1:26" customFormat="1" ht="12.75" x14ac:dyDescent="0.2">
      <c r="A606" s="246"/>
      <c r="B606" s="3"/>
      <c r="C606" s="725">
        <v>0.03</v>
      </c>
      <c r="D606" s="614">
        <v>886.52578798780064</v>
      </c>
      <c r="E606" s="614">
        <v>25535611.698292233</v>
      </c>
      <c r="F606" s="614">
        <v>261.55970973936684</v>
      </c>
      <c r="G606" s="3"/>
      <c r="H606" s="725">
        <v>0.17</v>
      </c>
      <c r="I606" s="614">
        <v>954.95849215392593</v>
      </c>
      <c r="J606" s="614">
        <v>28356720.226123031</v>
      </c>
      <c r="K606" s="614">
        <v>288.18464559123674</v>
      </c>
      <c r="L606" s="3"/>
      <c r="M606" s="3"/>
      <c r="N606" s="3"/>
      <c r="O606" s="3"/>
      <c r="P606" s="3"/>
      <c r="Q606" s="3"/>
      <c r="R606" s="3"/>
      <c r="S606" s="3"/>
      <c r="T606" s="3"/>
      <c r="U606" s="3"/>
      <c r="V606" s="3"/>
      <c r="W606" s="3"/>
      <c r="X606" s="3"/>
      <c r="Y606" s="3"/>
      <c r="Z606" s="3"/>
    </row>
    <row r="607" spans="1:26" customFormat="1" ht="12.75" x14ac:dyDescent="0.2">
      <c r="A607" s="246"/>
      <c r="B607" s="3"/>
      <c r="C607" s="719">
        <v>0.04</v>
      </c>
      <c r="D607" s="614">
        <v>863.43397000599498</v>
      </c>
      <c r="E607" s="614">
        <v>24527816.792406537</v>
      </c>
      <c r="F607" s="614">
        <v>255.16036832257319</v>
      </c>
      <c r="G607" s="3"/>
      <c r="H607" s="719">
        <v>0.2</v>
      </c>
      <c r="I607" s="614">
        <v>997.7311297940081</v>
      </c>
      <c r="J607" s="614">
        <v>30056960.276038699</v>
      </c>
      <c r="K607" s="614">
        <v>307.63513186187106</v>
      </c>
      <c r="L607" s="3"/>
      <c r="M607" s="3"/>
      <c r="N607" s="3"/>
      <c r="O607" s="3"/>
      <c r="P607" s="3"/>
      <c r="Q607" s="3"/>
      <c r="R607" s="3"/>
      <c r="S607" s="3"/>
      <c r="T607" s="3"/>
      <c r="U607" s="3"/>
      <c r="V607" s="3"/>
      <c r="W607" s="3"/>
      <c r="X607" s="3"/>
      <c r="Y607" s="3"/>
      <c r="Z607" s="3"/>
    </row>
    <row r="608" spans="1:26" customFormat="1" ht="12.75" x14ac:dyDescent="0.2">
      <c r="A608" s="246"/>
      <c r="B608" s="3"/>
      <c r="C608" s="723">
        <v>0.05</v>
      </c>
      <c r="D608" s="724">
        <v>839.11524445652242</v>
      </c>
      <c r="E608" s="724">
        <v>23464741.565889399</v>
      </c>
      <c r="F608" s="724">
        <v>248.56755145781457</v>
      </c>
      <c r="G608" s="3"/>
      <c r="H608" s="723">
        <v>0.25</v>
      </c>
      <c r="I608" s="724">
        <v>1033.6082621450998</v>
      </c>
      <c r="J608" s="724">
        <v>31482855.298913121</v>
      </c>
      <c r="K608" s="724">
        <v>323.94994686338305</v>
      </c>
      <c r="L608" s="3"/>
      <c r="M608" s="3"/>
      <c r="N608" s="117"/>
      <c r="O608" s="3"/>
      <c r="P608" s="3"/>
      <c r="Q608" s="3"/>
      <c r="R608" s="3"/>
      <c r="S608" s="3"/>
      <c r="T608" s="3"/>
      <c r="U608" s="3"/>
      <c r="V608" s="3"/>
      <c r="W608" s="3"/>
      <c r="X608" s="3"/>
      <c r="Y608" s="3"/>
      <c r="Z608" s="3"/>
    </row>
    <row r="609" spans="1:26" customFormat="1" ht="12.75" x14ac:dyDescent="0.2">
      <c r="A609" s="246"/>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customFormat="1" ht="51" x14ac:dyDescent="0.2">
      <c r="A610" s="246"/>
      <c r="B610" s="3"/>
      <c r="C610" s="359" t="s">
        <v>935</v>
      </c>
      <c r="D610" s="360" t="s">
        <v>812</v>
      </c>
      <c r="E610" s="361" t="s">
        <v>813</v>
      </c>
      <c r="F610" s="361" t="s">
        <v>1000</v>
      </c>
      <c r="G610" s="3"/>
      <c r="H610" s="359" t="s">
        <v>948</v>
      </c>
      <c r="I610" s="360" t="s">
        <v>812</v>
      </c>
      <c r="J610" s="361" t="s">
        <v>813</v>
      </c>
      <c r="K610" s="361" t="s">
        <v>1000</v>
      </c>
      <c r="L610" s="3"/>
      <c r="M610" s="3"/>
      <c r="N610" s="3"/>
      <c r="O610" s="3"/>
      <c r="P610" s="3"/>
      <c r="Q610" s="3"/>
      <c r="R610" s="3"/>
      <c r="S610" s="3"/>
      <c r="T610" s="3"/>
      <c r="U610" s="3"/>
      <c r="V610" s="3"/>
      <c r="W610" s="3"/>
      <c r="X610" s="3"/>
      <c r="Y610" s="3"/>
      <c r="Z610" s="3"/>
    </row>
    <row r="611" spans="1:26" customFormat="1" ht="12.75" x14ac:dyDescent="0.2">
      <c r="A611" s="246"/>
      <c r="B611" s="3"/>
      <c r="C611" s="362"/>
      <c r="D611" s="363">
        <f>$F$407</f>
        <v>912.83875482370172</v>
      </c>
      <c r="E611" s="364">
        <f>$F$544</f>
        <v>26681951.535890691</v>
      </c>
      <c r="F611" s="364">
        <f>AVERAGE($H$404,$I$404,$J$404)*1000/$F$10</f>
        <v>269.03106007804075</v>
      </c>
      <c r="G611" s="358"/>
      <c r="H611" s="362"/>
      <c r="I611" s="363">
        <f>$F$407</f>
        <v>912.83875482370172</v>
      </c>
      <c r="J611" s="364">
        <f>$F$544</f>
        <v>26681951.535890691</v>
      </c>
      <c r="K611" s="364">
        <f>AVERAGE($H$404,$I$404,$J$404)*1000/$F$10</f>
        <v>269.03106007804075</v>
      </c>
      <c r="L611" s="3"/>
      <c r="M611" s="3"/>
      <c r="N611" s="3"/>
      <c r="O611" s="3"/>
      <c r="P611" s="3"/>
      <c r="Q611" s="3"/>
      <c r="R611" s="3"/>
      <c r="S611" s="3"/>
      <c r="T611" s="3"/>
      <c r="U611" s="3"/>
      <c r="V611" s="3"/>
      <c r="W611" s="3"/>
      <c r="X611" s="3"/>
      <c r="Y611" s="3"/>
      <c r="Z611" s="3"/>
    </row>
    <row r="612" spans="1:26" customFormat="1" ht="12.75" x14ac:dyDescent="0.2">
      <c r="A612" s="246"/>
      <c r="B612" s="3"/>
      <c r="C612" s="604">
        <v>1.8</v>
      </c>
      <c r="D612" s="613">
        <f t="dataTable" ref="D612:F617" dt2D="0" dtr="0" r1="I31" ca="1"/>
        <v>431.56214966838007</v>
      </c>
      <c r="E612" s="614">
        <v>6742597.3472476862</v>
      </c>
      <c r="F612" s="614">
        <v>118.42786077904182</v>
      </c>
      <c r="G612" s="3"/>
      <c r="H612" s="706">
        <v>-0.4</v>
      </c>
      <c r="I612" s="613">
        <f t="dataTable" ref="I612:K617" dt2D="0" dtr="0" r1="I118" ca="1"/>
        <v>912.83875482370172</v>
      </c>
      <c r="J612" s="614">
        <v>14369704.610187817</v>
      </c>
      <c r="K612" s="614">
        <v>269.03106007804075</v>
      </c>
      <c r="L612" s="3"/>
      <c r="M612" s="3"/>
      <c r="N612" s="3"/>
      <c r="O612" s="3"/>
      <c r="P612" s="3"/>
      <c r="Q612" s="3"/>
      <c r="R612" s="3"/>
      <c r="S612" s="3"/>
      <c r="T612" s="3"/>
      <c r="U612" s="3"/>
      <c r="V612" s="3"/>
      <c r="W612" s="3"/>
      <c r="X612" s="3"/>
      <c r="Y612" s="3"/>
      <c r="Z612" s="3"/>
    </row>
    <row r="613" spans="1:26" customFormat="1" ht="12.75" x14ac:dyDescent="0.2">
      <c r="A613" s="246"/>
      <c r="B613" s="3"/>
      <c r="C613" s="604">
        <v>2</v>
      </c>
      <c r="D613" s="613">
        <v>632.24418716062007</v>
      </c>
      <c r="E613" s="614">
        <v>14989349.997802824</v>
      </c>
      <c r="F613" s="614">
        <v>186.93522280715555</v>
      </c>
      <c r="G613" s="3"/>
      <c r="H613" s="706">
        <v>-0.2</v>
      </c>
      <c r="I613" s="613">
        <v>912.83875482370172</v>
      </c>
      <c r="J613" s="614">
        <v>20525828.073039252</v>
      </c>
      <c r="K613" s="614">
        <v>269.03106007804075</v>
      </c>
      <c r="L613" s="3"/>
      <c r="M613" s="3"/>
      <c r="N613" s="3"/>
      <c r="O613" s="3"/>
      <c r="P613" s="3"/>
      <c r="Q613" s="3"/>
      <c r="R613" s="3"/>
      <c r="S613" s="3"/>
      <c r="T613" s="3"/>
      <c r="U613" s="3"/>
      <c r="V613" s="3"/>
      <c r="W613" s="3"/>
      <c r="X613" s="3"/>
      <c r="Y613" s="3"/>
      <c r="Z613" s="3"/>
    </row>
    <row r="614" spans="1:26" customFormat="1" ht="12.75" x14ac:dyDescent="0.2">
      <c r="A614" s="246"/>
      <c r="B614" s="3"/>
      <c r="C614" s="605">
        <v>2.2000000000000002</v>
      </c>
      <c r="D614" s="615">
        <v>787.48235523416031</v>
      </c>
      <c r="E614" s="616">
        <v>21429584.795174096</v>
      </c>
      <c r="F614" s="616">
        <v>234.77737906398394</v>
      </c>
      <c r="G614" s="3"/>
      <c r="H614" s="705">
        <v>-0.1</v>
      </c>
      <c r="I614" s="615">
        <v>912.83875482370172</v>
      </c>
      <c r="J614" s="616">
        <v>23603889.804464966</v>
      </c>
      <c r="K614" s="616">
        <v>269.03106007804075</v>
      </c>
      <c r="L614" s="3"/>
      <c r="M614" s="3"/>
      <c r="N614" s="3"/>
      <c r="O614" s="3"/>
      <c r="P614" s="3"/>
      <c r="Q614" s="3"/>
      <c r="R614" s="3"/>
      <c r="S614" s="3"/>
      <c r="T614" s="3"/>
      <c r="U614" s="3"/>
      <c r="V614" s="3"/>
      <c r="W614" s="3"/>
      <c r="X614" s="3"/>
      <c r="Y614" s="3"/>
      <c r="Z614" s="3"/>
    </row>
    <row r="615" spans="1:26" customFormat="1" ht="12.75" x14ac:dyDescent="0.2">
      <c r="A615" s="246"/>
      <c r="B615" s="3"/>
      <c r="C615" s="606">
        <v>2.4</v>
      </c>
      <c r="D615" s="617">
        <v>912.83875482370172</v>
      </c>
      <c r="E615" s="618">
        <v>26681951.535890691</v>
      </c>
      <c r="F615" s="618">
        <v>269.03106007804075</v>
      </c>
      <c r="G615" s="3"/>
      <c r="H615" s="704">
        <v>0</v>
      </c>
      <c r="I615" s="617">
        <v>912.83875482370172</v>
      </c>
      <c r="J615" s="618">
        <v>26681951.535890691</v>
      </c>
      <c r="K615" s="618">
        <v>269.03106007804075</v>
      </c>
      <c r="L615" s="3"/>
      <c r="M615" s="3"/>
      <c r="N615" s="3"/>
      <c r="O615" s="3"/>
      <c r="P615" s="3"/>
      <c r="Q615" s="3"/>
      <c r="R615" s="3"/>
      <c r="S615" s="3"/>
      <c r="T615" s="3"/>
      <c r="U615" s="3"/>
      <c r="V615" s="3"/>
      <c r="W615" s="3"/>
      <c r="X615" s="3"/>
      <c r="Y615" s="3"/>
      <c r="Z615" s="3"/>
    </row>
    <row r="616" spans="1:26" customFormat="1" ht="12.75" x14ac:dyDescent="0.2">
      <c r="A616" s="246"/>
      <c r="B616" s="3"/>
      <c r="C616" s="604">
        <v>2.6</v>
      </c>
      <c r="D616" s="613">
        <v>1038.9694863382172</v>
      </c>
      <c r="E616" s="614">
        <v>31967675.49325908</v>
      </c>
      <c r="F616" s="614">
        <v>303.49632756749014</v>
      </c>
      <c r="G616" s="3"/>
      <c r="H616" s="706">
        <v>0.1</v>
      </c>
      <c r="I616" s="613">
        <v>912.83875482370172</v>
      </c>
      <c r="J616" s="614">
        <v>29760013.267316401</v>
      </c>
      <c r="K616" s="614">
        <v>269.03106007804075</v>
      </c>
      <c r="L616" s="3"/>
      <c r="M616" s="3"/>
      <c r="N616" s="3"/>
      <c r="O616" s="3"/>
      <c r="P616" s="3"/>
      <c r="Q616" s="3"/>
      <c r="R616" s="3"/>
      <c r="S616" s="3"/>
      <c r="T616" s="3"/>
      <c r="U616" s="3"/>
      <c r="V616" s="3"/>
      <c r="W616" s="3"/>
      <c r="X616" s="3"/>
      <c r="Y616" s="3"/>
      <c r="Z616" s="3"/>
    </row>
    <row r="617" spans="1:26" customFormat="1" ht="12.75" x14ac:dyDescent="0.2">
      <c r="A617" s="246"/>
      <c r="B617" s="3"/>
      <c r="C617" s="607">
        <v>3</v>
      </c>
      <c r="D617" s="619">
        <v>1207.3541444227774</v>
      </c>
      <c r="E617" s="620">
        <v>39252987.103259154</v>
      </c>
      <c r="F617" s="620">
        <v>320.92985968009475</v>
      </c>
      <c r="G617" s="3"/>
      <c r="H617" s="707">
        <v>0.2</v>
      </c>
      <c r="I617" s="619">
        <v>912.83875482370172</v>
      </c>
      <c r="J617" s="620">
        <v>32838074.998742115</v>
      </c>
      <c r="K617" s="620">
        <v>269.03106007804075</v>
      </c>
      <c r="L617" s="3"/>
      <c r="M617" s="3"/>
      <c r="N617" s="3"/>
      <c r="O617" s="3"/>
      <c r="P617" s="3"/>
      <c r="Q617" s="3"/>
      <c r="R617" s="3"/>
      <c r="S617" s="3"/>
      <c r="T617" s="3"/>
      <c r="U617" s="3"/>
      <c r="V617" s="3"/>
      <c r="W617" s="3"/>
      <c r="X617" s="3"/>
      <c r="Y617" s="3"/>
      <c r="Z617" s="3"/>
    </row>
    <row r="618" spans="1:26" customFormat="1" ht="12.75" x14ac:dyDescent="0.2">
      <c r="A618" s="246"/>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customFormat="1" ht="51" x14ac:dyDescent="0.2">
      <c r="A619" s="246"/>
      <c r="B619" s="3"/>
      <c r="C619" s="359" t="s">
        <v>171</v>
      </c>
      <c r="D619" s="360" t="s">
        <v>812</v>
      </c>
      <c r="E619" s="361" t="s">
        <v>813</v>
      </c>
      <c r="F619" s="361" t="s">
        <v>1000</v>
      </c>
      <c r="G619" s="3"/>
      <c r="H619" s="359" t="s">
        <v>939</v>
      </c>
      <c r="I619" s="360" t="s">
        <v>812</v>
      </c>
      <c r="J619" s="361" t="s">
        <v>813</v>
      </c>
      <c r="K619" s="361" t="s">
        <v>1000</v>
      </c>
      <c r="L619" s="3"/>
      <c r="M619" s="3"/>
      <c r="N619" s="3"/>
      <c r="O619" s="3"/>
      <c r="P619" s="3"/>
      <c r="Q619" s="3"/>
      <c r="R619" s="3"/>
      <c r="S619" s="3"/>
      <c r="T619" s="3"/>
      <c r="U619" s="3"/>
      <c r="V619" s="3"/>
      <c r="W619" s="3"/>
      <c r="X619" s="3"/>
      <c r="Y619" s="3"/>
      <c r="Z619" s="3"/>
    </row>
    <row r="620" spans="1:26" customFormat="1" ht="12.75" x14ac:dyDescent="0.2">
      <c r="A620" s="246"/>
      <c r="B620" s="3"/>
      <c r="C620" s="362"/>
      <c r="D620" s="363">
        <f>$F$407</f>
        <v>912.83875482370172</v>
      </c>
      <c r="E620" s="364">
        <f>$F$544</f>
        <v>26681951.535890691</v>
      </c>
      <c r="F620" s="364">
        <f>AVERAGE($H$404,$I$404,$J$404)*1000/$F$10</f>
        <v>269.03106007804075</v>
      </c>
      <c r="G620" s="358"/>
      <c r="H620" s="362"/>
      <c r="I620" s="363">
        <f>$F$407</f>
        <v>912.83875482370172</v>
      </c>
      <c r="J620" s="364">
        <f>$F$544</f>
        <v>26681951.535890691</v>
      </c>
      <c r="K620" s="364">
        <f>AVERAGE($H$404,$I$404,$J$404)*1000/$F$10</f>
        <v>269.03106007804075</v>
      </c>
      <c r="L620" s="3"/>
      <c r="M620" s="3"/>
      <c r="N620" s="3"/>
      <c r="O620" s="3"/>
      <c r="P620" s="3"/>
      <c r="Q620" s="3"/>
      <c r="R620" s="3"/>
      <c r="S620" s="3"/>
      <c r="T620" s="3"/>
      <c r="U620" s="3"/>
      <c r="V620" s="3"/>
      <c r="W620" s="3"/>
      <c r="X620" s="3"/>
      <c r="Y620" s="3"/>
      <c r="Z620" s="3"/>
    </row>
    <row r="621" spans="1:26" customFormat="1" ht="12.75" x14ac:dyDescent="0.2">
      <c r="A621" s="246"/>
      <c r="B621" s="3"/>
      <c r="C621" s="383">
        <v>0.5</v>
      </c>
      <c r="D621" s="613">
        <f t="dataTable" ref="D621:F626" dt2D="0" dtr="0" r1="I111" ca="1"/>
        <v>912.83875482370172</v>
      </c>
      <c r="E621" s="614">
        <v>13001677.173998609</v>
      </c>
      <c r="F621" s="614">
        <v>269.03106007804075</v>
      </c>
      <c r="G621" s="3"/>
      <c r="H621" s="383">
        <v>-0.3</v>
      </c>
      <c r="I621" s="613">
        <f t="dataTable" ref="I621:K627" dt2D="0" dtr="0" r1="I115" ca="1"/>
        <v>912.83875482370172</v>
      </c>
      <c r="J621" s="614">
        <v>27911551.26940063</v>
      </c>
      <c r="K621" s="614">
        <v>269.03106007804075</v>
      </c>
      <c r="L621" s="3"/>
      <c r="M621" s="3"/>
      <c r="N621" s="3"/>
      <c r="O621" s="3"/>
      <c r="P621" s="3"/>
      <c r="Q621" s="3"/>
      <c r="R621" s="3"/>
      <c r="S621" s="3"/>
      <c r="T621" s="3"/>
      <c r="U621" s="3"/>
      <c r="V621" s="3"/>
      <c r="W621" s="3"/>
      <c r="X621" s="3"/>
      <c r="Y621" s="3"/>
      <c r="Z621" s="3"/>
    </row>
    <row r="622" spans="1:26" customFormat="1" ht="12.75" x14ac:dyDescent="0.2">
      <c r="A622" s="246"/>
      <c r="B622" s="3"/>
      <c r="C622" s="383">
        <v>0.6</v>
      </c>
      <c r="D622" s="613">
        <v>912.83875482370172</v>
      </c>
      <c r="E622" s="614">
        <v>16421745.764471624</v>
      </c>
      <c r="F622" s="614">
        <v>269.03106007804075</v>
      </c>
      <c r="G622" s="3"/>
      <c r="H622" s="383">
        <v>-0.2</v>
      </c>
      <c r="I622" s="613">
        <v>912.83875482370172</v>
      </c>
      <c r="J622" s="614">
        <v>27501684.691563983</v>
      </c>
      <c r="K622" s="614">
        <v>269.03106007804075</v>
      </c>
      <c r="L622" s="3"/>
      <c r="M622" s="3"/>
      <c r="N622" s="3"/>
      <c r="O622" s="3"/>
      <c r="P622" s="3"/>
      <c r="Q622" s="3"/>
      <c r="R622" s="3"/>
      <c r="S622" s="3"/>
      <c r="T622" s="3"/>
      <c r="U622" s="3"/>
      <c r="V622" s="3"/>
      <c r="W622" s="3"/>
      <c r="X622" s="3"/>
      <c r="Y622" s="3"/>
      <c r="Z622" s="3"/>
    </row>
    <row r="623" spans="1:26" customFormat="1" ht="12.75" x14ac:dyDescent="0.2">
      <c r="A623" s="246"/>
      <c r="B623" s="3"/>
      <c r="C623" s="383">
        <v>0.7</v>
      </c>
      <c r="D623" s="615">
        <v>912.83875482370172</v>
      </c>
      <c r="E623" s="616">
        <v>19841814.354944646</v>
      </c>
      <c r="F623" s="616">
        <v>269.03106007804075</v>
      </c>
      <c r="G623" s="3"/>
      <c r="H623" s="384">
        <v>-0.1</v>
      </c>
      <c r="I623" s="615">
        <v>912.83875482370172</v>
      </c>
      <c r="J623" s="616">
        <v>27091818.113727339</v>
      </c>
      <c r="K623" s="616">
        <v>269.03106007804075</v>
      </c>
      <c r="L623" s="3"/>
      <c r="M623" s="3"/>
      <c r="N623" s="3"/>
      <c r="O623" s="3"/>
      <c r="P623" s="3"/>
      <c r="Q623" s="3"/>
      <c r="R623" s="3"/>
      <c r="S623" s="3"/>
      <c r="T623" s="3"/>
      <c r="U623" s="3"/>
      <c r="V623" s="3"/>
      <c r="W623" s="3"/>
      <c r="X623" s="3"/>
      <c r="Y623" s="3"/>
      <c r="Z623" s="3"/>
    </row>
    <row r="624" spans="1:26" customFormat="1" ht="12.75" x14ac:dyDescent="0.2">
      <c r="A624" s="246"/>
      <c r="B624" s="3"/>
      <c r="C624" s="384">
        <v>0.8</v>
      </c>
      <c r="D624" s="613">
        <v>912.83875482370172</v>
      </c>
      <c r="E624" s="614">
        <v>23261882.945417661</v>
      </c>
      <c r="F624" s="614">
        <v>269.03106007804075</v>
      </c>
      <c r="G624" s="3"/>
      <c r="H624" s="608">
        <v>0</v>
      </c>
      <c r="I624" s="617">
        <v>912.83875482370172</v>
      </c>
      <c r="J624" s="618">
        <v>26681951.535890691</v>
      </c>
      <c r="K624" s="618">
        <v>269.03106007804075</v>
      </c>
      <c r="L624" s="3"/>
      <c r="M624" s="3"/>
      <c r="N624" s="3"/>
      <c r="O624" s="3"/>
      <c r="P624" s="3"/>
      <c r="Q624" s="3"/>
      <c r="R624" s="3"/>
      <c r="S624" s="3"/>
      <c r="T624" s="3"/>
      <c r="U624" s="3"/>
      <c r="V624" s="3"/>
      <c r="W624" s="3"/>
      <c r="X624" s="3"/>
      <c r="Y624" s="3"/>
      <c r="Z624" s="3"/>
    </row>
    <row r="625" spans="1:26" customFormat="1" ht="12.75" x14ac:dyDescent="0.2">
      <c r="A625" s="246"/>
      <c r="B625" s="3"/>
      <c r="C625" s="608">
        <v>0.9</v>
      </c>
      <c r="D625" s="617">
        <v>912.83875482370172</v>
      </c>
      <c r="E625" s="618">
        <v>26681951.535890691</v>
      </c>
      <c r="F625" s="618">
        <v>269.03106007804075</v>
      </c>
      <c r="G625" s="3"/>
      <c r="H625" s="383">
        <v>0.1</v>
      </c>
      <c r="I625" s="613">
        <v>912.83875482370172</v>
      </c>
      <c r="J625" s="614">
        <v>26272084.95805404</v>
      </c>
      <c r="K625" s="614">
        <v>269.03106007804075</v>
      </c>
      <c r="L625" s="3"/>
      <c r="M625" s="3"/>
      <c r="N625" s="3"/>
      <c r="O625" s="3"/>
      <c r="P625" s="3"/>
      <c r="Q625" s="3"/>
      <c r="R625" s="3"/>
      <c r="S625" s="3"/>
      <c r="T625" s="3"/>
      <c r="U625" s="3"/>
      <c r="V625" s="3"/>
      <c r="W625" s="3"/>
      <c r="X625" s="3"/>
      <c r="Y625" s="3"/>
      <c r="Z625" s="3"/>
    </row>
    <row r="626" spans="1:26" customFormat="1" ht="12.75" x14ac:dyDescent="0.2">
      <c r="A626" s="246"/>
      <c r="B626" s="3"/>
      <c r="C626" s="609">
        <v>0.95</v>
      </c>
      <c r="D626" s="619">
        <v>912.83875482370172</v>
      </c>
      <c r="E626" s="620">
        <v>28391985.8311272</v>
      </c>
      <c r="F626" s="620">
        <v>269.03106007804075</v>
      </c>
      <c r="G626" s="3"/>
      <c r="H626" s="383">
        <v>0.2</v>
      </c>
      <c r="I626" s="613">
        <v>912.83875482370172</v>
      </c>
      <c r="J626" s="614">
        <v>25862218.380217392</v>
      </c>
      <c r="K626" s="614">
        <v>269.03106007804075</v>
      </c>
      <c r="L626" s="3"/>
      <c r="M626" s="3"/>
      <c r="N626" s="3"/>
      <c r="O626" s="3"/>
      <c r="P626" s="3"/>
      <c r="Q626" s="3"/>
      <c r="R626" s="3"/>
      <c r="S626" s="3"/>
      <c r="T626" s="3"/>
      <c r="U626" s="3"/>
      <c r="V626" s="3"/>
      <c r="W626" s="3"/>
      <c r="X626" s="3"/>
      <c r="Y626" s="3"/>
      <c r="Z626" s="3"/>
    </row>
    <row r="627" spans="1:26" customFormat="1" ht="12.75" x14ac:dyDescent="0.2">
      <c r="A627" s="246"/>
      <c r="B627" s="3"/>
      <c r="C627" s="3"/>
      <c r="D627" s="3"/>
      <c r="E627" s="3"/>
      <c r="F627" s="3"/>
      <c r="G627" s="3"/>
      <c r="H627" s="388">
        <v>0.5</v>
      </c>
      <c r="I627" s="619">
        <v>912.83875482370172</v>
      </c>
      <c r="J627" s="620">
        <v>24632618.646707449</v>
      </c>
      <c r="K627" s="620">
        <v>269.03106007804075</v>
      </c>
      <c r="L627" s="3"/>
      <c r="M627" s="3"/>
      <c r="N627" s="3"/>
      <c r="O627" s="3"/>
      <c r="P627" s="3"/>
      <c r="Q627" s="3"/>
      <c r="R627" s="3"/>
      <c r="S627" s="3"/>
      <c r="T627" s="3"/>
      <c r="U627" s="3"/>
      <c r="V627" s="3"/>
      <c r="W627" s="3"/>
      <c r="X627" s="3"/>
      <c r="Y627" s="3"/>
      <c r="Z627" s="3"/>
    </row>
    <row r="628" spans="1:26" customFormat="1" ht="12.75" x14ac:dyDescent="0.2">
      <c r="A628" s="246"/>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customFormat="1" ht="12.75" x14ac:dyDescent="0.2">
      <c r="A629" s="246"/>
      <c r="B629" s="611" t="s">
        <v>943</v>
      </c>
      <c r="C629" s="610"/>
      <c r="D629" s="610"/>
      <c r="E629" s="610"/>
      <c r="F629" s="610"/>
      <c r="G629" s="610"/>
      <c r="H629" s="610"/>
      <c r="I629" s="610"/>
      <c r="J629" s="610"/>
      <c r="K629" s="610"/>
      <c r="L629" s="610"/>
      <c r="M629" s="610"/>
      <c r="N629" s="3"/>
      <c r="O629" s="3"/>
      <c r="P629" s="3"/>
      <c r="Q629" s="3"/>
      <c r="R629" s="3"/>
      <c r="S629" s="3"/>
      <c r="T629" s="3"/>
      <c r="U629" s="3"/>
      <c r="V629" s="3"/>
      <c r="W629" s="3"/>
      <c r="X629" s="3"/>
      <c r="Y629" s="3"/>
      <c r="Z629" s="3"/>
    </row>
    <row r="630" spans="1:26" customFormat="1" ht="12.75" x14ac:dyDescent="0.2">
      <c r="A630" s="246"/>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customFormat="1" ht="25.5" x14ac:dyDescent="0.2">
      <c r="A631" s="246"/>
      <c r="B631" s="3"/>
      <c r="C631" s="359"/>
      <c r="D631" s="359" t="s">
        <v>812</v>
      </c>
      <c r="E631" s="644" t="s">
        <v>947</v>
      </c>
      <c r="F631" s="639"/>
      <c r="G631" s="640"/>
      <c r="H631" s="643"/>
      <c r="I631" s="639"/>
      <c r="J631" s="639"/>
      <c r="K631" s="639"/>
      <c r="L631" s="639"/>
      <c r="M631" s="641"/>
      <c r="N631" s="3"/>
      <c r="O631" s="3"/>
      <c r="P631" s="3"/>
      <c r="Q631" s="3"/>
      <c r="R631" s="3"/>
      <c r="S631" s="3"/>
      <c r="T631" s="3"/>
      <c r="U631" s="3"/>
      <c r="V631" s="3"/>
      <c r="W631" s="3"/>
      <c r="X631" s="3"/>
      <c r="Y631" s="3"/>
      <c r="Z631" s="3"/>
    </row>
    <row r="632" spans="1:26" customFormat="1" ht="12.75" x14ac:dyDescent="0.2">
      <c r="A632" s="246"/>
      <c r="B632" s="3"/>
      <c r="C632" s="364"/>
      <c r="D632" s="363">
        <f>$F$544</f>
        <v>26681951.535890691</v>
      </c>
      <c r="E632" s="623">
        <v>-0.05</v>
      </c>
      <c r="F632" s="624">
        <v>-0.02</v>
      </c>
      <c r="G632" s="624">
        <v>-0.01</v>
      </c>
      <c r="H632" s="626">
        <v>0</v>
      </c>
      <c r="I632" s="624">
        <v>0.01</v>
      </c>
      <c r="J632" s="624">
        <v>0.02</v>
      </c>
      <c r="K632" s="624">
        <v>0.03</v>
      </c>
      <c r="L632" s="624">
        <v>0.04</v>
      </c>
      <c r="M632" s="625">
        <v>0.05</v>
      </c>
      <c r="N632" s="3"/>
      <c r="O632" s="3"/>
      <c r="P632" s="3"/>
      <c r="Q632" s="3"/>
      <c r="R632" s="3"/>
      <c r="S632" s="3"/>
      <c r="T632" s="3"/>
      <c r="U632" s="3"/>
      <c r="V632" s="3"/>
      <c r="W632" s="3"/>
      <c r="X632" s="3"/>
      <c r="Y632" s="3"/>
      <c r="Z632" s="3"/>
    </row>
    <row r="633" spans="1:26" customFormat="1" ht="12.75" x14ac:dyDescent="0.2">
      <c r="A633" s="246"/>
      <c r="B633" s="3"/>
      <c r="C633" s="801"/>
      <c r="D633" s="382">
        <v>-0.05</v>
      </c>
      <c r="E633" s="726">
        <f t="dataTable" ref="E633:M641" dt2D="1" dtr="1" r1="F79" r2="F54" ca="1"/>
        <v>33165848.618485477</v>
      </c>
      <c r="F633" s="727">
        <v>32091374.027878322</v>
      </c>
      <c r="G633" s="727">
        <v>31733215.83100928</v>
      </c>
      <c r="H633" s="728">
        <v>31375057.634140223</v>
      </c>
      <c r="I633" s="727">
        <v>31016899.43727117</v>
      </c>
      <c r="J633" s="727">
        <v>30658741.240402121</v>
      </c>
      <c r="K633" s="727">
        <v>30300583.043533079</v>
      </c>
      <c r="L633" s="727">
        <v>29942424.846664019</v>
      </c>
      <c r="M633" s="729">
        <v>29584266.649794959</v>
      </c>
      <c r="N633" s="3"/>
      <c r="O633" s="3"/>
      <c r="P633" s="3"/>
      <c r="Q633" s="3"/>
      <c r="R633" s="3"/>
      <c r="S633" s="3"/>
      <c r="T633" s="3"/>
      <c r="U633" s="3"/>
      <c r="V633" s="3"/>
      <c r="W633" s="3"/>
      <c r="X633" s="3"/>
      <c r="Y633" s="3"/>
      <c r="Z633" s="3"/>
    </row>
    <row r="634" spans="1:26" customFormat="1" ht="12.75" x14ac:dyDescent="0.2">
      <c r="A634" s="246"/>
      <c r="B634" s="3"/>
      <c r="C634" s="802"/>
      <c r="D634" s="383">
        <v>-0.02</v>
      </c>
      <c r="E634" s="730">
        <v>30457268.243324168</v>
      </c>
      <c r="F634" s="731">
        <v>29382793.652717017</v>
      </c>
      <c r="G634" s="731">
        <v>29024635.455847971</v>
      </c>
      <c r="H634" s="732">
        <v>28666477.258978914</v>
      </c>
      <c r="I634" s="731">
        <v>28308319.062109862</v>
      </c>
      <c r="J634" s="731">
        <v>27950160.865240805</v>
      </c>
      <c r="K634" s="731">
        <v>27592002.668371763</v>
      </c>
      <c r="L634" s="731">
        <v>27233844.47150271</v>
      </c>
      <c r="M634" s="733">
        <v>26875686.274633653</v>
      </c>
      <c r="N634" s="3"/>
      <c r="O634" s="3"/>
      <c r="P634" s="3"/>
      <c r="Q634" s="3"/>
      <c r="R634" s="3"/>
      <c r="S634" s="3"/>
      <c r="T634" s="3"/>
      <c r="U634" s="3"/>
      <c r="V634" s="3"/>
      <c r="W634" s="3"/>
      <c r="X634" s="3"/>
      <c r="Y634" s="3"/>
      <c r="Z634" s="3"/>
    </row>
    <row r="635" spans="1:26" customFormat="1" ht="12.75" x14ac:dyDescent="0.2">
      <c r="A635" s="246"/>
      <c r="B635" s="3"/>
      <c r="C635" s="802"/>
      <c r="D635" s="384">
        <v>-0.01</v>
      </c>
      <c r="E635" s="734">
        <v>29483852.259905174</v>
      </c>
      <c r="F635" s="735">
        <v>28409377.669298012</v>
      </c>
      <c r="G635" s="735">
        <v>28051219.472428974</v>
      </c>
      <c r="H635" s="732">
        <v>27693061.275559917</v>
      </c>
      <c r="I635" s="735">
        <v>27334903.078690864</v>
      </c>
      <c r="J635" s="735">
        <v>26976744.881821819</v>
      </c>
      <c r="K635" s="735">
        <v>26618586.684952769</v>
      </c>
      <c r="L635" s="735">
        <v>26260428.488083716</v>
      </c>
      <c r="M635" s="736">
        <v>25902270.29121466</v>
      </c>
      <c r="N635" s="3"/>
      <c r="O635" s="3"/>
      <c r="P635" s="3"/>
      <c r="Q635" s="3"/>
      <c r="R635" s="3"/>
      <c r="S635" s="3"/>
      <c r="T635" s="3"/>
      <c r="U635" s="3"/>
      <c r="V635" s="3"/>
      <c r="W635" s="3"/>
      <c r="X635" s="3"/>
      <c r="Y635" s="3"/>
      <c r="Z635" s="3"/>
    </row>
    <row r="636" spans="1:26" customFormat="1" ht="12.75" x14ac:dyDescent="0.2">
      <c r="A636" s="246"/>
      <c r="B636" s="3"/>
      <c r="C636" s="802"/>
      <c r="D636" s="608">
        <v>0</v>
      </c>
      <c r="E636" s="737">
        <v>28472742.520235937</v>
      </c>
      <c r="F636" s="732">
        <v>27398267.929628789</v>
      </c>
      <c r="G636" s="732">
        <v>27040109.73275974</v>
      </c>
      <c r="H636" s="732">
        <v>26681951.535890691</v>
      </c>
      <c r="I636" s="732">
        <v>26323793.339021634</v>
      </c>
      <c r="J636" s="732">
        <v>25965635.142152578</v>
      </c>
      <c r="K636" s="732">
        <v>25607476.945283536</v>
      </c>
      <c r="L636" s="732">
        <v>25249318.748414475</v>
      </c>
      <c r="M636" s="738">
        <v>24891160.551545426</v>
      </c>
      <c r="N636" s="3"/>
      <c r="O636" s="3"/>
      <c r="P636" s="3"/>
      <c r="Q636" s="3"/>
      <c r="R636" s="3"/>
      <c r="S636" s="3"/>
      <c r="T636" s="3"/>
      <c r="U636" s="3"/>
      <c r="V636" s="3"/>
      <c r="W636" s="3"/>
      <c r="X636" s="3"/>
      <c r="Y636" s="3"/>
      <c r="Z636" s="3"/>
    </row>
    <row r="637" spans="1:26" customFormat="1" ht="25.5" customHeight="1" x14ac:dyDescent="0.2">
      <c r="A637" s="246"/>
      <c r="B637" s="3"/>
      <c r="C637" s="803" t="s">
        <v>945</v>
      </c>
      <c r="D637" s="383">
        <v>0.01</v>
      </c>
      <c r="E637" s="730">
        <v>27422408.596259654</v>
      </c>
      <c r="F637" s="731">
        <v>26347934.005652495</v>
      </c>
      <c r="G637" s="731">
        <v>25989775.808783453</v>
      </c>
      <c r="H637" s="732">
        <v>25631617.6119144</v>
      </c>
      <c r="I637" s="731">
        <v>25273459.415045355</v>
      </c>
      <c r="J637" s="731">
        <v>24915301.218176294</v>
      </c>
      <c r="K637" s="731">
        <v>24557143.021307249</v>
      </c>
      <c r="L637" s="731">
        <v>24198984.824438192</v>
      </c>
      <c r="M637" s="733">
        <v>23840826.627569132</v>
      </c>
      <c r="N637" s="3"/>
      <c r="O637" s="3"/>
      <c r="P637" s="3"/>
      <c r="Q637" s="3"/>
      <c r="R637" s="3"/>
      <c r="S637" s="3"/>
      <c r="T637" s="3"/>
      <c r="U637" s="3"/>
      <c r="V637" s="3"/>
      <c r="W637" s="3"/>
      <c r="X637" s="3"/>
      <c r="Y637" s="3"/>
      <c r="Z637" s="3"/>
    </row>
    <row r="638" spans="1:26" customFormat="1" ht="12.75" x14ac:dyDescent="0.2">
      <c r="A638" s="246"/>
      <c r="B638" s="3"/>
      <c r="C638" s="804" t="s">
        <v>944</v>
      </c>
      <c r="D638" s="383">
        <v>0.02</v>
      </c>
      <c r="E638" s="730">
        <v>26331263.845351387</v>
      </c>
      <c r="F638" s="731">
        <v>25256789.254744224</v>
      </c>
      <c r="G638" s="731">
        <v>24898631.057875168</v>
      </c>
      <c r="H638" s="732">
        <v>24540472.861006118</v>
      </c>
      <c r="I638" s="731">
        <v>24182314.664137073</v>
      </c>
      <c r="J638" s="731">
        <v>23824156.467268016</v>
      </c>
      <c r="K638" s="731">
        <v>23465998.270398974</v>
      </c>
      <c r="L638" s="731">
        <v>23107840.073529914</v>
      </c>
      <c r="M638" s="733">
        <v>22749681.876660857</v>
      </c>
      <c r="N638" s="3"/>
      <c r="O638" s="3"/>
      <c r="P638" s="3"/>
      <c r="Q638" s="3"/>
      <c r="R638" s="3"/>
      <c r="S638" s="3"/>
      <c r="T638" s="3"/>
      <c r="U638" s="3"/>
      <c r="V638" s="3"/>
      <c r="W638" s="3"/>
      <c r="X638" s="3"/>
      <c r="Y638" s="3"/>
      <c r="Z638" s="3"/>
    </row>
    <row r="639" spans="1:26" customFormat="1" ht="12.75" x14ac:dyDescent="0.2">
      <c r="A639" s="246"/>
      <c r="B639" s="3"/>
      <c r="C639" s="808"/>
      <c r="D639" s="383">
        <v>0.03</v>
      </c>
      <c r="E639" s="730">
        <v>25197663.74588288</v>
      </c>
      <c r="F639" s="731">
        <v>24123189.155275736</v>
      </c>
      <c r="G639" s="731">
        <v>23765030.958406687</v>
      </c>
      <c r="H639" s="732">
        <v>23406872.761537626</v>
      </c>
      <c r="I639" s="731">
        <v>23048714.564668577</v>
      </c>
      <c r="J639" s="731">
        <v>22690556.367799524</v>
      </c>
      <c r="K639" s="731">
        <v>22332398.170930479</v>
      </c>
      <c r="L639" s="731">
        <v>21974239.974061418</v>
      </c>
      <c r="M639" s="733">
        <v>21616081.777192365</v>
      </c>
      <c r="N639" s="3"/>
      <c r="O639" s="3"/>
      <c r="P639" s="3"/>
      <c r="Q639" s="3"/>
      <c r="R639" s="3"/>
      <c r="S639" s="3"/>
      <c r="T639" s="3"/>
      <c r="U639" s="3"/>
      <c r="V639" s="3"/>
      <c r="W639" s="3"/>
      <c r="X639" s="3"/>
      <c r="Y639" s="3"/>
      <c r="Z639" s="3"/>
    </row>
    <row r="640" spans="1:26" customFormat="1" ht="12.75" x14ac:dyDescent="0.2">
      <c r="A640" s="246"/>
      <c r="B640" s="3"/>
      <c r="C640" s="802"/>
      <c r="D640" s="383">
        <v>0.04</v>
      </c>
      <c r="E640" s="730">
        <v>24019904.194363538</v>
      </c>
      <c r="F640" s="731">
        <v>22945429.603756376</v>
      </c>
      <c r="G640" s="731">
        <v>22587271.40688733</v>
      </c>
      <c r="H640" s="732">
        <v>22229113.21001827</v>
      </c>
      <c r="I640" s="731">
        <v>21870955.01314922</v>
      </c>
      <c r="J640" s="731">
        <v>21512796.816280175</v>
      </c>
      <c r="K640" s="731">
        <v>21154638.61941113</v>
      </c>
      <c r="L640" s="731">
        <v>20796480.422542073</v>
      </c>
      <c r="M640" s="733">
        <v>20438322.225673009</v>
      </c>
      <c r="N640" s="3"/>
      <c r="O640" s="3"/>
      <c r="P640" s="3"/>
      <c r="Q640" s="3"/>
      <c r="R640" s="3"/>
      <c r="S640" s="3"/>
      <c r="T640" s="3"/>
      <c r="U640" s="3"/>
      <c r="V640" s="3"/>
      <c r="W640" s="3"/>
      <c r="X640" s="3"/>
      <c r="Y640" s="3"/>
      <c r="Z640" s="3"/>
    </row>
    <row r="641" spans="1:26" customFormat="1" ht="12.75" x14ac:dyDescent="0.2">
      <c r="A641" s="246"/>
      <c r="B641" s="3"/>
      <c r="C641" s="805"/>
      <c r="D641" s="388">
        <v>0.05</v>
      </c>
      <c r="E641" s="739">
        <v>22796219.763507891</v>
      </c>
      <c r="F641" s="740">
        <v>21721745.172900733</v>
      </c>
      <c r="G641" s="740">
        <v>21363586.976031687</v>
      </c>
      <c r="H641" s="741">
        <v>21005428.779162634</v>
      </c>
      <c r="I641" s="740">
        <v>20647270.582293589</v>
      </c>
      <c r="J641" s="740">
        <v>20289112.385424536</v>
      </c>
      <c r="K641" s="740">
        <v>19930954.18855549</v>
      </c>
      <c r="L641" s="740">
        <v>19572795.99168643</v>
      </c>
      <c r="M641" s="742">
        <v>19214637.794817369</v>
      </c>
      <c r="N641" s="3"/>
      <c r="O641" s="3"/>
      <c r="P641" s="3"/>
      <c r="Q641" s="3"/>
      <c r="R641" s="3"/>
      <c r="S641" s="3"/>
      <c r="T641" s="3"/>
      <c r="U641" s="3"/>
      <c r="V641" s="3"/>
      <c r="W641" s="3"/>
      <c r="X641" s="3"/>
      <c r="Y641" s="3"/>
      <c r="Z641" s="3"/>
    </row>
    <row r="642" spans="1:26" customFormat="1" ht="12.75" x14ac:dyDescent="0.2">
      <c r="A642" s="246"/>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customFormat="1" ht="25.5" x14ac:dyDescent="0.2">
      <c r="A643" s="246"/>
      <c r="B643" s="3"/>
      <c r="C643" s="359"/>
      <c r="D643" s="359" t="s">
        <v>812</v>
      </c>
      <c r="E643" s="644" t="s">
        <v>947</v>
      </c>
      <c r="F643" s="639"/>
      <c r="G643" s="640"/>
      <c r="H643" s="643"/>
      <c r="I643" s="639"/>
      <c r="J643" s="639"/>
      <c r="K643" s="639"/>
      <c r="L643" s="639"/>
      <c r="M643" s="641"/>
      <c r="N643" s="3"/>
      <c r="O643" s="3"/>
      <c r="P643" s="3"/>
      <c r="Q643" s="3"/>
      <c r="R643" s="3"/>
      <c r="S643" s="3"/>
      <c r="T643" s="3"/>
      <c r="U643" s="3"/>
      <c r="V643" s="3"/>
      <c r="W643" s="3"/>
      <c r="X643" s="3"/>
      <c r="Y643" s="3"/>
      <c r="Z643" s="3"/>
    </row>
    <row r="644" spans="1:26" customFormat="1" ht="12.75" x14ac:dyDescent="0.2">
      <c r="A644" s="246"/>
      <c r="B644" s="3"/>
      <c r="C644" s="364"/>
      <c r="D644" s="363">
        <f>$F$544</f>
        <v>26681951.535890691</v>
      </c>
      <c r="E644" s="623">
        <v>-0.05</v>
      </c>
      <c r="F644" s="624">
        <v>-0.02</v>
      </c>
      <c r="G644" s="624">
        <v>-0.01</v>
      </c>
      <c r="H644" s="626">
        <v>0</v>
      </c>
      <c r="I644" s="624">
        <v>0.01</v>
      </c>
      <c r="J644" s="624">
        <v>0.02</v>
      </c>
      <c r="K644" s="624">
        <v>0.03</v>
      </c>
      <c r="L644" s="624">
        <v>0.04</v>
      </c>
      <c r="M644" s="625">
        <v>0.05</v>
      </c>
      <c r="N644" s="3"/>
      <c r="O644" s="3"/>
      <c r="P644" s="3"/>
      <c r="Q644" s="3"/>
      <c r="R644" s="3"/>
      <c r="S644" s="3"/>
      <c r="T644" s="3"/>
      <c r="U644" s="3"/>
      <c r="V644" s="3"/>
      <c r="W644" s="3"/>
      <c r="X644" s="3"/>
      <c r="Y644" s="3"/>
      <c r="Z644" s="3"/>
    </row>
    <row r="645" spans="1:26" customFormat="1" ht="12.75" x14ac:dyDescent="0.2">
      <c r="A645" s="246"/>
      <c r="B645" s="3"/>
      <c r="C645" s="801"/>
      <c r="D645" s="382">
        <v>-0.15</v>
      </c>
      <c r="E645" s="726">
        <f t="dataTable" ref="E645:M653" dt2D="1" dtr="1" r1="F78" r2="F94" ca="1"/>
        <v>10695143.105664996</v>
      </c>
      <c r="F645" s="727">
        <v>10280597.73380338</v>
      </c>
      <c r="G645" s="727">
        <v>10129746.293484543</v>
      </c>
      <c r="H645" s="728">
        <v>9972072.0193734653</v>
      </c>
      <c r="I645" s="727">
        <v>9807263.450749727</v>
      </c>
      <c r="J645" s="727">
        <v>9634996.0672495216</v>
      </c>
      <c r="K645" s="727">
        <v>9454931.8274939582</v>
      </c>
      <c r="L645" s="727">
        <v>9266718.6949929353</v>
      </c>
      <c r="M645" s="729">
        <v>9069990.1510826796</v>
      </c>
      <c r="N645" s="3"/>
      <c r="O645" s="3"/>
      <c r="P645" s="3"/>
      <c r="Q645" s="3"/>
      <c r="R645" s="3"/>
      <c r="S645" s="3"/>
      <c r="T645" s="3"/>
      <c r="U645" s="3"/>
      <c r="V645" s="3"/>
      <c r="W645" s="3"/>
      <c r="X645" s="3"/>
      <c r="Y645" s="3"/>
      <c r="Z645" s="3"/>
    </row>
    <row r="646" spans="1:26" customFormat="1" ht="12.75" x14ac:dyDescent="0.2">
      <c r="A646" s="246"/>
      <c r="B646" s="3"/>
      <c r="C646" s="802"/>
      <c r="D646" s="383">
        <v>-0.1</v>
      </c>
      <c r="E646" s="730">
        <v>16265102.944504088</v>
      </c>
      <c r="F646" s="731">
        <v>15850557.572642477</v>
      </c>
      <c r="G646" s="731">
        <v>15699706.132323639</v>
      </c>
      <c r="H646" s="732">
        <v>15542031.85821256</v>
      </c>
      <c r="I646" s="731">
        <v>15377223.289588816</v>
      </c>
      <c r="J646" s="731">
        <v>15204955.906088607</v>
      </c>
      <c r="K646" s="731">
        <v>15024891.666333042</v>
      </c>
      <c r="L646" s="731">
        <v>14836678.533832023</v>
      </c>
      <c r="M646" s="733">
        <v>14639949.989921775</v>
      </c>
      <c r="N646" s="3"/>
      <c r="O646" s="3"/>
      <c r="P646" s="3"/>
      <c r="Q646" s="3"/>
      <c r="R646" s="3"/>
      <c r="S646" s="3"/>
      <c r="T646" s="3"/>
      <c r="U646" s="3"/>
      <c r="V646" s="3"/>
      <c r="W646" s="3"/>
      <c r="X646" s="3"/>
      <c r="Y646" s="3"/>
      <c r="Z646" s="3"/>
    </row>
    <row r="647" spans="1:26" customFormat="1" ht="12.75" x14ac:dyDescent="0.2">
      <c r="A647" s="246"/>
      <c r="B647" s="3"/>
      <c r="C647" s="802"/>
      <c r="D647" s="384">
        <v>-0.05</v>
      </c>
      <c r="E647" s="734">
        <v>21835062.783343147</v>
      </c>
      <c r="F647" s="735">
        <v>21420517.411481537</v>
      </c>
      <c r="G647" s="735">
        <v>21269665.971162699</v>
      </c>
      <c r="H647" s="732">
        <v>21111991.697051607</v>
      </c>
      <c r="I647" s="735">
        <v>20947183.128427878</v>
      </c>
      <c r="J647" s="735">
        <v>20774915.74492766</v>
      </c>
      <c r="K647" s="735">
        <v>20594851.505172096</v>
      </c>
      <c r="L647" s="735">
        <v>20406638.372671079</v>
      </c>
      <c r="M647" s="736">
        <v>20209909.828760836</v>
      </c>
      <c r="N647" s="3"/>
      <c r="O647" s="3"/>
      <c r="P647" s="3"/>
      <c r="Q647" s="3"/>
      <c r="R647" s="3"/>
      <c r="S647" s="3"/>
      <c r="T647" s="3"/>
      <c r="U647" s="3"/>
      <c r="V647" s="3"/>
      <c r="W647" s="3"/>
      <c r="X647" s="3"/>
      <c r="Y647" s="3"/>
      <c r="Z647" s="3"/>
    </row>
    <row r="648" spans="1:26" customFormat="1" ht="12.75" x14ac:dyDescent="0.2">
      <c r="A648" s="246"/>
      <c r="B648" s="3"/>
      <c r="C648" s="802"/>
      <c r="D648" s="608">
        <v>0</v>
      </c>
      <c r="E648" s="737">
        <v>27405022.622182228</v>
      </c>
      <c r="F648" s="732">
        <v>26990477.250320606</v>
      </c>
      <c r="G648" s="732">
        <v>26839625.810001764</v>
      </c>
      <c r="H648" s="732">
        <v>26681951.535890691</v>
      </c>
      <c r="I648" s="732">
        <v>26517142.967266954</v>
      </c>
      <c r="J648" s="732">
        <v>26344875.583766736</v>
      </c>
      <c r="K648" s="732">
        <v>26164811.344011173</v>
      </c>
      <c r="L648" s="732">
        <v>25976598.211510148</v>
      </c>
      <c r="M648" s="738">
        <v>25779869.667599902</v>
      </c>
      <c r="N648" s="3"/>
      <c r="O648" s="3"/>
      <c r="P648" s="3"/>
      <c r="Q648" s="3"/>
      <c r="R648" s="3"/>
      <c r="S648" s="3"/>
      <c r="T648" s="3"/>
      <c r="U648" s="3"/>
      <c r="V648" s="3"/>
      <c r="W648" s="3"/>
      <c r="X648" s="3"/>
      <c r="Y648" s="3"/>
      <c r="Z648" s="3"/>
    </row>
    <row r="649" spans="1:26" customFormat="1" ht="12.75" x14ac:dyDescent="0.2">
      <c r="A649" s="246"/>
      <c r="B649" s="3"/>
      <c r="C649" s="858" t="s">
        <v>1044</v>
      </c>
      <c r="D649" s="383">
        <v>0.05</v>
      </c>
      <c r="E649" s="730">
        <v>32974982.461021304</v>
      </c>
      <c r="F649" s="731">
        <v>32560437.08915969</v>
      </c>
      <c r="G649" s="731">
        <v>32409585.648840852</v>
      </c>
      <c r="H649" s="732">
        <v>32251911.374729764</v>
      </c>
      <c r="I649" s="731">
        <v>32087102.806106031</v>
      </c>
      <c r="J649" s="731">
        <v>31914835.422605816</v>
      </c>
      <c r="K649" s="731">
        <v>31734771.182850253</v>
      </c>
      <c r="L649" s="731">
        <v>31546558.050349232</v>
      </c>
      <c r="M649" s="733">
        <v>31349829.506438982</v>
      </c>
      <c r="N649" s="3"/>
      <c r="O649" s="3"/>
      <c r="P649" s="3"/>
      <c r="Q649" s="3"/>
      <c r="R649" s="3"/>
      <c r="S649" s="3"/>
      <c r="T649" s="3"/>
      <c r="U649" s="3"/>
      <c r="V649" s="3"/>
      <c r="W649" s="3"/>
      <c r="X649" s="3"/>
      <c r="Y649" s="3"/>
      <c r="Z649" s="3"/>
    </row>
    <row r="650" spans="1:26" customFormat="1" ht="12.75" x14ac:dyDescent="0.2">
      <c r="A650" s="246"/>
      <c r="B650" s="3"/>
      <c r="C650" s="804" t="s">
        <v>944</v>
      </c>
      <c r="D650" s="383">
        <v>0.1</v>
      </c>
      <c r="E650" s="730">
        <v>38544942.299860366</v>
      </c>
      <c r="F650" s="731">
        <v>38130396.927998766</v>
      </c>
      <c r="G650" s="731">
        <v>37979545.487679921</v>
      </c>
      <c r="H650" s="732">
        <v>37821871.213568836</v>
      </c>
      <c r="I650" s="731">
        <v>37657062.644945115</v>
      </c>
      <c r="J650" s="731">
        <v>37484795.261444882</v>
      </c>
      <c r="K650" s="731">
        <v>37304731.021689333</v>
      </c>
      <c r="L650" s="731">
        <v>37116517.889188305</v>
      </c>
      <c r="M650" s="733">
        <v>36919789.345278062</v>
      </c>
      <c r="N650" s="3"/>
      <c r="O650" s="3"/>
      <c r="P650" s="3"/>
      <c r="Q650" s="3"/>
      <c r="R650" s="3"/>
      <c r="S650" s="3"/>
      <c r="T650" s="3"/>
      <c r="U650" s="3"/>
      <c r="V650" s="3"/>
      <c r="W650" s="3"/>
      <c r="X650" s="3"/>
      <c r="Y650" s="3"/>
      <c r="Z650" s="3"/>
    </row>
    <row r="651" spans="1:26" customFormat="1" ht="12.75" x14ac:dyDescent="0.2">
      <c r="A651" s="246"/>
      <c r="B651" s="3"/>
      <c r="C651" s="802"/>
      <c r="D651" s="383">
        <v>0.15</v>
      </c>
      <c r="E651" s="730">
        <v>44114902.13869945</v>
      </c>
      <c r="F651" s="731">
        <v>43700356.766837828</v>
      </c>
      <c r="G651" s="731">
        <v>43549505.326518983</v>
      </c>
      <c r="H651" s="732">
        <v>43391831.052407898</v>
      </c>
      <c r="I651" s="731">
        <v>43227022.483784176</v>
      </c>
      <c r="J651" s="731">
        <v>43054755.100283958</v>
      </c>
      <c r="K651" s="731">
        <v>42874690.860528402</v>
      </c>
      <c r="L651" s="731">
        <v>42686477.728027374</v>
      </c>
      <c r="M651" s="733">
        <v>42489749.184117123</v>
      </c>
      <c r="N651" s="3"/>
      <c r="O651" s="3"/>
      <c r="P651" s="3"/>
      <c r="Q651" s="3"/>
      <c r="R651" s="3"/>
      <c r="S651" s="3"/>
      <c r="T651" s="3"/>
      <c r="U651" s="3"/>
      <c r="V651" s="3"/>
      <c r="W651" s="3"/>
      <c r="X651" s="3"/>
      <c r="Y651" s="3"/>
      <c r="Z651" s="3"/>
    </row>
    <row r="652" spans="1:26" customFormat="1" ht="12.75" x14ac:dyDescent="0.2">
      <c r="A652" s="246"/>
      <c r="B652" s="3"/>
      <c r="C652" s="802"/>
      <c r="D652" s="383">
        <v>0.2</v>
      </c>
      <c r="E652" s="730">
        <v>49684861.977538504</v>
      </c>
      <c r="F652" s="731">
        <v>49270316.605676897</v>
      </c>
      <c r="G652" s="731">
        <v>49119465.165358037</v>
      </c>
      <c r="H652" s="732">
        <v>48961790.891246967</v>
      </c>
      <c r="I652" s="731">
        <v>48796982.322623216</v>
      </c>
      <c r="J652" s="731">
        <v>48624714.939123012</v>
      </c>
      <c r="K652" s="731">
        <v>48444650.699367449</v>
      </c>
      <c r="L652" s="731">
        <v>48256437.56686642</v>
      </c>
      <c r="M652" s="733">
        <v>48059709.02295617</v>
      </c>
      <c r="N652" s="3"/>
      <c r="O652" s="3"/>
      <c r="P652" s="3"/>
      <c r="Q652" s="3"/>
      <c r="R652" s="3"/>
      <c r="S652" s="3"/>
      <c r="T652" s="3"/>
      <c r="U652" s="3"/>
      <c r="V652" s="3"/>
      <c r="W652" s="3"/>
      <c r="X652" s="3"/>
      <c r="Y652" s="3"/>
      <c r="Z652" s="3"/>
    </row>
    <row r="653" spans="1:26" customFormat="1" ht="12.75" x14ac:dyDescent="0.2">
      <c r="A653" s="246"/>
      <c r="B653" s="3"/>
      <c r="C653" s="805"/>
      <c r="D653" s="388">
        <v>0.25</v>
      </c>
      <c r="E653" s="739">
        <v>55254821.816377565</v>
      </c>
      <c r="F653" s="740">
        <v>54840276.444515973</v>
      </c>
      <c r="G653" s="740">
        <v>54689425.004197128</v>
      </c>
      <c r="H653" s="741">
        <v>54531750.730086036</v>
      </c>
      <c r="I653" s="740">
        <v>54366942.161462314</v>
      </c>
      <c r="J653" s="740">
        <v>54194674.777962081</v>
      </c>
      <c r="K653" s="740">
        <v>54014610.538206533</v>
      </c>
      <c r="L653" s="740">
        <v>53826397.405705497</v>
      </c>
      <c r="M653" s="742">
        <v>53629668.861795247</v>
      </c>
      <c r="N653" s="3"/>
      <c r="O653" s="3"/>
      <c r="P653" s="3"/>
      <c r="Q653" s="3"/>
      <c r="R653" s="3"/>
      <c r="S653" s="3"/>
      <c r="T653" s="3"/>
      <c r="U653" s="3"/>
      <c r="V653" s="3"/>
      <c r="W653" s="3"/>
      <c r="X653" s="3"/>
      <c r="Y653" s="3"/>
      <c r="Z653" s="3"/>
    </row>
    <row r="654" spans="1:26" customFormat="1" ht="12.75" x14ac:dyDescent="0.2">
      <c r="A654" s="246"/>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customFormat="1" ht="25.5" x14ac:dyDescent="0.2">
      <c r="A655" s="246"/>
      <c r="B655" s="3"/>
      <c r="C655" s="359"/>
      <c r="D655" s="359" t="s">
        <v>812</v>
      </c>
      <c r="E655" s="644" t="s">
        <v>993</v>
      </c>
      <c r="F655" s="639"/>
      <c r="G655" s="640"/>
      <c r="H655" s="643"/>
      <c r="I655" s="639"/>
      <c r="J655" s="639"/>
      <c r="K655" s="639"/>
      <c r="L655" s="639"/>
      <c r="M655" s="641"/>
      <c r="N655" s="3"/>
      <c r="O655" s="3"/>
      <c r="P655" s="3"/>
      <c r="Q655" s="3"/>
      <c r="R655" s="3"/>
      <c r="S655" s="3"/>
      <c r="T655" s="3"/>
      <c r="U655" s="3"/>
      <c r="V655" s="3"/>
      <c r="W655" s="3"/>
      <c r="X655" s="3"/>
      <c r="Y655" s="3"/>
      <c r="Z655" s="3"/>
    </row>
    <row r="656" spans="1:26" customFormat="1" ht="12.75" x14ac:dyDescent="0.2">
      <c r="A656" s="246"/>
      <c r="B656" s="3"/>
      <c r="C656" s="364"/>
      <c r="D656" s="363">
        <f>$F$544</f>
        <v>26681951.535890691</v>
      </c>
      <c r="E656" s="655">
        <v>1.5</v>
      </c>
      <c r="F656" s="652">
        <v>1.75</v>
      </c>
      <c r="G656" s="799">
        <v>2</v>
      </c>
      <c r="H656" s="654">
        <v>2.4</v>
      </c>
      <c r="I656" s="652">
        <v>2.75</v>
      </c>
      <c r="J656" s="652">
        <v>3</v>
      </c>
      <c r="K656" s="650">
        <v>3.5</v>
      </c>
      <c r="L656" s="650">
        <v>4</v>
      </c>
      <c r="M656" s="651">
        <v>5</v>
      </c>
      <c r="N656" s="3"/>
      <c r="O656" s="3"/>
      <c r="P656" s="3"/>
      <c r="Q656" s="3"/>
      <c r="R656" s="3"/>
      <c r="S656" s="3"/>
      <c r="T656" s="3"/>
      <c r="U656" s="3"/>
      <c r="V656" s="3"/>
      <c r="W656" s="3"/>
      <c r="X656" s="3"/>
      <c r="Y656" s="3"/>
      <c r="Z656" s="3"/>
    </row>
    <row r="657" spans="1:26" customFormat="1" ht="12.75" x14ac:dyDescent="0.2">
      <c r="A657" s="246"/>
      <c r="B657" s="3"/>
      <c r="C657" s="801"/>
      <c r="D657" s="382">
        <v>-0.15</v>
      </c>
      <c r="E657" s="726">
        <f t="dataTable" ref="E657:M665" dt2D="1" dtr="1" r1="I31" r2="F94" ca="1"/>
        <v>-18580352.001794949</v>
      </c>
      <c r="F657" s="727">
        <v>-8259390.7679034853</v>
      </c>
      <c r="G657" s="727">
        <v>289821.9977880526</v>
      </c>
      <c r="H657" s="728">
        <v>9972072.0193734653</v>
      </c>
      <c r="I657" s="727">
        <v>17179714.447467238</v>
      </c>
      <c r="J657" s="727">
        <v>20386473.984290123</v>
      </c>
      <c r="K657" s="727">
        <v>26799993.057935905</v>
      </c>
      <c r="L657" s="727">
        <v>29713708.513500869</v>
      </c>
      <c r="M657" s="729">
        <v>32928230.442774694</v>
      </c>
      <c r="N657" s="3"/>
      <c r="O657" s="3"/>
      <c r="P657" s="3"/>
      <c r="Q657" s="3"/>
      <c r="R657" s="3"/>
      <c r="S657" s="3"/>
      <c r="T657" s="3"/>
      <c r="U657" s="3"/>
      <c r="V657" s="3"/>
      <c r="W657" s="3"/>
      <c r="X657" s="3"/>
      <c r="Y657" s="3"/>
      <c r="Z657" s="3"/>
    </row>
    <row r="658" spans="1:26" customFormat="1" ht="12.75" x14ac:dyDescent="0.2">
      <c r="A658" s="246"/>
      <c r="B658" s="3"/>
      <c r="C658" s="802"/>
      <c r="D658" s="383">
        <v>-0.1</v>
      </c>
      <c r="E658" s="730">
        <v>-14983744.23382372</v>
      </c>
      <c r="F658" s="731">
        <v>-3950321.9703769954</v>
      </c>
      <c r="G658" s="731">
        <v>5189664.6644596541</v>
      </c>
      <c r="H658" s="732">
        <v>15542031.85821256</v>
      </c>
      <c r="I658" s="731">
        <v>23246956.342467215</v>
      </c>
      <c r="J658" s="731">
        <v>26675311.690613151</v>
      </c>
      <c r="K658" s="731">
        <v>33532022.386905059</v>
      </c>
      <c r="L658" s="731">
        <v>36648224.300135724</v>
      </c>
      <c r="M658" s="733">
        <v>40084553.67940098</v>
      </c>
      <c r="N658" s="3"/>
      <c r="O658" s="3"/>
      <c r="P658" s="3"/>
      <c r="Q658" s="3"/>
      <c r="R658" s="3"/>
      <c r="S658" s="3"/>
      <c r="T658" s="3"/>
      <c r="U658" s="3"/>
      <c r="V658" s="3"/>
      <c r="W658" s="3"/>
      <c r="X658" s="3"/>
      <c r="Y658" s="3"/>
      <c r="Z658" s="3"/>
    </row>
    <row r="659" spans="1:26" customFormat="1" ht="12.75" x14ac:dyDescent="0.2">
      <c r="A659" s="246"/>
      <c r="B659" s="3"/>
      <c r="C659" s="802"/>
      <c r="D659" s="384">
        <v>-0.05</v>
      </c>
      <c r="E659" s="734">
        <v>-11387136.465852497</v>
      </c>
      <c r="F659" s="735">
        <v>358746.82714945078</v>
      </c>
      <c r="G659" s="735">
        <v>10089507.331131225</v>
      </c>
      <c r="H659" s="732">
        <v>21111991.697051607</v>
      </c>
      <c r="I659" s="735">
        <v>29314198.237467136</v>
      </c>
      <c r="J659" s="735">
        <v>32964149.396936134</v>
      </c>
      <c r="K659" s="735">
        <v>40264051.715874173</v>
      </c>
      <c r="L659" s="735">
        <v>43582740.086770512</v>
      </c>
      <c r="M659" s="736">
        <v>47240876.916027196</v>
      </c>
      <c r="N659" s="3"/>
      <c r="O659" s="3"/>
      <c r="P659" s="3"/>
      <c r="Q659" s="3"/>
      <c r="R659" s="3"/>
      <c r="S659" s="3"/>
      <c r="T659" s="3"/>
      <c r="U659" s="3"/>
      <c r="V659" s="3"/>
      <c r="W659" s="3"/>
      <c r="X659" s="3"/>
      <c r="Y659" s="3"/>
      <c r="Z659" s="3"/>
    </row>
    <row r="660" spans="1:26" customFormat="1" ht="12.75" x14ac:dyDescent="0.2">
      <c r="A660" s="246"/>
      <c r="B660" s="3"/>
      <c r="C660" s="802"/>
      <c r="D660" s="608">
        <v>0</v>
      </c>
      <c r="E660" s="737">
        <v>-7790528.6978812637</v>
      </c>
      <c r="F660" s="732">
        <v>4667815.6246759119</v>
      </c>
      <c r="G660" s="732">
        <v>14989349.997802824</v>
      </c>
      <c r="H660" s="732">
        <v>26681951.535890691</v>
      </c>
      <c r="I660" s="732">
        <v>35381440.132467091</v>
      </c>
      <c r="J660" s="732">
        <v>39252987.103259154</v>
      </c>
      <c r="K660" s="732">
        <v>46996081.044843301</v>
      </c>
      <c r="L660" s="732">
        <v>50517255.873405352</v>
      </c>
      <c r="M660" s="738">
        <v>54397200.152653463</v>
      </c>
      <c r="N660" s="3"/>
      <c r="O660" s="3"/>
      <c r="P660" s="3"/>
      <c r="Q660" s="3"/>
      <c r="R660" s="3"/>
      <c r="S660" s="3"/>
      <c r="T660" s="3"/>
      <c r="U660" s="3"/>
      <c r="V660" s="3"/>
      <c r="W660" s="3"/>
      <c r="X660" s="3"/>
      <c r="Y660" s="3"/>
      <c r="Z660" s="3"/>
    </row>
    <row r="661" spans="1:26" customFormat="1" ht="12.75" x14ac:dyDescent="0.2">
      <c r="A661" s="246"/>
      <c r="B661" s="3"/>
      <c r="C661" s="803" t="s">
        <v>1044</v>
      </c>
      <c r="D661" s="383">
        <v>0.05</v>
      </c>
      <c r="E661" s="730">
        <v>-4193920.9299100111</v>
      </c>
      <c r="F661" s="731">
        <v>8976884.4222023971</v>
      </c>
      <c r="G661" s="731">
        <v>19889192.664474428</v>
      </c>
      <c r="H661" s="732">
        <v>32251911.374729764</v>
      </c>
      <c r="I661" s="731">
        <v>41448682.02746702</v>
      </c>
      <c r="J661" s="731">
        <v>45541824.809582166</v>
      </c>
      <c r="K661" s="731">
        <v>53728110.373812459</v>
      </c>
      <c r="L661" s="731">
        <v>57451771.660040185</v>
      </c>
      <c r="M661" s="733">
        <v>61553523.389279753</v>
      </c>
      <c r="N661" s="3"/>
      <c r="O661" s="3"/>
      <c r="P661" s="3"/>
      <c r="Q661" s="3"/>
      <c r="R661" s="3"/>
      <c r="S661" s="3"/>
      <c r="T661" s="3"/>
      <c r="U661" s="3"/>
      <c r="V661" s="3"/>
      <c r="W661" s="3"/>
      <c r="X661" s="3"/>
      <c r="Y661" s="3"/>
      <c r="Z661" s="3"/>
    </row>
    <row r="662" spans="1:26" customFormat="1" ht="12.75" x14ac:dyDescent="0.2">
      <c r="A662" s="246"/>
      <c r="B662" s="3"/>
      <c r="C662" s="804" t="s">
        <v>944</v>
      </c>
      <c r="D662" s="383">
        <v>0.1</v>
      </c>
      <c r="E662" s="730">
        <v>-597313.16193879512</v>
      </c>
      <c r="F662" s="731">
        <v>13285953.219728863</v>
      </c>
      <c r="G662" s="731">
        <v>24789035.331146013</v>
      </c>
      <c r="H662" s="732">
        <v>37821871.213568836</v>
      </c>
      <c r="I662" s="731">
        <v>47515923.922466978</v>
      </c>
      <c r="J662" s="731">
        <v>51830662.515905164</v>
      </c>
      <c r="K662" s="731">
        <v>60460139.70278158</v>
      </c>
      <c r="L662" s="731">
        <v>64386287.446675025</v>
      </c>
      <c r="M662" s="733">
        <v>68709846.62590602</v>
      </c>
      <c r="N662" s="3"/>
      <c r="O662" s="3"/>
      <c r="P662" s="3"/>
      <c r="Q662" s="3"/>
      <c r="R662" s="3"/>
      <c r="S662" s="3"/>
      <c r="T662" s="3"/>
      <c r="U662" s="3"/>
      <c r="V662" s="3"/>
      <c r="W662" s="3"/>
      <c r="X662" s="3"/>
      <c r="Y662" s="3"/>
      <c r="Z662" s="3"/>
    </row>
    <row r="663" spans="1:26" customFormat="1" ht="12.75" x14ac:dyDescent="0.2">
      <c r="A663" s="246"/>
      <c r="B663" s="3"/>
      <c r="C663" s="802"/>
      <c r="D663" s="383">
        <v>0.15</v>
      </c>
      <c r="E663" s="730">
        <v>2999294.6060324344</v>
      </c>
      <c r="F663" s="731">
        <v>17595022.017255314</v>
      </c>
      <c r="G663" s="731">
        <v>29688877.997817598</v>
      </c>
      <c r="H663" s="732">
        <v>43391831.052407898</v>
      </c>
      <c r="I663" s="731">
        <v>53583165.817466907</v>
      </c>
      <c r="J663" s="731">
        <v>58119500.222228169</v>
      </c>
      <c r="K663" s="731">
        <v>67192169.031750724</v>
      </c>
      <c r="L663" s="731">
        <v>71320803.233309835</v>
      </c>
      <c r="M663" s="733">
        <v>75866169.862532258</v>
      </c>
      <c r="N663" s="3"/>
      <c r="O663" s="3"/>
      <c r="P663" s="3"/>
      <c r="Q663" s="3"/>
      <c r="R663" s="3"/>
      <c r="S663" s="3"/>
      <c r="T663" s="3"/>
      <c r="U663" s="3"/>
      <c r="V663" s="3"/>
      <c r="W663" s="3"/>
      <c r="X663" s="3"/>
      <c r="Y663" s="3"/>
      <c r="Z663" s="3"/>
    </row>
    <row r="664" spans="1:26" customFormat="1" ht="12.75" x14ac:dyDescent="0.2">
      <c r="A664" s="246"/>
      <c r="B664" s="3"/>
      <c r="C664" s="802"/>
      <c r="D664" s="383">
        <v>0.2</v>
      </c>
      <c r="E664" s="730">
        <v>6595902.3740036832</v>
      </c>
      <c r="F664" s="731">
        <v>21904090.814781763</v>
      </c>
      <c r="G664" s="731">
        <v>34588720.664489202</v>
      </c>
      <c r="H664" s="732">
        <v>48961790.891246967</v>
      </c>
      <c r="I664" s="731">
        <v>59650407.712466836</v>
      </c>
      <c r="J664" s="731">
        <v>64408337.928551175</v>
      </c>
      <c r="K664" s="731">
        <v>73924198.360719815</v>
      </c>
      <c r="L664" s="731">
        <v>78255319.019944653</v>
      </c>
      <c r="M664" s="733">
        <v>83022493.099158511</v>
      </c>
      <c r="N664" s="3"/>
      <c r="O664" s="3"/>
      <c r="P664" s="3"/>
      <c r="Q664" s="3"/>
      <c r="R664" s="3"/>
      <c r="S664" s="3"/>
      <c r="T664" s="3"/>
      <c r="U664" s="3"/>
      <c r="V664" s="3"/>
      <c r="W664" s="3"/>
      <c r="X664" s="3"/>
      <c r="Y664" s="3"/>
      <c r="Z664" s="3"/>
    </row>
    <row r="665" spans="1:26" customFormat="1" ht="12.75" x14ac:dyDescent="0.2">
      <c r="A665" s="246"/>
      <c r="B665" s="3"/>
      <c r="C665" s="805"/>
      <c r="D665" s="388">
        <v>0.25</v>
      </c>
      <c r="E665" s="739">
        <v>10192510.141974883</v>
      </c>
      <c r="F665" s="740">
        <v>26213159.612308253</v>
      </c>
      <c r="G665" s="740">
        <v>39488563.331160799</v>
      </c>
      <c r="H665" s="741">
        <v>54531750.730086036</v>
      </c>
      <c r="I665" s="740">
        <v>65717649.607466795</v>
      </c>
      <c r="J665" s="740">
        <v>70697175.634874195</v>
      </c>
      <c r="K665" s="740">
        <v>80656227.689688981</v>
      </c>
      <c r="L665" s="740">
        <v>85189834.8065795</v>
      </c>
      <c r="M665" s="742">
        <v>90178816.335784808</v>
      </c>
      <c r="N665" s="3"/>
      <c r="O665" s="3"/>
      <c r="P665" s="3"/>
      <c r="Q665" s="3"/>
      <c r="R665" s="3"/>
      <c r="S665" s="3"/>
      <c r="T665" s="3"/>
      <c r="U665" s="3"/>
      <c r="V665" s="3"/>
      <c r="W665" s="3"/>
      <c r="X665" s="3"/>
      <c r="Y665" s="3"/>
      <c r="Z665" s="3"/>
    </row>
    <row r="666" spans="1:26" ht="12.75" x14ac:dyDescent="0.2">
      <c r="A666" s="122"/>
      <c r="B666" s="122"/>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row>
    <row r="667" spans="1:26" ht="12.75" x14ac:dyDescent="0.2">
      <c r="A667" s="122"/>
      <c r="B667" s="122"/>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row>
    <row r="668" spans="1:26" ht="12.75" x14ac:dyDescent="0.2">
      <c r="A668" s="122"/>
      <c r="B668" s="122"/>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row>
    <row r="669" spans="1:26" ht="12.75" x14ac:dyDescent="0.2">
      <c r="A669" s="122"/>
      <c r="B669" s="122"/>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row>
    <row r="670" spans="1:26" ht="12.75" x14ac:dyDescent="0.2">
      <c r="A670" s="122"/>
      <c r="B670" s="122"/>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row>
    <row r="671" spans="1:26" ht="12.75" x14ac:dyDescent="0.2">
      <c r="A671" s="122"/>
      <c r="B671" s="122"/>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row>
    <row r="672" spans="1:26" ht="12.75" x14ac:dyDescent="0.2">
      <c r="A672" s="122"/>
      <c r="B672" s="122"/>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row>
    <row r="673" spans="1:26" ht="12.75" x14ac:dyDescent="0.2">
      <c r="A673" s="122"/>
      <c r="B673" s="122"/>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row>
    <row r="674" spans="1:26" ht="12.75" x14ac:dyDescent="0.2">
      <c r="A674" s="122"/>
      <c r="B674" s="122"/>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row>
    <row r="675" spans="1:26" ht="12.75" x14ac:dyDescent="0.2">
      <c r="A675" s="122"/>
      <c r="B675" s="122"/>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row>
    <row r="676" spans="1:26" ht="12.75" x14ac:dyDescent="0.2">
      <c r="A676" s="122"/>
      <c r="B676" s="122"/>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row>
    <row r="677" spans="1:26" ht="12.75" x14ac:dyDescent="0.2">
      <c r="A677" s="122"/>
      <c r="B677" s="122"/>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row>
    <row r="678" spans="1:26" ht="12.75" x14ac:dyDescent="0.2">
      <c r="A678" s="122"/>
      <c r="B678" s="122"/>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row>
    <row r="679" spans="1:26" ht="12.75" x14ac:dyDescent="0.2">
      <c r="A679" s="122"/>
      <c r="B679" s="122"/>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row>
    <row r="680" spans="1:26" ht="12.75" x14ac:dyDescent="0.2">
      <c r="A680" s="122"/>
      <c r="B680" s="122"/>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row>
    <row r="681" spans="1:26" ht="12.75" x14ac:dyDescent="0.2">
      <c r="A681" s="122"/>
      <c r="B681" s="122"/>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row>
    <row r="682" spans="1:26" ht="12.75" x14ac:dyDescent="0.2">
      <c r="A682" s="122"/>
      <c r="B682" s="122"/>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row>
    <row r="683" spans="1:26" ht="12.75" x14ac:dyDescent="0.2">
      <c r="A683" s="122"/>
      <c r="B683" s="122"/>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row>
    <row r="684" spans="1:26" ht="12.75" x14ac:dyDescent="0.2">
      <c r="A684" s="122"/>
      <c r="B684" s="122"/>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row>
    <row r="685" spans="1:26" ht="12.75" x14ac:dyDescent="0.2">
      <c r="A685" s="122"/>
      <c r="B685" s="122"/>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row>
    <row r="686" spans="1:26" ht="12.75" x14ac:dyDescent="0.2">
      <c r="A686" s="122"/>
      <c r="B686" s="122"/>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row>
    <row r="687" spans="1:26" ht="12.75" x14ac:dyDescent="0.2">
      <c r="A687" s="122"/>
      <c r="B687" s="122"/>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row>
    <row r="688" spans="1:26" ht="12.75" x14ac:dyDescent="0.2">
      <c r="A688" s="122"/>
      <c r="B688" s="122"/>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row>
    <row r="689" spans="1:26" ht="12.75" x14ac:dyDescent="0.2">
      <c r="A689" s="122"/>
      <c r="B689" s="122"/>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row>
    <row r="690" spans="1:26" ht="12.75" x14ac:dyDescent="0.2">
      <c r="A690" s="122"/>
      <c r="B690" s="122"/>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row>
    <row r="691" spans="1:26" ht="12.75" x14ac:dyDescent="0.2">
      <c r="A691" s="122"/>
      <c r="B691" s="122"/>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row>
    <row r="692" spans="1:26" ht="12.75" x14ac:dyDescent="0.2">
      <c r="A692" s="122"/>
      <c r="B692" s="122"/>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row>
    <row r="693" spans="1:26" ht="12.75" x14ac:dyDescent="0.2">
      <c r="A693" s="122"/>
      <c r="B693" s="122"/>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row>
    <row r="694" spans="1:26" ht="12.75" x14ac:dyDescent="0.2">
      <c r="A694" s="122"/>
      <c r="B694" s="122"/>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row>
    <row r="695" spans="1:26" ht="12.75" x14ac:dyDescent="0.2">
      <c r="A695" s="122"/>
      <c r="B695" s="122"/>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row>
    <row r="696" spans="1:26" ht="12.75" x14ac:dyDescent="0.2">
      <c r="A696" s="122"/>
      <c r="B696" s="122"/>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row>
    <row r="697" spans="1:26" ht="12.75" x14ac:dyDescent="0.2">
      <c r="A697" s="122"/>
      <c r="B697" s="122"/>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row>
    <row r="698" spans="1:26" ht="12.75" x14ac:dyDescent="0.2">
      <c r="A698" s="122"/>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row>
    <row r="699" spans="1:26" ht="12.75" x14ac:dyDescent="0.2">
      <c r="A699" s="122"/>
      <c r="B699" s="122"/>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row>
    <row r="700" spans="1:26" ht="12.75" x14ac:dyDescent="0.2">
      <c r="A700" s="122"/>
      <c r="B700" s="122"/>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row>
    <row r="701" spans="1:26" ht="12.75" x14ac:dyDescent="0.2">
      <c r="A701" s="122"/>
      <c r="B701" s="122"/>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row>
    <row r="702" spans="1:26" ht="12.75" x14ac:dyDescent="0.2">
      <c r="A702" s="122"/>
      <c r="B702" s="122"/>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row>
    <row r="703" spans="1:26" ht="12.75" x14ac:dyDescent="0.2">
      <c r="A703" s="122"/>
      <c r="B703" s="122"/>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row>
    <row r="704" spans="1:26" ht="12.75" x14ac:dyDescent="0.2">
      <c r="A704" s="122"/>
      <c r="B704" s="122"/>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row>
    <row r="705" spans="1:26" ht="12.75" x14ac:dyDescent="0.2">
      <c r="A705" s="122"/>
      <c r="B705" s="122"/>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row>
    <row r="706" spans="1:26" ht="12.75" x14ac:dyDescent="0.2">
      <c r="A706" s="122"/>
      <c r="B706" s="122"/>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row>
    <row r="707" spans="1:26" ht="12.75" x14ac:dyDescent="0.2">
      <c r="A707" s="122"/>
      <c r="B707" s="122"/>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row>
    <row r="708" spans="1:26" ht="12.75" x14ac:dyDescent="0.2">
      <c r="A708" s="122"/>
      <c r="B708" s="122"/>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row>
    <row r="709" spans="1:26" ht="12.75" x14ac:dyDescent="0.2">
      <c r="A709" s="122"/>
      <c r="B709" s="122"/>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row>
    <row r="710" spans="1:26" ht="12.75" x14ac:dyDescent="0.2">
      <c r="A710" s="122"/>
      <c r="B710" s="122"/>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row>
    <row r="711" spans="1:26" ht="12.75" x14ac:dyDescent="0.2">
      <c r="A711" s="122"/>
      <c r="B711" s="122"/>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row>
    <row r="712" spans="1:26" ht="12.75" x14ac:dyDescent="0.2">
      <c r="A712" s="122"/>
      <c r="B712" s="122"/>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row>
    <row r="713" spans="1:26" ht="12.75" x14ac:dyDescent="0.2">
      <c r="A713" s="122"/>
      <c r="B713" s="122"/>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row>
    <row r="714" spans="1:26" ht="12.75" x14ac:dyDescent="0.2">
      <c r="A714" s="122"/>
      <c r="B714" s="122"/>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row>
    <row r="715" spans="1:26" ht="12.75" x14ac:dyDescent="0.2">
      <c r="A715" s="122"/>
      <c r="B715" s="122"/>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row>
    <row r="716" spans="1:26" ht="12.75" x14ac:dyDescent="0.2">
      <c r="A716" s="122"/>
      <c r="B716" s="122"/>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row>
    <row r="717" spans="1:26" ht="12.75" x14ac:dyDescent="0.2">
      <c r="A717" s="122"/>
      <c r="B717" s="122"/>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row>
    <row r="718" spans="1:26" ht="12.75" x14ac:dyDescent="0.2">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row>
    <row r="719" spans="1:26" ht="12.75" x14ac:dyDescent="0.2">
      <c r="A719" s="122"/>
      <c r="B719" s="122"/>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row>
    <row r="720" spans="1:26" ht="12.75" x14ac:dyDescent="0.2">
      <c r="A720" s="122"/>
      <c r="B720" s="122"/>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row>
    <row r="721" spans="1:26" ht="12.75" x14ac:dyDescent="0.2">
      <c r="A721" s="122"/>
      <c r="B721" s="122"/>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row>
    <row r="722" spans="1:26" ht="12.75" x14ac:dyDescent="0.2">
      <c r="A722" s="122"/>
      <c r="B722" s="122"/>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row>
    <row r="723" spans="1:26" ht="12.75" x14ac:dyDescent="0.2">
      <c r="A723" s="122"/>
      <c r="B723" s="122"/>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row>
    <row r="724" spans="1:26" ht="12.75" x14ac:dyDescent="0.2">
      <c r="A724" s="122"/>
      <c r="B724" s="122"/>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row>
    <row r="725" spans="1:26" ht="12.75" x14ac:dyDescent="0.2">
      <c r="A725" s="122"/>
      <c r="B725" s="122"/>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row>
    <row r="726" spans="1:26" ht="12.75" x14ac:dyDescent="0.2">
      <c r="A726" s="122"/>
      <c r="B726" s="122"/>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row>
    <row r="727" spans="1:26" ht="12.75" x14ac:dyDescent="0.2">
      <c r="A727" s="122"/>
      <c r="B727" s="122"/>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row>
    <row r="728" spans="1:26" ht="12.75" x14ac:dyDescent="0.2">
      <c r="A728" s="122"/>
      <c r="B728" s="122"/>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row>
    <row r="729" spans="1:26" ht="12.75" x14ac:dyDescent="0.2">
      <c r="A729" s="122"/>
      <c r="B729" s="122"/>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row>
    <row r="730" spans="1:26" ht="12.75" x14ac:dyDescent="0.2">
      <c r="A730" s="122"/>
      <c r="B730" s="122"/>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row>
    <row r="731" spans="1:26" ht="12.75" x14ac:dyDescent="0.2">
      <c r="A731" s="122"/>
      <c r="B731" s="122"/>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row>
    <row r="732" spans="1:26" ht="12.75" x14ac:dyDescent="0.2">
      <c r="A732" s="122"/>
      <c r="B732" s="122"/>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row>
    <row r="733" spans="1:26" ht="12.75" x14ac:dyDescent="0.2">
      <c r="A733" s="122"/>
      <c r="B733" s="122"/>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row>
    <row r="734" spans="1:26" ht="12.75" x14ac:dyDescent="0.2">
      <c r="A734" s="122"/>
      <c r="B734" s="122"/>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row>
    <row r="735" spans="1:26" ht="12.75" x14ac:dyDescent="0.2">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row>
    <row r="736" spans="1:26" ht="12.75" x14ac:dyDescent="0.2">
      <c r="A736" s="122"/>
      <c r="B736" s="122"/>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row>
    <row r="737" spans="1:26" ht="12.75" x14ac:dyDescent="0.2">
      <c r="A737" s="122"/>
      <c r="B737" s="122"/>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row>
    <row r="738" spans="1:26" ht="12.75" x14ac:dyDescent="0.2">
      <c r="A738" s="122"/>
      <c r="B738" s="122"/>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row>
    <row r="739" spans="1:26" ht="12.75" x14ac:dyDescent="0.2">
      <c r="A739" s="122"/>
      <c r="B739" s="122"/>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row>
    <row r="740" spans="1:26" ht="12.75" x14ac:dyDescent="0.2">
      <c r="A740" s="122"/>
      <c r="B740" s="122"/>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row>
    <row r="741" spans="1:26" ht="12.75" x14ac:dyDescent="0.2">
      <c r="A741" s="122"/>
      <c r="B741" s="122"/>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row>
    <row r="742" spans="1:26" ht="12.75" x14ac:dyDescent="0.2">
      <c r="A742" s="122"/>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row>
    <row r="743" spans="1:26" ht="12.75" x14ac:dyDescent="0.2">
      <c r="A743" s="122"/>
      <c r="B743" s="122"/>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row>
    <row r="744" spans="1:26" ht="12.75" x14ac:dyDescent="0.2">
      <c r="A744" s="122"/>
      <c r="B744" s="122"/>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row>
    <row r="745" spans="1:26" ht="12.75" x14ac:dyDescent="0.2">
      <c r="A745" s="122"/>
      <c r="B745" s="122"/>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row>
    <row r="746" spans="1:26" ht="12.75" x14ac:dyDescent="0.2">
      <c r="A746" s="122"/>
      <c r="B746" s="122"/>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row>
    <row r="747" spans="1:26" ht="12.75" x14ac:dyDescent="0.2">
      <c r="A747" s="122"/>
      <c r="B747" s="122"/>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row>
    <row r="748" spans="1:26" ht="12.75" x14ac:dyDescent="0.2">
      <c r="A748" s="122"/>
      <c r="B748" s="122"/>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row>
    <row r="749" spans="1:26" ht="12.75" x14ac:dyDescent="0.2">
      <c r="A749" s="122"/>
      <c r="B749" s="122"/>
      <c r="C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row>
    <row r="750" spans="1:26" ht="12.75" x14ac:dyDescent="0.2">
      <c r="A750" s="122"/>
      <c r="B750" s="122"/>
      <c r="C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row>
    <row r="751" spans="1:26" ht="12.75" x14ac:dyDescent="0.2">
      <c r="A751" s="122"/>
      <c r="B751" s="122"/>
      <c r="C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row>
    <row r="752" spans="1:26" ht="12.75" x14ac:dyDescent="0.2">
      <c r="A752" s="122"/>
      <c r="B752" s="122"/>
      <c r="C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row>
    <row r="753" spans="1:26" ht="12.75" x14ac:dyDescent="0.2">
      <c r="A753" s="122"/>
      <c r="B753" s="122"/>
      <c r="C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row>
    <row r="754" spans="1:26" ht="12.75" x14ac:dyDescent="0.2">
      <c r="A754" s="122"/>
      <c r="B754" s="122"/>
      <c r="C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row>
    <row r="755" spans="1:26" ht="12.75" x14ac:dyDescent="0.2">
      <c r="A755" s="122"/>
      <c r="B755" s="122"/>
      <c r="C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row>
    <row r="756" spans="1:26" ht="12.75" x14ac:dyDescent="0.2">
      <c r="A756" s="122"/>
      <c r="B756" s="122"/>
      <c r="C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row>
    <row r="757" spans="1:26" ht="12.75" x14ac:dyDescent="0.2">
      <c r="A757" s="122"/>
      <c r="B757" s="122"/>
      <c r="C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row>
    <row r="758" spans="1:26" ht="12.75" x14ac:dyDescent="0.2">
      <c r="A758" s="122"/>
      <c r="B758" s="122"/>
      <c r="C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row>
    <row r="759" spans="1:26" ht="12.75" x14ac:dyDescent="0.2">
      <c r="A759" s="122"/>
      <c r="B759" s="122"/>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row>
    <row r="760" spans="1:26" ht="12.75" x14ac:dyDescent="0.2">
      <c r="A760" s="122"/>
      <c r="B760" s="122"/>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row>
    <row r="761" spans="1:26" ht="12.75" x14ac:dyDescent="0.2">
      <c r="A761" s="122"/>
      <c r="B761" s="122"/>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row>
    <row r="762" spans="1:26" ht="12.75" x14ac:dyDescent="0.2">
      <c r="A762" s="122"/>
      <c r="B762" s="122"/>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row>
    <row r="763" spans="1:26" ht="12.75" x14ac:dyDescent="0.2">
      <c r="A763" s="122"/>
      <c r="B763" s="122"/>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row>
    <row r="764" spans="1:26" ht="12.75" x14ac:dyDescent="0.2">
      <c r="A764" s="122"/>
      <c r="B764" s="122"/>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row>
    <row r="765" spans="1:26" ht="12.75" x14ac:dyDescent="0.2">
      <c r="A765" s="122"/>
      <c r="B765" s="122"/>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row>
    <row r="766" spans="1:26" ht="12.75" x14ac:dyDescent="0.2">
      <c r="A766" s="122"/>
      <c r="B766" s="122"/>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row>
    <row r="767" spans="1:26" ht="12.75" x14ac:dyDescent="0.2">
      <c r="A767" s="122"/>
      <c r="B767" s="122"/>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row>
    <row r="768" spans="1:26" ht="12.75" x14ac:dyDescent="0.2">
      <c r="A768" s="122"/>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row>
    <row r="769" spans="1:26" ht="12.75" x14ac:dyDescent="0.2">
      <c r="A769" s="122"/>
      <c r="B769" s="122"/>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row>
    <row r="770" spans="1:26" ht="12.75" x14ac:dyDescent="0.2">
      <c r="A770" s="122"/>
      <c r="B770" s="122"/>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row>
    <row r="771" spans="1:26" ht="12.75" x14ac:dyDescent="0.2">
      <c r="A771" s="122"/>
      <c r="B771" s="122"/>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row>
    <row r="772" spans="1:26" ht="12.75" x14ac:dyDescent="0.2">
      <c r="A772" s="122"/>
      <c r="B772" s="122"/>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row>
    <row r="773" spans="1:26" ht="12.75" x14ac:dyDescent="0.2">
      <c r="A773" s="122"/>
      <c r="B773" s="122"/>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row>
    <row r="774" spans="1:26" ht="12.75" x14ac:dyDescent="0.2">
      <c r="A774" s="122"/>
      <c r="B774" s="122"/>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row>
    <row r="775" spans="1:26" ht="12.75" x14ac:dyDescent="0.2">
      <c r="A775" s="122"/>
      <c r="B775" s="122"/>
      <c r="C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row>
    <row r="776" spans="1:26" ht="12.75" x14ac:dyDescent="0.2">
      <c r="A776" s="122"/>
      <c r="B776" s="122"/>
      <c r="C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row>
    <row r="777" spans="1:26" ht="12.75" x14ac:dyDescent="0.2">
      <c r="A777" s="122"/>
      <c r="B777" s="122"/>
      <c r="C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row>
    <row r="778" spans="1:26" ht="12.75" x14ac:dyDescent="0.2">
      <c r="A778" s="122"/>
      <c r="B778" s="122"/>
      <c r="C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row>
    <row r="779" spans="1:26" ht="12.75" x14ac:dyDescent="0.2">
      <c r="A779" s="122"/>
      <c r="B779" s="122"/>
      <c r="C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row>
    <row r="780" spans="1:26" ht="12.75" x14ac:dyDescent="0.2">
      <c r="A780" s="122"/>
      <c r="B780" s="122"/>
      <c r="C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row>
    <row r="781" spans="1:26" ht="12.75" x14ac:dyDescent="0.2">
      <c r="A781" s="122"/>
      <c r="B781" s="122"/>
      <c r="C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row>
    <row r="782" spans="1:26" ht="12.75" x14ac:dyDescent="0.2">
      <c r="A782" s="122"/>
      <c r="B782" s="122"/>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row>
    <row r="783" spans="1:26" ht="12.75" x14ac:dyDescent="0.2">
      <c r="A783" s="122"/>
      <c r="B783" s="122"/>
      <c r="C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row>
    <row r="784" spans="1:26" ht="12.75" x14ac:dyDescent="0.2">
      <c r="A784" s="122"/>
      <c r="B784" s="122"/>
      <c r="C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row>
    <row r="785" spans="1:26" ht="12.75" x14ac:dyDescent="0.2">
      <c r="A785" s="122"/>
      <c r="B785" s="122"/>
      <c r="C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row>
    <row r="786" spans="1:26" ht="12.75" x14ac:dyDescent="0.2">
      <c r="A786" s="122"/>
      <c r="B786" s="122"/>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row>
    <row r="787" spans="1:26" ht="12.75" x14ac:dyDescent="0.2">
      <c r="A787" s="122"/>
      <c r="B787" s="122"/>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row>
    <row r="788" spans="1:26" ht="12.75" x14ac:dyDescent="0.2">
      <c r="A788" s="122"/>
      <c r="B788" s="122"/>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row>
    <row r="789" spans="1:26" ht="12.75" x14ac:dyDescent="0.2">
      <c r="A789" s="122"/>
      <c r="B789" s="122"/>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row>
    <row r="790" spans="1:26" ht="12.75" x14ac:dyDescent="0.2">
      <c r="A790" s="122"/>
      <c r="B790" s="122"/>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row>
    <row r="791" spans="1:26" ht="12.75" x14ac:dyDescent="0.2">
      <c r="A791" s="122"/>
      <c r="B791" s="122"/>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row>
    <row r="792" spans="1:26" ht="12.75" x14ac:dyDescent="0.2">
      <c r="A792" s="122"/>
      <c r="B792" s="122"/>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row>
    <row r="793" spans="1:26" ht="12.75" x14ac:dyDescent="0.2">
      <c r="A793" s="122"/>
      <c r="B793" s="122"/>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row>
    <row r="794" spans="1:26" ht="12.75" x14ac:dyDescent="0.2">
      <c r="A794" s="122"/>
      <c r="B794" s="122"/>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row>
    <row r="795" spans="1:26" ht="12.75" x14ac:dyDescent="0.2">
      <c r="A795" s="122"/>
      <c r="B795" s="122"/>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row>
    <row r="796" spans="1:26" ht="12.75" x14ac:dyDescent="0.2">
      <c r="A796" s="122"/>
      <c r="B796" s="122"/>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row>
    <row r="797" spans="1:26" ht="12.75" x14ac:dyDescent="0.2">
      <c r="A797" s="122"/>
      <c r="B797" s="122"/>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row>
    <row r="798" spans="1:26" ht="12.75" x14ac:dyDescent="0.2">
      <c r="A798" s="122"/>
      <c r="B798" s="122"/>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row>
    <row r="799" spans="1:26" ht="12.75" x14ac:dyDescent="0.2">
      <c r="A799" s="122"/>
      <c r="B799" s="122"/>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row>
    <row r="800" spans="1:26" ht="12.75" x14ac:dyDescent="0.2">
      <c r="A800" s="122"/>
      <c r="B800" s="122"/>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row>
    <row r="801" spans="1:26" ht="12.75" x14ac:dyDescent="0.2">
      <c r="A801" s="122"/>
      <c r="B801" s="122"/>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row>
    <row r="802" spans="1:26" ht="12.75" x14ac:dyDescent="0.2">
      <c r="A802" s="122"/>
      <c r="B802" s="122"/>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row>
    <row r="803" spans="1:26" ht="12.75" x14ac:dyDescent="0.2">
      <c r="A803" s="122"/>
      <c r="B803" s="122"/>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row>
    <row r="804" spans="1:26" ht="12.75" x14ac:dyDescent="0.2">
      <c r="A804" s="122"/>
      <c r="B804" s="122"/>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row>
    <row r="805" spans="1:26" ht="12.75" x14ac:dyDescent="0.2">
      <c r="A805" s="122"/>
      <c r="B805" s="122"/>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row>
    <row r="806" spans="1:26" ht="12.75" x14ac:dyDescent="0.2">
      <c r="A806" s="122"/>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row>
    <row r="807" spans="1:26" ht="12.75" x14ac:dyDescent="0.2">
      <c r="A807" s="122"/>
      <c r="B807" s="122"/>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row>
    <row r="808" spans="1:26" ht="12.75" x14ac:dyDescent="0.2">
      <c r="A808" s="122"/>
      <c r="B808" s="122"/>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row>
    <row r="809" spans="1:26" ht="12.75" x14ac:dyDescent="0.2">
      <c r="A809" s="122"/>
      <c r="B809" s="122"/>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row>
    <row r="810" spans="1:26" ht="12.75" x14ac:dyDescent="0.2">
      <c r="A810" s="122"/>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row>
    <row r="811" spans="1:26" ht="12.75" x14ac:dyDescent="0.2">
      <c r="A811" s="122"/>
      <c r="B811" s="122"/>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row>
    <row r="812" spans="1:26" ht="12.75" x14ac:dyDescent="0.2">
      <c r="A812" s="122"/>
      <c r="B812" s="122"/>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row>
    <row r="813" spans="1:26" ht="12.75" x14ac:dyDescent="0.2">
      <c r="A813" s="122"/>
      <c r="B813" s="122"/>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row>
    <row r="814" spans="1:26" ht="12.75" x14ac:dyDescent="0.2">
      <c r="A814" s="122"/>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row>
    <row r="815" spans="1:26" ht="12.75" x14ac:dyDescent="0.2">
      <c r="A815" s="122"/>
      <c r="B815" s="122"/>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row>
    <row r="816" spans="1:26" ht="12.75" x14ac:dyDescent="0.2">
      <c r="A816" s="122"/>
      <c r="B816" s="122"/>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row>
    <row r="817" spans="1:26" ht="12.75" x14ac:dyDescent="0.2">
      <c r="A817" s="122"/>
      <c r="B817" s="122"/>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row>
    <row r="818" spans="1:26" ht="12.75" x14ac:dyDescent="0.2">
      <c r="A818" s="122"/>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row>
    <row r="819" spans="1:26" ht="12.75" x14ac:dyDescent="0.2">
      <c r="A819" s="122"/>
      <c r="B819" s="122"/>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row>
    <row r="820" spans="1:26" ht="12.75" x14ac:dyDescent="0.2">
      <c r="A820" s="122"/>
      <c r="B820" s="122"/>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row>
    <row r="821" spans="1:26" ht="12.75" x14ac:dyDescent="0.2">
      <c r="A821" s="122"/>
      <c r="B821" s="122"/>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row>
    <row r="822" spans="1:26" ht="12.75" x14ac:dyDescent="0.2">
      <c r="A822" s="122"/>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row>
    <row r="823" spans="1:26" ht="12.75" x14ac:dyDescent="0.2">
      <c r="A823" s="122"/>
      <c r="B823" s="122"/>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row>
    <row r="824" spans="1:26" ht="12.75" x14ac:dyDescent="0.2">
      <c r="A824" s="122"/>
      <c r="B824" s="122"/>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row>
    <row r="825" spans="1:26" ht="12.75" x14ac:dyDescent="0.2">
      <c r="A825" s="122"/>
      <c r="B825" s="122"/>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row>
    <row r="826" spans="1:26" ht="12.75" x14ac:dyDescent="0.2">
      <c r="A826" s="122"/>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row>
    <row r="827" spans="1:26" ht="12.75" x14ac:dyDescent="0.2">
      <c r="A827" s="122"/>
      <c r="B827" s="122"/>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row>
    <row r="828" spans="1:26" ht="12.75" x14ac:dyDescent="0.2">
      <c r="A828" s="122"/>
      <c r="B828" s="122"/>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row>
    <row r="829" spans="1:26" ht="12.75" x14ac:dyDescent="0.2">
      <c r="A829" s="122"/>
      <c r="B829" s="122"/>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row>
    <row r="830" spans="1:26" ht="12.75" x14ac:dyDescent="0.2">
      <c r="A830" s="122"/>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row>
    <row r="831" spans="1:26" ht="12.75" x14ac:dyDescent="0.2">
      <c r="A831" s="122"/>
      <c r="B831" s="122"/>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row>
    <row r="832" spans="1:26" ht="12.75" x14ac:dyDescent="0.2">
      <c r="A832" s="122"/>
      <c r="B832" s="122"/>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row>
    <row r="833" spans="1:26" ht="12.75" x14ac:dyDescent="0.2">
      <c r="A833" s="122"/>
      <c r="B833" s="122"/>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row>
    <row r="834" spans="1:26" ht="12.75" x14ac:dyDescent="0.2">
      <c r="A834" s="122"/>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row>
    <row r="835" spans="1:26" ht="12.75" x14ac:dyDescent="0.2">
      <c r="A835" s="122"/>
      <c r="B835" s="122"/>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row>
    <row r="836" spans="1:26" ht="12.75" x14ac:dyDescent="0.2">
      <c r="A836" s="122"/>
      <c r="B836" s="122"/>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row>
    <row r="837" spans="1:26" ht="12.75" x14ac:dyDescent="0.2">
      <c r="A837" s="122"/>
      <c r="B837" s="122"/>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row>
    <row r="838" spans="1:26" ht="12.75" x14ac:dyDescent="0.2">
      <c r="A838" s="122"/>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row>
    <row r="839" spans="1:26" ht="12.75" x14ac:dyDescent="0.2">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row>
    <row r="840" spans="1:26" ht="12.75" x14ac:dyDescent="0.2">
      <c r="A840" s="122"/>
      <c r="B840" s="122"/>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row>
    <row r="841" spans="1:26" ht="12.75" x14ac:dyDescent="0.2">
      <c r="A841" s="122"/>
      <c r="B841" s="122"/>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row>
    <row r="842" spans="1:26" ht="12.75" x14ac:dyDescent="0.2">
      <c r="A842" s="122"/>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row>
    <row r="843" spans="1:26" ht="12.75" x14ac:dyDescent="0.2">
      <c r="A843" s="122"/>
      <c r="B843" s="122"/>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row>
    <row r="844" spans="1:26" ht="12.75" x14ac:dyDescent="0.2">
      <c r="A844" s="122"/>
      <c r="B844" s="122"/>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row>
    <row r="845" spans="1:26" ht="12.75" x14ac:dyDescent="0.2">
      <c r="A845" s="122"/>
      <c r="B845" s="122"/>
      <c r="C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row>
    <row r="846" spans="1:26" ht="12.75" x14ac:dyDescent="0.2">
      <c r="A846" s="122"/>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row>
    <row r="847" spans="1:26" ht="12.75" x14ac:dyDescent="0.2">
      <c r="A847" s="122"/>
      <c r="B847" s="122"/>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row>
    <row r="848" spans="1:26" ht="12.75" x14ac:dyDescent="0.2">
      <c r="A848" s="122"/>
      <c r="B848" s="122"/>
      <c r="C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row>
    <row r="849" spans="1:26" ht="12.75" x14ac:dyDescent="0.2">
      <c r="A849" s="122"/>
      <c r="B849" s="122"/>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row>
    <row r="850" spans="1:26" ht="12.75" x14ac:dyDescent="0.2">
      <c r="A850" s="122"/>
      <c r="B850" s="122"/>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row>
    <row r="851" spans="1:26" ht="12.75" x14ac:dyDescent="0.2">
      <c r="A851" s="122"/>
      <c r="B851" s="122"/>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row>
    <row r="852" spans="1:26" ht="12.75" x14ac:dyDescent="0.2">
      <c r="A852" s="122"/>
      <c r="B852" s="122"/>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row>
    <row r="853" spans="1:26" ht="12.75" x14ac:dyDescent="0.2">
      <c r="A853" s="122"/>
      <c r="B853" s="122"/>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row>
    <row r="854" spans="1:26" ht="12.75" x14ac:dyDescent="0.2">
      <c r="A854" s="122"/>
      <c r="B854" s="122"/>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row>
    <row r="855" spans="1:26" ht="12.75" x14ac:dyDescent="0.2">
      <c r="A855" s="122"/>
      <c r="B855" s="122"/>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row>
    <row r="856" spans="1:26" ht="12.75" x14ac:dyDescent="0.2">
      <c r="A856" s="122"/>
      <c r="B856" s="122"/>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row>
    <row r="857" spans="1:26" ht="12.75" x14ac:dyDescent="0.2">
      <c r="A857" s="122"/>
      <c r="B857" s="122"/>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row>
    <row r="858" spans="1:26" ht="12.75" x14ac:dyDescent="0.2">
      <c r="A858" s="122"/>
      <c r="B858" s="122"/>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row>
    <row r="859" spans="1:26" ht="12.75" x14ac:dyDescent="0.2">
      <c r="A859" s="122"/>
      <c r="B859" s="122"/>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row>
    <row r="860" spans="1:26" ht="12.75" x14ac:dyDescent="0.2">
      <c r="A860" s="122"/>
      <c r="B860" s="122"/>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row>
    <row r="861" spans="1:26" ht="12.75" x14ac:dyDescent="0.2">
      <c r="A861" s="122"/>
      <c r="B861" s="122"/>
      <c r="C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row>
    <row r="862" spans="1:26" ht="12.75" x14ac:dyDescent="0.2">
      <c r="A862" s="122"/>
      <c r="B862" s="122"/>
      <c r="C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row>
    <row r="863" spans="1:26" ht="12.75" x14ac:dyDescent="0.2">
      <c r="A863" s="122"/>
      <c r="B863" s="122"/>
      <c r="C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row>
    <row r="864" spans="1:26" ht="12.75" x14ac:dyDescent="0.2">
      <c r="A864" s="122"/>
      <c r="B864" s="122"/>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row>
    <row r="865" spans="1:26" ht="12.75" x14ac:dyDescent="0.2">
      <c r="A865" s="122"/>
      <c r="B865" s="122"/>
      <c r="C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row>
    <row r="866" spans="1:26" ht="12.75" x14ac:dyDescent="0.2">
      <c r="A866" s="122"/>
      <c r="B866" s="122"/>
      <c r="C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row>
    <row r="867" spans="1:26" ht="12.75" x14ac:dyDescent="0.2">
      <c r="A867" s="122"/>
      <c r="B867" s="122"/>
      <c r="C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row>
    <row r="868" spans="1:26" ht="12.75" x14ac:dyDescent="0.2">
      <c r="A868" s="122"/>
      <c r="B868" s="122"/>
      <c r="C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row>
    <row r="869" spans="1:26" ht="12.75" x14ac:dyDescent="0.2">
      <c r="A869" s="122"/>
      <c r="B869" s="122"/>
      <c r="C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row>
    <row r="870" spans="1:26" ht="12.75" x14ac:dyDescent="0.2">
      <c r="A870" s="122"/>
      <c r="B870" s="122"/>
      <c r="C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row>
    <row r="871" spans="1:26" ht="12.75" x14ac:dyDescent="0.2">
      <c r="A871" s="122"/>
      <c r="B871" s="122"/>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row>
    <row r="872" spans="1:26" ht="12.75" x14ac:dyDescent="0.2">
      <c r="A872" s="122"/>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row>
    <row r="873" spans="1:26" ht="12.75" x14ac:dyDescent="0.2">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row>
    <row r="874" spans="1:26" ht="12.75" x14ac:dyDescent="0.2">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row>
    <row r="875" spans="1:26" ht="12.75" x14ac:dyDescent="0.2">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row>
    <row r="876" spans="1:26" ht="12.75" x14ac:dyDescent="0.2">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row>
    <row r="877" spans="1:26" ht="12.75" x14ac:dyDescent="0.2">
      <c r="A877" s="122"/>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row>
    <row r="878" spans="1:26" ht="12.75" x14ac:dyDescent="0.2">
      <c r="A878" s="122"/>
      <c r="B878" s="122"/>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row>
    <row r="879" spans="1:26" ht="12.75" x14ac:dyDescent="0.2">
      <c r="A879" s="122"/>
      <c r="B879" s="122"/>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row>
    <row r="880" spans="1:26" ht="12.75" x14ac:dyDescent="0.2">
      <c r="A880" s="122"/>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row>
    <row r="881" spans="1:26" ht="12.75" x14ac:dyDescent="0.2">
      <c r="A881" s="122"/>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row>
    <row r="882" spans="1:26" ht="12.75" x14ac:dyDescent="0.2">
      <c r="A882" s="122"/>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row>
    <row r="883" spans="1:26" ht="12.75" x14ac:dyDescent="0.2">
      <c r="A883" s="122"/>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row>
    <row r="884" spans="1:26" ht="12.75" x14ac:dyDescent="0.2">
      <c r="A884" s="122"/>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row>
    <row r="885" spans="1:26" ht="12.75" x14ac:dyDescent="0.2">
      <c r="A885" s="122"/>
      <c r="B885" s="122"/>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row>
    <row r="886" spans="1:26" ht="12.75" x14ac:dyDescent="0.2">
      <c r="A886" s="122"/>
      <c r="B886" s="122"/>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row>
    <row r="887" spans="1:26" ht="12.75" x14ac:dyDescent="0.2">
      <c r="A887" s="122"/>
      <c r="B887" s="122"/>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row>
    <row r="888" spans="1:26" ht="12.75" x14ac:dyDescent="0.2">
      <c r="A888" s="122"/>
      <c r="B888" s="122"/>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row>
    <row r="889" spans="1:26" ht="12.75" x14ac:dyDescent="0.2">
      <c r="A889" s="122"/>
      <c r="B889" s="122"/>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row>
    <row r="890" spans="1:26" ht="12.75" x14ac:dyDescent="0.2">
      <c r="A890" s="122"/>
      <c r="B890" s="122"/>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row>
    <row r="891" spans="1:26" ht="12.75" x14ac:dyDescent="0.2">
      <c r="A891" s="122"/>
      <c r="B891" s="122"/>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row>
    <row r="892" spans="1:26" ht="12.75" x14ac:dyDescent="0.2">
      <c r="A892" s="122"/>
      <c r="B892" s="122"/>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row>
    <row r="893" spans="1:26" ht="12.75" x14ac:dyDescent="0.2">
      <c r="A893" s="122"/>
      <c r="B893" s="122"/>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row>
    <row r="894" spans="1:26" ht="12.75" x14ac:dyDescent="0.2">
      <c r="A894" s="122"/>
      <c r="B894" s="122"/>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row>
    <row r="895" spans="1:26" ht="12.75" x14ac:dyDescent="0.2">
      <c r="A895" s="122"/>
      <c r="B895" s="122"/>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row>
    <row r="896" spans="1:26" ht="12.75" x14ac:dyDescent="0.2">
      <c r="A896" s="122"/>
      <c r="B896" s="122"/>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row>
    <row r="897" spans="1:26" ht="12.75" x14ac:dyDescent="0.2">
      <c r="A897" s="122"/>
      <c r="B897" s="122"/>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row>
    <row r="898" spans="1:26" ht="12.75" x14ac:dyDescent="0.2">
      <c r="A898" s="122"/>
      <c r="B898" s="122"/>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row>
    <row r="899" spans="1:26" ht="12.75" x14ac:dyDescent="0.2">
      <c r="A899" s="122"/>
      <c r="B899" s="122"/>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row>
    <row r="900" spans="1:26" ht="12.75" x14ac:dyDescent="0.2">
      <c r="A900" s="122"/>
      <c r="B900" s="122"/>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row>
    <row r="901" spans="1:26" ht="12.75" x14ac:dyDescent="0.2">
      <c r="A901" s="122"/>
      <c r="B901" s="122"/>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row>
    <row r="902" spans="1:26" ht="12.75" x14ac:dyDescent="0.2">
      <c r="A902" s="122"/>
      <c r="B902" s="122"/>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row>
    <row r="903" spans="1:26" ht="12.75" x14ac:dyDescent="0.2">
      <c r="A903" s="122"/>
      <c r="B903" s="122"/>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row>
    <row r="904" spans="1:26" ht="12.75" x14ac:dyDescent="0.2">
      <c r="A904" s="122"/>
      <c r="B904" s="122"/>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row>
    <row r="905" spans="1:26" ht="12.75" x14ac:dyDescent="0.2">
      <c r="A905" s="122"/>
      <c r="B905" s="122"/>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row>
    <row r="906" spans="1:26" ht="12.75" x14ac:dyDescent="0.2">
      <c r="A906" s="122"/>
      <c r="B906" s="122"/>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row>
    <row r="907" spans="1:26" ht="12.75" x14ac:dyDescent="0.2">
      <c r="A907" s="122"/>
      <c r="B907" s="122"/>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row>
    <row r="908" spans="1:26" ht="12.75" x14ac:dyDescent="0.2">
      <c r="A908" s="122"/>
      <c r="B908" s="122"/>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row>
    <row r="909" spans="1:26" ht="12.75" x14ac:dyDescent="0.2">
      <c r="A909" s="122"/>
      <c r="B909" s="122"/>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row>
    <row r="910" spans="1:26" ht="12.75" x14ac:dyDescent="0.2">
      <c r="A910" s="122"/>
      <c r="B910" s="122"/>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row>
    <row r="911" spans="1:26" ht="12.75" x14ac:dyDescent="0.2">
      <c r="A911" s="122"/>
      <c r="B911" s="122"/>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row>
    <row r="912" spans="1:26" ht="12.75" x14ac:dyDescent="0.2">
      <c r="A912" s="122"/>
      <c r="B912" s="122"/>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row>
    <row r="913" spans="1:26" ht="12.75" x14ac:dyDescent="0.2">
      <c r="A913" s="122"/>
      <c r="B913" s="122"/>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row>
    <row r="914" spans="1:26" ht="12.75" x14ac:dyDescent="0.2">
      <c r="A914" s="122"/>
      <c r="B914" s="122"/>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row>
    <row r="915" spans="1:26" ht="12.75" x14ac:dyDescent="0.2">
      <c r="A915" s="122"/>
      <c r="B915" s="122"/>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row>
    <row r="916" spans="1:26" ht="12.75" x14ac:dyDescent="0.2">
      <c r="A916" s="122"/>
      <c r="B916" s="122"/>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row>
    <row r="917" spans="1:26" ht="12.75" x14ac:dyDescent="0.2">
      <c r="A917" s="122"/>
      <c r="B917" s="122"/>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row>
    <row r="918" spans="1:26" ht="12.75" x14ac:dyDescent="0.2">
      <c r="A918" s="122"/>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row>
    <row r="919" spans="1:26" ht="12.75" x14ac:dyDescent="0.2">
      <c r="A919" s="122"/>
      <c r="B919" s="122"/>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row>
    <row r="920" spans="1:26" ht="12.75" x14ac:dyDescent="0.2">
      <c r="A920" s="122"/>
      <c r="B920" s="122"/>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row>
    <row r="921" spans="1:26" ht="12.75" x14ac:dyDescent="0.2">
      <c r="A921" s="122"/>
      <c r="B921" s="122"/>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row>
    <row r="922" spans="1:26" ht="12.75" x14ac:dyDescent="0.2">
      <c r="A922" s="122"/>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row>
    <row r="923" spans="1:26" ht="12.75" x14ac:dyDescent="0.2">
      <c r="A923" s="122"/>
      <c r="B923" s="122"/>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row>
    <row r="924" spans="1:26" ht="12.75" x14ac:dyDescent="0.2">
      <c r="A924" s="122"/>
      <c r="B924" s="122"/>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row>
    <row r="925" spans="1:26" ht="12.75" x14ac:dyDescent="0.2">
      <c r="A925" s="122"/>
      <c r="B925" s="122"/>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row>
    <row r="926" spans="1:26" ht="12.75" x14ac:dyDescent="0.2">
      <c r="A926" s="122"/>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row>
    <row r="927" spans="1:26" ht="12.75" x14ac:dyDescent="0.2">
      <c r="A927" s="122"/>
      <c r="B927" s="122"/>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row>
    <row r="928" spans="1:26" ht="12.75" x14ac:dyDescent="0.2">
      <c r="A928" s="122"/>
      <c r="B928" s="122"/>
      <c r="C928" s="122"/>
      <c r="D928" s="122"/>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row>
    <row r="929" spans="1:26" ht="12.75" x14ac:dyDescent="0.2">
      <c r="A929" s="122"/>
      <c r="B929" s="122"/>
      <c r="C929" s="122"/>
      <c r="D929" s="122"/>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row>
    <row r="930" spans="1:26" ht="12.75" x14ac:dyDescent="0.2">
      <c r="A930" s="122"/>
      <c r="B930" s="122"/>
      <c r="C930" s="122"/>
      <c r="D930" s="122"/>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row>
    <row r="931" spans="1:26" ht="12.75" x14ac:dyDescent="0.2">
      <c r="A931" s="122"/>
      <c r="B931" s="122"/>
      <c r="C931" s="122"/>
      <c r="D931" s="122"/>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row>
    <row r="932" spans="1:26" ht="12.75" x14ac:dyDescent="0.2">
      <c r="A932" s="122"/>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row>
    <row r="933" spans="1:26" ht="12.75" x14ac:dyDescent="0.2">
      <c r="A933" s="122"/>
      <c r="B933" s="122"/>
      <c r="C933" s="122"/>
      <c r="D933" s="122"/>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row>
    <row r="934" spans="1:26" ht="12.75" x14ac:dyDescent="0.2">
      <c r="A934" s="122"/>
      <c r="B934" s="122"/>
      <c r="C934" s="122"/>
      <c r="D934" s="122"/>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row>
    <row r="935" spans="1:26" ht="12.75" x14ac:dyDescent="0.2">
      <c r="A935" s="122"/>
      <c r="B935" s="122"/>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row>
    <row r="936" spans="1:26" ht="12.75" x14ac:dyDescent="0.2">
      <c r="A936" s="122"/>
      <c r="B936" s="122"/>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row>
    <row r="937" spans="1:26" ht="12.75" x14ac:dyDescent="0.2">
      <c r="A937" s="122"/>
      <c r="B937" s="122"/>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row>
    <row r="938" spans="1:26" ht="12.75" x14ac:dyDescent="0.2">
      <c r="A938" s="122"/>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row>
    <row r="939" spans="1:26" ht="12.75" x14ac:dyDescent="0.2">
      <c r="A939" s="122"/>
      <c r="B939" s="122"/>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row>
    <row r="940" spans="1:26" ht="12.75" x14ac:dyDescent="0.2">
      <c r="A940" s="122"/>
      <c r="B940" s="122"/>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row>
    <row r="941" spans="1:26" ht="12.75" x14ac:dyDescent="0.2">
      <c r="A941" s="122"/>
      <c r="B941" s="122"/>
      <c r="C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row>
    <row r="942" spans="1:26" ht="12.75" x14ac:dyDescent="0.2">
      <c r="A942" s="122"/>
      <c r="B942" s="122"/>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row>
    <row r="943" spans="1:26" ht="12.75" x14ac:dyDescent="0.2">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row>
    <row r="944" spans="1:26" ht="12.75" x14ac:dyDescent="0.2">
      <c r="A944" s="122"/>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row>
    <row r="945" spans="1:26" ht="12.75" x14ac:dyDescent="0.2">
      <c r="A945" s="122"/>
      <c r="B945" s="122"/>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row>
    <row r="946" spans="1:26" ht="12.75" x14ac:dyDescent="0.2">
      <c r="A946" s="122"/>
      <c r="B946" s="122"/>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row>
    <row r="947" spans="1:26" ht="12.75" x14ac:dyDescent="0.2">
      <c r="A947" s="122"/>
      <c r="B947" s="122"/>
      <c r="C947" s="122"/>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row>
    <row r="948" spans="1:26" ht="12.75" x14ac:dyDescent="0.2">
      <c r="A948" s="122"/>
      <c r="B948" s="122"/>
      <c r="C948" s="122"/>
      <c r="D948" s="122"/>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row>
    <row r="949" spans="1:26" ht="12.75" x14ac:dyDescent="0.2">
      <c r="A949" s="122"/>
      <c r="B949" s="122"/>
      <c r="C949" s="122"/>
      <c r="D949" s="122"/>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row>
    <row r="950" spans="1:26" ht="12.75" x14ac:dyDescent="0.2">
      <c r="A950" s="122"/>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row>
    <row r="951" spans="1:26" ht="12.75" x14ac:dyDescent="0.2">
      <c r="A951" s="122"/>
      <c r="B951" s="122"/>
      <c r="C951" s="122"/>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row>
    <row r="952" spans="1:26" ht="12.75" x14ac:dyDescent="0.2">
      <c r="A952" s="122"/>
      <c r="B952" s="122"/>
      <c r="C952" s="122"/>
      <c r="D952" s="122"/>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row>
    <row r="953" spans="1:26" ht="12.75" x14ac:dyDescent="0.2">
      <c r="A953" s="122"/>
      <c r="B953" s="122"/>
      <c r="C953" s="122"/>
      <c r="D953" s="122"/>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row>
    <row r="954" spans="1:26" ht="12.75" x14ac:dyDescent="0.2">
      <c r="A954" s="122"/>
      <c r="B954" s="122"/>
      <c r="C954" s="122"/>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row>
    <row r="955" spans="1:26" ht="12.75" x14ac:dyDescent="0.2">
      <c r="A955" s="122"/>
      <c r="B955" s="122"/>
      <c r="C955" s="122"/>
      <c r="D955" s="122"/>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row>
    <row r="956" spans="1:26" ht="12.75" x14ac:dyDescent="0.2">
      <c r="A956" s="122"/>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row>
    <row r="957" spans="1:26" ht="12.75" x14ac:dyDescent="0.2">
      <c r="A957" s="122"/>
      <c r="B957" s="122"/>
      <c r="C957" s="122"/>
      <c r="D957" s="122"/>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row>
    <row r="958" spans="1:26" ht="12.75" x14ac:dyDescent="0.2">
      <c r="A958" s="122"/>
      <c r="B958" s="122"/>
      <c r="C958" s="122"/>
      <c r="D958" s="122"/>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row>
    <row r="959" spans="1:26" ht="12.75" x14ac:dyDescent="0.2">
      <c r="A959" s="122"/>
      <c r="B959" s="122"/>
      <c r="C959" s="122"/>
      <c r="D959" s="122"/>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row>
    <row r="960" spans="1:26" ht="12.75" x14ac:dyDescent="0.2">
      <c r="A960" s="122"/>
      <c r="B960" s="122"/>
      <c r="C960" s="122"/>
      <c r="D960" s="122"/>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row>
    <row r="961" spans="1:26" ht="12.75" x14ac:dyDescent="0.2">
      <c r="A961" s="122"/>
      <c r="B961" s="122"/>
      <c r="C961" s="122"/>
      <c r="D961" s="122"/>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row>
    <row r="962" spans="1:26" ht="12.75" x14ac:dyDescent="0.2">
      <c r="A962" s="122"/>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row>
    <row r="963" spans="1:26" ht="12.75" x14ac:dyDescent="0.2">
      <c r="A963" s="122"/>
      <c r="B963" s="122"/>
      <c r="C963" s="122"/>
      <c r="D963" s="122"/>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row>
    <row r="964" spans="1:26" ht="12.75" x14ac:dyDescent="0.2">
      <c r="A964" s="122"/>
      <c r="B964" s="122"/>
      <c r="C964" s="122"/>
      <c r="D964" s="122"/>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row>
    <row r="965" spans="1:26" ht="12.75" x14ac:dyDescent="0.2">
      <c r="A965" s="122"/>
      <c r="B965" s="122"/>
      <c r="C965" s="122"/>
      <c r="D965" s="122"/>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row>
    <row r="966" spans="1:26" ht="12.75" x14ac:dyDescent="0.2">
      <c r="A966" s="122"/>
      <c r="B966" s="122"/>
      <c r="C966" s="122"/>
      <c r="D966" s="122"/>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row>
    <row r="967" spans="1:26" ht="12.75" x14ac:dyDescent="0.2">
      <c r="A967" s="122"/>
      <c r="B967" s="122"/>
      <c r="C967" s="122"/>
      <c r="D967" s="122"/>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row>
    <row r="968" spans="1:26" ht="12.75" x14ac:dyDescent="0.2">
      <c r="A968" s="122"/>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row>
    <row r="969" spans="1:26" ht="12.75" x14ac:dyDescent="0.2">
      <c r="A969" s="122"/>
      <c r="B969" s="122"/>
      <c r="C969" s="122"/>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row>
    <row r="970" spans="1:26" ht="12.75" x14ac:dyDescent="0.2">
      <c r="A970" s="122"/>
      <c r="B970" s="122"/>
      <c r="C970" s="122"/>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row>
    <row r="971" spans="1:26" ht="12.75" x14ac:dyDescent="0.2">
      <c r="A971" s="122"/>
      <c r="B971" s="122"/>
      <c r="C971" s="122"/>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row>
    <row r="972" spans="1:26" ht="12.75" x14ac:dyDescent="0.2">
      <c r="A972" s="122"/>
      <c r="B972" s="122"/>
      <c r="C972" s="122"/>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row>
    <row r="973" spans="1:26" ht="12.75" x14ac:dyDescent="0.2">
      <c r="A973" s="122"/>
      <c r="B973" s="122"/>
      <c r="C973" s="122"/>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row>
    <row r="974" spans="1:26" ht="12.75" x14ac:dyDescent="0.2">
      <c r="A974" s="122"/>
      <c r="B974" s="122"/>
      <c r="C974" s="122"/>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row>
    <row r="975" spans="1:26" ht="12.75" x14ac:dyDescent="0.2">
      <c r="A975" s="122"/>
      <c r="B975" s="122"/>
      <c r="C975" s="122"/>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row>
    <row r="976" spans="1:26" ht="12.75" x14ac:dyDescent="0.2">
      <c r="A976" s="122"/>
      <c r="B976" s="122"/>
      <c r="C976" s="122"/>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row>
    <row r="977" spans="1:26" ht="12.75" x14ac:dyDescent="0.2">
      <c r="A977" s="122"/>
      <c r="B977" s="122"/>
      <c r="C977" s="122"/>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row>
    <row r="978" spans="1:26" ht="12.75" x14ac:dyDescent="0.2">
      <c r="A978" s="122"/>
      <c r="B978" s="122"/>
      <c r="C978" s="122"/>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row>
    <row r="979" spans="1:26" ht="12.75" x14ac:dyDescent="0.2">
      <c r="A979" s="122"/>
      <c r="B979" s="122"/>
      <c r="C979" s="122"/>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row>
    <row r="980" spans="1:26" ht="12.75" x14ac:dyDescent="0.2">
      <c r="A980" s="122"/>
      <c r="B980" s="122"/>
      <c r="C980" s="122"/>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row>
    <row r="981" spans="1:26" ht="12.75" x14ac:dyDescent="0.2">
      <c r="A981" s="122"/>
      <c r="B981" s="122"/>
      <c r="C981" s="122"/>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row>
    <row r="982" spans="1:26" ht="12.75" x14ac:dyDescent="0.2">
      <c r="A982" s="122"/>
      <c r="B982" s="122"/>
      <c r="C982" s="122"/>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row>
    <row r="983" spans="1:26" ht="12.75" x14ac:dyDescent="0.2">
      <c r="A983" s="122"/>
      <c r="B983" s="122"/>
      <c r="C983" s="122"/>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row>
    <row r="984" spans="1:26" ht="12.75" x14ac:dyDescent="0.2">
      <c r="A984" s="122"/>
      <c r="B984" s="122"/>
      <c r="C984" s="122"/>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row>
    <row r="985" spans="1:26" ht="12.75" x14ac:dyDescent="0.2">
      <c r="A985" s="122"/>
      <c r="B985" s="122"/>
      <c r="C985" s="122"/>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row>
    <row r="986" spans="1:26" ht="12.75" x14ac:dyDescent="0.2">
      <c r="A986" s="122"/>
      <c r="B986" s="122"/>
      <c r="C986" s="122"/>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row>
    <row r="987" spans="1:26" ht="12.75" x14ac:dyDescent="0.2">
      <c r="A987" s="122"/>
      <c r="B987" s="122"/>
      <c r="C987" s="122"/>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row>
    <row r="988" spans="1:26" ht="12.75" x14ac:dyDescent="0.2">
      <c r="A988" s="122"/>
      <c r="B988" s="122"/>
      <c r="C988" s="122"/>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row>
    <row r="989" spans="1:26" ht="12.75" x14ac:dyDescent="0.2">
      <c r="A989" s="122"/>
      <c r="B989" s="122"/>
      <c r="C989" s="122"/>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row>
    <row r="990" spans="1:26" ht="12.75" x14ac:dyDescent="0.2">
      <c r="A990" s="122"/>
      <c r="B990" s="122"/>
      <c r="C990" s="122"/>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row>
    <row r="991" spans="1:26" ht="12.75" x14ac:dyDescent="0.2">
      <c r="A991" s="122"/>
      <c r="B991" s="122"/>
      <c r="C991" s="122"/>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row>
    <row r="992" spans="1:26" ht="12.75" x14ac:dyDescent="0.2">
      <c r="A992" s="122"/>
      <c r="B992" s="122"/>
      <c r="C992" s="122"/>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row>
    <row r="993" spans="1:26" ht="12.75" x14ac:dyDescent="0.2">
      <c r="A993" s="122"/>
      <c r="B993" s="122"/>
      <c r="C993" s="122"/>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row>
    <row r="994" spans="1:26" ht="12.75" x14ac:dyDescent="0.2">
      <c r="A994" s="122"/>
      <c r="B994" s="122"/>
      <c r="C994" s="122"/>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row>
    <row r="995" spans="1:26" ht="12.75" x14ac:dyDescent="0.2">
      <c r="A995" s="122"/>
      <c r="B995" s="122"/>
      <c r="C995" s="122"/>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row>
    <row r="996" spans="1:26" ht="12.75" x14ac:dyDescent="0.2">
      <c r="A996" s="122"/>
      <c r="B996" s="122"/>
      <c r="C996" s="122"/>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row>
    <row r="997" spans="1:26" ht="12.75" x14ac:dyDescent="0.2">
      <c r="A997" s="122"/>
      <c r="B997" s="122"/>
      <c r="C997" s="122"/>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row>
    <row r="998" spans="1:26" ht="12.75" x14ac:dyDescent="0.2">
      <c r="A998" s="122"/>
      <c r="B998" s="122"/>
      <c r="C998" s="122"/>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row>
    <row r="999" spans="1:26" ht="12.75" x14ac:dyDescent="0.2">
      <c r="A999" s="122"/>
      <c r="B999" s="122"/>
      <c r="C999" s="122"/>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row>
    <row r="1000" spans="1:26" ht="12.75" x14ac:dyDescent="0.2">
      <c r="A1000" s="122"/>
      <c r="B1000" s="122"/>
      <c r="C1000" s="122"/>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row>
    <row r="1001" spans="1:26" ht="12.75" x14ac:dyDescent="0.2">
      <c r="A1001" s="122"/>
      <c r="B1001" s="122"/>
      <c r="C1001" s="122"/>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row>
    <row r="1002" spans="1:26" ht="12.75" x14ac:dyDescent="0.2">
      <c r="A1002" s="122"/>
      <c r="B1002" s="122"/>
      <c r="C1002" s="122"/>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row>
    <row r="1003" spans="1:26" ht="12.75" x14ac:dyDescent="0.2">
      <c r="A1003" s="122"/>
      <c r="B1003" s="122"/>
      <c r="C1003" s="122"/>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row>
    <row r="1004" spans="1:26" ht="12.75" x14ac:dyDescent="0.2">
      <c r="A1004" s="122"/>
      <c r="B1004" s="122"/>
      <c r="C1004" s="122"/>
      <c r="D1004" s="122"/>
      <c r="E1004" s="122"/>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row>
    <row r="1005" spans="1:26" ht="12.75" x14ac:dyDescent="0.2">
      <c r="A1005" s="122"/>
      <c r="B1005" s="122"/>
      <c r="C1005" s="122"/>
      <c r="D1005" s="122"/>
      <c r="E1005" s="122"/>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row>
    <row r="1006" spans="1:26" ht="12.75" x14ac:dyDescent="0.2">
      <c r="A1006" s="122"/>
      <c r="B1006" s="122"/>
      <c r="C1006" s="122"/>
      <c r="D1006" s="122"/>
      <c r="E1006" s="122"/>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row>
    <row r="1007" spans="1:26" ht="12.75" x14ac:dyDescent="0.2">
      <c r="A1007" s="122"/>
      <c r="B1007" s="122"/>
      <c r="C1007" s="122"/>
      <c r="D1007" s="122"/>
      <c r="E1007" s="122"/>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row>
    <row r="1008" spans="1:26" ht="12.75" x14ac:dyDescent="0.2">
      <c r="A1008" s="122"/>
      <c r="B1008" s="122"/>
      <c r="C1008" s="122"/>
      <c r="D1008" s="122"/>
      <c r="E1008" s="122"/>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row>
    <row r="1009" spans="1:26" ht="12.75" x14ac:dyDescent="0.2">
      <c r="A1009" s="122"/>
      <c r="B1009" s="122"/>
      <c r="C1009" s="122"/>
      <c r="D1009" s="122"/>
      <c r="E1009" s="122"/>
      <c r="F1009" s="122"/>
      <c r="G1009" s="122"/>
      <c r="H1009" s="122"/>
      <c r="I1009" s="122"/>
      <c r="J1009" s="122"/>
      <c r="K1009" s="122"/>
      <c r="L1009" s="122"/>
      <c r="M1009" s="122"/>
      <c r="N1009" s="122"/>
      <c r="O1009" s="122"/>
      <c r="P1009" s="122"/>
      <c r="Q1009" s="122"/>
      <c r="R1009" s="122"/>
      <c r="S1009" s="122"/>
      <c r="T1009" s="122"/>
      <c r="U1009" s="122"/>
      <c r="V1009" s="122"/>
      <c r="W1009" s="122"/>
      <c r="X1009" s="122"/>
      <c r="Y1009" s="122"/>
      <c r="Z1009" s="122"/>
    </row>
    <row r="1010" spans="1:26" ht="12.75" x14ac:dyDescent="0.2">
      <c r="A1010" s="122"/>
      <c r="B1010" s="122"/>
      <c r="C1010" s="122"/>
      <c r="D1010" s="122"/>
      <c r="E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row>
    <row r="1011" spans="1:26" ht="12.75" x14ac:dyDescent="0.2">
      <c r="A1011" s="122"/>
      <c r="B1011" s="122"/>
      <c r="C1011" s="122"/>
      <c r="D1011" s="122"/>
      <c r="E1011" s="122"/>
      <c r="F1011" s="122"/>
      <c r="G1011" s="122"/>
      <c r="H1011" s="122"/>
      <c r="I1011" s="122"/>
      <c r="J1011" s="122"/>
      <c r="K1011" s="122"/>
      <c r="L1011" s="122"/>
      <c r="M1011" s="122"/>
      <c r="N1011" s="122"/>
      <c r="O1011" s="122"/>
      <c r="P1011" s="122"/>
      <c r="Q1011" s="122"/>
      <c r="R1011" s="122"/>
      <c r="S1011" s="122"/>
      <c r="T1011" s="122"/>
      <c r="U1011" s="122"/>
      <c r="V1011" s="122"/>
      <c r="W1011" s="122"/>
      <c r="X1011" s="122"/>
      <c r="Y1011" s="122"/>
      <c r="Z1011" s="122"/>
    </row>
    <row r="1012" spans="1:26" ht="12.75" x14ac:dyDescent="0.2">
      <c r="A1012" s="122"/>
      <c r="B1012" s="122"/>
      <c r="C1012" s="122"/>
      <c r="D1012" s="122"/>
      <c r="E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row>
    <row r="1013" spans="1:26" ht="12.75" x14ac:dyDescent="0.2">
      <c r="A1013" s="122"/>
      <c r="B1013" s="122"/>
      <c r="C1013" s="122"/>
      <c r="D1013" s="122"/>
      <c r="E1013" s="122"/>
      <c r="F1013" s="122"/>
      <c r="G1013" s="122"/>
      <c r="H1013" s="122"/>
      <c r="I1013" s="122"/>
      <c r="J1013" s="122"/>
      <c r="K1013" s="122"/>
      <c r="L1013" s="122"/>
      <c r="M1013" s="122"/>
      <c r="N1013" s="122"/>
      <c r="O1013" s="122"/>
      <c r="P1013" s="122"/>
      <c r="Q1013" s="122"/>
      <c r="R1013" s="122"/>
      <c r="S1013" s="122"/>
      <c r="T1013" s="122"/>
      <c r="U1013" s="122"/>
      <c r="V1013" s="122"/>
      <c r="W1013" s="122"/>
      <c r="X1013" s="122"/>
      <c r="Y1013" s="122"/>
      <c r="Z1013" s="122"/>
    </row>
    <row r="1014" spans="1:26" ht="12.75" x14ac:dyDescent="0.2">
      <c r="A1014" s="122"/>
      <c r="B1014" s="122"/>
      <c r="C1014" s="122"/>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row>
    <row r="1015" spans="1:26" ht="12.75" x14ac:dyDescent="0.2">
      <c r="A1015" s="122"/>
      <c r="B1015" s="122"/>
      <c r="C1015" s="122"/>
      <c r="D1015" s="122"/>
      <c r="E1015" s="122"/>
      <c r="F1015" s="122"/>
      <c r="G1015" s="122"/>
      <c r="H1015" s="122"/>
      <c r="I1015" s="122"/>
      <c r="J1015" s="122"/>
      <c r="K1015" s="122"/>
      <c r="L1015" s="122"/>
      <c r="M1015" s="122"/>
      <c r="N1015" s="122"/>
      <c r="O1015" s="122"/>
      <c r="P1015" s="122"/>
      <c r="Q1015" s="122"/>
      <c r="R1015" s="122"/>
      <c r="S1015" s="122"/>
      <c r="T1015" s="122"/>
      <c r="U1015" s="122"/>
      <c r="V1015" s="122"/>
      <c r="W1015" s="122"/>
      <c r="X1015" s="122"/>
      <c r="Y1015" s="122"/>
      <c r="Z1015" s="122"/>
    </row>
    <row r="1016" spans="1:26" ht="12.75" x14ac:dyDescent="0.2">
      <c r="A1016" s="122"/>
      <c r="B1016" s="122"/>
      <c r="C1016" s="122"/>
      <c r="D1016" s="122"/>
      <c r="E1016" s="122"/>
      <c r="F1016" s="122"/>
      <c r="G1016" s="122"/>
      <c r="H1016" s="122"/>
      <c r="I1016" s="122"/>
      <c r="J1016" s="122"/>
      <c r="K1016" s="122"/>
      <c r="L1016" s="122"/>
      <c r="M1016" s="122"/>
      <c r="N1016" s="122"/>
      <c r="O1016" s="122"/>
      <c r="P1016" s="122"/>
      <c r="Q1016" s="122"/>
      <c r="R1016" s="122"/>
      <c r="S1016" s="122"/>
      <c r="T1016" s="122"/>
      <c r="U1016" s="122"/>
      <c r="V1016" s="122"/>
      <c r="W1016" s="122"/>
      <c r="X1016" s="122"/>
      <c r="Y1016" s="122"/>
      <c r="Z1016" s="122"/>
    </row>
    <row r="1017" spans="1:26" ht="12.75" x14ac:dyDescent="0.2">
      <c r="A1017" s="122"/>
      <c r="B1017" s="122"/>
      <c r="C1017" s="122"/>
      <c r="D1017" s="122"/>
      <c r="E1017" s="122"/>
      <c r="F1017" s="122"/>
      <c r="G1017" s="122"/>
      <c r="H1017" s="122"/>
      <c r="I1017" s="122"/>
      <c r="J1017" s="122"/>
      <c r="K1017" s="122"/>
      <c r="L1017" s="122"/>
      <c r="M1017" s="122"/>
      <c r="N1017" s="122"/>
      <c r="O1017" s="122"/>
      <c r="P1017" s="122"/>
      <c r="Q1017" s="122"/>
      <c r="R1017" s="122"/>
      <c r="S1017" s="122"/>
      <c r="T1017" s="122"/>
      <c r="U1017" s="122"/>
      <c r="V1017" s="122"/>
      <c r="W1017" s="122"/>
      <c r="X1017" s="122"/>
      <c r="Y1017" s="122"/>
      <c r="Z1017" s="122"/>
    </row>
    <row r="1018" spans="1:26" ht="12.75" x14ac:dyDescent="0.2">
      <c r="A1018" s="122"/>
      <c r="B1018" s="122"/>
      <c r="C1018" s="122"/>
      <c r="D1018" s="122"/>
      <c r="E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row>
    <row r="1019" spans="1:26" ht="12.75" x14ac:dyDescent="0.2">
      <c r="A1019" s="122"/>
      <c r="B1019" s="122"/>
      <c r="C1019" s="122"/>
      <c r="D1019" s="122"/>
      <c r="E1019" s="122"/>
      <c r="F1019" s="122"/>
      <c r="G1019" s="122"/>
      <c r="H1019" s="122"/>
      <c r="I1019" s="122"/>
      <c r="J1019" s="122"/>
      <c r="K1019" s="122"/>
      <c r="L1019" s="122"/>
      <c r="M1019" s="122"/>
      <c r="N1019" s="122"/>
      <c r="O1019" s="122"/>
      <c r="P1019" s="122"/>
      <c r="Q1019" s="122"/>
      <c r="R1019" s="122"/>
      <c r="S1019" s="122"/>
      <c r="T1019" s="122"/>
      <c r="U1019" s="122"/>
      <c r="V1019" s="122"/>
      <c r="W1019" s="122"/>
      <c r="X1019" s="122"/>
      <c r="Y1019" s="122"/>
      <c r="Z1019" s="122"/>
    </row>
    <row r="1020" spans="1:26" ht="12.75" x14ac:dyDescent="0.2">
      <c r="A1020" s="122"/>
      <c r="B1020" s="122"/>
      <c r="C1020" s="122"/>
      <c r="D1020" s="122"/>
      <c r="E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row>
    <row r="1021" spans="1:26" ht="12.75" x14ac:dyDescent="0.2">
      <c r="A1021" s="122"/>
      <c r="B1021" s="122"/>
      <c r="C1021" s="122"/>
      <c r="D1021" s="122"/>
      <c r="E1021" s="122"/>
      <c r="F1021" s="122"/>
      <c r="G1021" s="122"/>
      <c r="H1021" s="122"/>
      <c r="I1021" s="122"/>
      <c r="J1021" s="122"/>
      <c r="K1021" s="122"/>
      <c r="L1021" s="122"/>
      <c r="M1021" s="122"/>
      <c r="N1021" s="122"/>
      <c r="O1021" s="122"/>
      <c r="P1021" s="122"/>
      <c r="Q1021" s="122"/>
      <c r="R1021" s="122"/>
      <c r="S1021" s="122"/>
      <c r="T1021" s="122"/>
      <c r="U1021" s="122"/>
      <c r="V1021" s="122"/>
      <c r="W1021" s="122"/>
      <c r="X1021" s="122"/>
      <c r="Y1021" s="122"/>
      <c r="Z1021" s="122"/>
    </row>
    <row r="1022" spans="1:26" ht="12.75" x14ac:dyDescent="0.2">
      <c r="A1022" s="122"/>
      <c r="B1022" s="122"/>
      <c r="C1022" s="122"/>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row>
    <row r="1023" spans="1:26" ht="12.75" x14ac:dyDescent="0.2">
      <c r="A1023" s="122"/>
      <c r="B1023" s="122"/>
      <c r="C1023" s="122"/>
      <c r="D1023" s="122"/>
      <c r="E1023" s="122"/>
      <c r="F1023" s="122"/>
      <c r="G1023" s="122"/>
      <c r="H1023" s="122"/>
      <c r="I1023" s="122"/>
      <c r="J1023" s="122"/>
      <c r="K1023" s="122"/>
      <c r="L1023" s="122"/>
      <c r="M1023" s="122"/>
      <c r="N1023" s="122"/>
      <c r="O1023" s="122"/>
      <c r="P1023" s="122"/>
      <c r="Q1023" s="122"/>
      <c r="R1023" s="122"/>
      <c r="S1023" s="122"/>
      <c r="T1023" s="122"/>
      <c r="U1023" s="122"/>
      <c r="V1023" s="122"/>
      <c r="W1023" s="122"/>
      <c r="X1023" s="122"/>
      <c r="Y1023" s="122"/>
      <c r="Z1023" s="122"/>
    </row>
    <row r="1024" spans="1:26" ht="12.75" x14ac:dyDescent="0.2">
      <c r="A1024" s="122"/>
      <c r="B1024" s="122"/>
      <c r="C1024" s="122"/>
      <c r="D1024" s="122"/>
      <c r="E1024" s="122"/>
      <c r="F1024" s="122"/>
      <c r="G1024" s="122"/>
      <c r="H1024" s="122"/>
      <c r="I1024" s="122"/>
      <c r="J1024" s="122"/>
      <c r="K1024" s="122"/>
      <c r="L1024" s="122"/>
      <c r="M1024" s="122"/>
      <c r="N1024" s="122"/>
      <c r="O1024" s="122"/>
      <c r="P1024" s="122"/>
      <c r="Q1024" s="122"/>
      <c r="R1024" s="122"/>
      <c r="S1024" s="122"/>
      <c r="T1024" s="122"/>
      <c r="U1024" s="122"/>
      <c r="V1024" s="122"/>
      <c r="W1024" s="122"/>
      <c r="X1024" s="122"/>
      <c r="Y1024" s="122"/>
      <c r="Z1024" s="122"/>
    </row>
    <row r="1025" spans="1:26" ht="12.75" x14ac:dyDescent="0.2">
      <c r="A1025" s="122"/>
      <c r="B1025" s="122"/>
      <c r="C1025" s="122"/>
      <c r="D1025" s="122"/>
      <c r="E1025" s="122"/>
      <c r="F1025" s="122"/>
      <c r="G1025" s="122"/>
      <c r="H1025" s="122"/>
      <c r="I1025" s="122"/>
      <c r="J1025" s="122"/>
      <c r="K1025" s="122"/>
      <c r="L1025" s="122"/>
      <c r="M1025" s="122"/>
      <c r="N1025" s="122"/>
      <c r="O1025" s="122"/>
      <c r="P1025" s="122"/>
      <c r="Q1025" s="122"/>
      <c r="R1025" s="122"/>
      <c r="S1025" s="122"/>
      <c r="T1025" s="122"/>
      <c r="U1025" s="122"/>
      <c r="V1025" s="122"/>
      <c r="W1025" s="122"/>
      <c r="X1025" s="122"/>
      <c r="Y1025" s="122"/>
      <c r="Z1025" s="122"/>
    </row>
    <row r="1026" spans="1:26" ht="12.75" x14ac:dyDescent="0.2">
      <c r="A1026" s="122"/>
      <c r="B1026" s="122"/>
      <c r="C1026" s="122"/>
      <c r="D1026" s="122"/>
      <c r="E1026" s="122"/>
      <c r="F1026" s="122"/>
      <c r="G1026" s="122"/>
      <c r="H1026" s="122"/>
      <c r="I1026" s="122"/>
      <c r="J1026" s="122"/>
      <c r="K1026" s="122"/>
      <c r="L1026" s="122"/>
      <c r="M1026" s="122"/>
      <c r="N1026" s="122"/>
      <c r="O1026" s="122"/>
      <c r="P1026" s="122"/>
      <c r="Q1026" s="122"/>
      <c r="R1026" s="122"/>
      <c r="S1026" s="122"/>
      <c r="T1026" s="122"/>
      <c r="U1026" s="122"/>
      <c r="V1026" s="122"/>
      <c r="W1026" s="122"/>
      <c r="X1026" s="122"/>
      <c r="Y1026" s="122"/>
      <c r="Z1026" s="122"/>
    </row>
    <row r="1027" spans="1:26" ht="12.75" x14ac:dyDescent="0.2">
      <c r="A1027" s="122"/>
      <c r="B1027" s="122"/>
      <c r="C1027" s="122"/>
      <c r="D1027" s="122"/>
      <c r="E1027" s="122"/>
      <c r="F1027" s="122"/>
      <c r="G1027" s="122"/>
      <c r="H1027" s="122"/>
      <c r="I1027" s="122"/>
      <c r="J1027" s="122"/>
      <c r="K1027" s="122"/>
      <c r="L1027" s="122"/>
      <c r="M1027" s="122"/>
      <c r="N1027" s="122"/>
      <c r="O1027" s="122"/>
      <c r="P1027" s="122"/>
      <c r="Q1027" s="122"/>
      <c r="R1027" s="122"/>
      <c r="S1027" s="122"/>
      <c r="T1027" s="122"/>
      <c r="U1027" s="122"/>
      <c r="V1027" s="122"/>
      <c r="W1027" s="122"/>
      <c r="X1027" s="122"/>
      <c r="Y1027" s="122"/>
      <c r="Z1027" s="122"/>
    </row>
    <row r="1028" spans="1:26" ht="12.75" x14ac:dyDescent="0.2">
      <c r="A1028" s="122"/>
      <c r="B1028" s="122"/>
      <c r="C1028" s="122"/>
      <c r="D1028" s="122"/>
      <c r="E1028" s="122"/>
      <c r="F1028" s="122"/>
      <c r="G1028" s="122"/>
      <c r="H1028" s="122"/>
      <c r="I1028" s="122"/>
      <c r="J1028" s="122"/>
      <c r="K1028" s="122"/>
      <c r="L1028" s="122"/>
      <c r="M1028" s="122"/>
      <c r="N1028" s="122"/>
      <c r="O1028" s="122"/>
      <c r="P1028" s="122"/>
      <c r="Q1028" s="122"/>
      <c r="R1028" s="122"/>
      <c r="S1028" s="122"/>
      <c r="T1028" s="122"/>
      <c r="U1028" s="122"/>
      <c r="V1028" s="122"/>
      <c r="W1028" s="122"/>
      <c r="X1028" s="122"/>
      <c r="Y1028" s="122"/>
      <c r="Z1028" s="122"/>
    </row>
    <row r="1029" spans="1:26" ht="12.75" x14ac:dyDescent="0.2">
      <c r="A1029" s="122"/>
      <c r="B1029" s="122"/>
      <c r="C1029" s="122"/>
      <c r="D1029" s="122"/>
      <c r="E1029" s="122"/>
      <c r="F1029" s="122"/>
      <c r="G1029" s="122"/>
      <c r="H1029" s="122"/>
      <c r="I1029" s="122"/>
      <c r="J1029" s="122"/>
      <c r="K1029" s="122"/>
      <c r="L1029" s="122"/>
      <c r="M1029" s="122"/>
      <c r="N1029" s="122"/>
      <c r="O1029" s="122"/>
      <c r="P1029" s="122"/>
      <c r="Q1029" s="122"/>
      <c r="R1029" s="122"/>
      <c r="S1029" s="122"/>
      <c r="T1029" s="122"/>
      <c r="U1029" s="122"/>
      <c r="V1029" s="122"/>
      <c r="W1029" s="122"/>
      <c r="X1029" s="122"/>
      <c r="Y1029" s="122"/>
      <c r="Z1029" s="122"/>
    </row>
    <row r="1030" spans="1:26" ht="12.75" x14ac:dyDescent="0.2">
      <c r="A1030" s="122"/>
      <c r="B1030" s="122"/>
      <c r="C1030" s="122"/>
      <c r="D1030" s="122"/>
      <c r="E1030" s="122"/>
      <c r="F1030" s="122"/>
      <c r="G1030" s="122"/>
      <c r="H1030" s="122"/>
      <c r="I1030" s="122"/>
      <c r="J1030" s="122"/>
      <c r="K1030" s="122"/>
      <c r="L1030" s="122"/>
      <c r="M1030" s="122"/>
      <c r="N1030" s="122"/>
      <c r="O1030" s="122"/>
      <c r="P1030" s="122"/>
      <c r="Q1030" s="122"/>
      <c r="R1030" s="122"/>
      <c r="S1030" s="122"/>
      <c r="T1030" s="122"/>
      <c r="U1030" s="122"/>
      <c r="V1030" s="122"/>
      <c r="W1030" s="122"/>
      <c r="X1030" s="122"/>
      <c r="Y1030" s="122"/>
      <c r="Z1030" s="122"/>
    </row>
    <row r="1031" spans="1:26" ht="12.75" x14ac:dyDescent="0.2">
      <c r="A1031" s="122"/>
      <c r="B1031" s="122"/>
      <c r="C1031" s="122"/>
      <c r="D1031" s="122"/>
      <c r="E1031" s="122"/>
      <c r="F1031" s="122"/>
      <c r="G1031" s="122"/>
      <c r="H1031" s="122"/>
      <c r="I1031" s="122"/>
      <c r="J1031" s="122"/>
      <c r="K1031" s="122"/>
      <c r="L1031" s="122"/>
      <c r="M1031" s="122"/>
      <c r="N1031" s="122"/>
      <c r="O1031" s="122"/>
      <c r="P1031" s="122"/>
      <c r="Q1031" s="122"/>
      <c r="R1031" s="122"/>
      <c r="S1031" s="122"/>
      <c r="T1031" s="122"/>
      <c r="U1031" s="122"/>
      <c r="V1031" s="122"/>
      <c r="W1031" s="122"/>
      <c r="X1031" s="122"/>
      <c r="Y1031" s="122"/>
      <c r="Z1031" s="122"/>
    </row>
    <row r="1032" spans="1:26" ht="12.75" x14ac:dyDescent="0.2">
      <c r="A1032" s="122"/>
      <c r="B1032" s="122"/>
      <c r="C1032" s="122"/>
      <c r="D1032" s="122"/>
      <c r="E1032" s="122"/>
      <c r="F1032" s="122"/>
      <c r="G1032" s="122"/>
      <c r="H1032" s="122"/>
      <c r="I1032" s="122"/>
      <c r="J1032" s="122"/>
      <c r="K1032" s="122"/>
      <c r="L1032" s="122"/>
      <c r="M1032" s="122"/>
      <c r="N1032" s="122"/>
      <c r="O1032" s="122"/>
      <c r="P1032" s="122"/>
      <c r="Q1032" s="122"/>
      <c r="R1032" s="122"/>
      <c r="S1032" s="122"/>
      <c r="T1032" s="122"/>
      <c r="U1032" s="122"/>
      <c r="V1032" s="122"/>
      <c r="W1032" s="122"/>
      <c r="X1032" s="122"/>
      <c r="Y1032" s="122"/>
      <c r="Z1032" s="122"/>
    </row>
    <row r="1033" spans="1:26" ht="12.75" x14ac:dyDescent="0.2">
      <c r="A1033" s="122"/>
      <c r="B1033" s="122"/>
      <c r="C1033" s="122"/>
      <c r="D1033" s="122"/>
      <c r="E1033" s="122"/>
      <c r="F1033" s="122"/>
      <c r="G1033" s="122"/>
      <c r="H1033" s="122"/>
      <c r="I1033" s="122"/>
      <c r="J1033" s="122"/>
      <c r="K1033" s="122"/>
      <c r="L1033" s="122"/>
      <c r="M1033" s="122"/>
      <c r="N1033" s="122"/>
      <c r="O1033" s="122"/>
      <c r="P1033" s="122"/>
      <c r="Q1033" s="122"/>
      <c r="R1033" s="122"/>
      <c r="S1033" s="122"/>
      <c r="T1033" s="122"/>
      <c r="U1033" s="122"/>
      <c r="V1033" s="122"/>
      <c r="W1033" s="122"/>
      <c r="X1033" s="122"/>
      <c r="Y1033" s="122"/>
      <c r="Z1033" s="122"/>
    </row>
    <row r="1034" spans="1:26" ht="12.75" x14ac:dyDescent="0.2">
      <c r="A1034" s="122"/>
      <c r="B1034" s="122"/>
      <c r="C1034" s="122"/>
      <c r="D1034" s="122"/>
      <c r="E1034" s="122"/>
      <c r="F1034" s="122"/>
      <c r="G1034" s="122"/>
      <c r="H1034" s="122"/>
      <c r="I1034" s="122"/>
      <c r="J1034" s="122"/>
      <c r="K1034" s="122"/>
      <c r="L1034" s="122"/>
      <c r="M1034" s="122"/>
      <c r="N1034" s="122"/>
      <c r="O1034" s="122"/>
      <c r="P1034" s="122"/>
      <c r="Q1034" s="122"/>
      <c r="R1034" s="122"/>
      <c r="S1034" s="122"/>
      <c r="T1034" s="122"/>
      <c r="U1034" s="122"/>
      <c r="V1034" s="122"/>
      <c r="W1034" s="122"/>
      <c r="X1034" s="122"/>
      <c r="Y1034" s="122"/>
      <c r="Z1034" s="122"/>
    </row>
    <row r="1035" spans="1:26" ht="12.75" x14ac:dyDescent="0.2">
      <c r="A1035" s="122"/>
      <c r="B1035" s="122"/>
      <c r="C1035" s="122"/>
      <c r="D1035" s="122"/>
      <c r="E1035" s="122"/>
      <c r="F1035" s="122"/>
      <c r="G1035" s="122"/>
      <c r="H1035" s="122"/>
      <c r="I1035" s="122"/>
      <c r="J1035" s="122"/>
      <c r="K1035" s="122"/>
      <c r="L1035" s="122"/>
      <c r="M1035" s="122"/>
      <c r="N1035" s="122"/>
      <c r="O1035" s="122"/>
      <c r="P1035" s="122"/>
      <c r="Q1035" s="122"/>
      <c r="R1035" s="122"/>
      <c r="S1035" s="122"/>
      <c r="T1035" s="122"/>
      <c r="U1035" s="122"/>
      <c r="V1035" s="122"/>
      <c r="W1035" s="122"/>
      <c r="X1035" s="122"/>
      <c r="Y1035" s="122"/>
      <c r="Z1035" s="122"/>
    </row>
  </sheetData>
  <customSheetViews>
    <customSheetView guid="{1474D8E2-8801-474F-99A3-0D3DFA4B5FB3}" scale="85" hiddenRows="1" topLeftCell="A89">
      <pane ySplit="31" topLeftCell="A591"/>
      <selection activeCell="I110" sqref="I110:I111"/>
      <pageMargins left="0.7" right="0.7" top="0.75" bottom="0.75" header="0.3" footer="0.3"/>
      <pageSetup orientation="portrait" horizontalDpi="0" verticalDpi="0" r:id="rId1"/>
    </customSheetView>
    <customSheetView guid="{0270675F-18D5-4C83-B813-43237B4A5065}" scale="85" hiddenRows="1">
      <selection activeCell="F613" sqref="F613"/>
      <pageMargins left="0.7" right="0.7" top="0.75" bottom="0.75" header="0.3" footer="0.3"/>
      <pageSetup orientation="portrait" horizontalDpi="0" verticalDpi="0" r:id="rId2"/>
    </customSheetView>
    <customSheetView guid="{68E4D3DD-37C5-4451-9CB1-FD36A6953DAF}" scale="85" hiddenRows="1" topLeftCell="A58">
      <pane ySplit="31" topLeftCell="A591"/>
      <selection activeCell="F78" sqref="F78"/>
      <pageMargins left="0.7" right="0.7" top="0.75" bottom="0.75" header="0.3" footer="0.3"/>
      <pageSetup orientation="portrait" horizontalDpi="0" verticalDpi="0" r:id="rId3"/>
    </customSheetView>
  </customSheetViews>
  <conditionalFormatting sqref="G315:O321 G298:O299 G336:O336 F295:F346 G340:O341 G334:O334 G322:I333 G337:I339 G342:I346 G300:I314 G335:I335 K322:M333 K337:M339 K342:M346 K300:M314 K335:M335 O322:O333 O337:O339 O342:O346 O300:O314 O335 G415:O416 G453:O453 G457:O458 G451:O451 F412:F463 G439:I450 G454:I456 G459:I463 G417:I431 G452:I452 K439:M450 K454:M456 K459:M463 K417:M431 K452:M452 O439:O450 O454:O456 O459:O463 O417:O431 O452 F499:F505 F494:F495 F484:F490 F480 F472:F473 F467:F468 F322:O322 F439:O439">
    <cfRule type="expression" dxfId="41" priority="41">
      <formula>F$147=0</formula>
    </cfRule>
    <cfRule type="expression" dxfId="40" priority="42">
      <formula>F$147=1</formula>
    </cfRule>
  </conditionalFormatting>
  <conditionalFormatting sqref="J295:J297 J322:J333 J337:J339 J342:J346 J300:J314 J335 N322:N333 N337:N339 N342:N346 N300:N314 N335 J439:J450 J454:J456 J459:J463 J417:J431 J452 N439:N450 N454:N456 N459:N463 N417:N431 N452">
    <cfRule type="expression" dxfId="39" priority="40">
      <formula>J$147=1</formula>
    </cfRule>
  </conditionalFormatting>
  <conditionalFormatting sqref="N295:N297">
    <cfRule type="expression" dxfId="38" priority="39">
      <formula>N$147=1</formula>
    </cfRule>
  </conditionalFormatting>
  <conditionalFormatting sqref="G295:G297">
    <cfRule type="expression" dxfId="37" priority="37">
      <formula>G$147=0</formula>
    </cfRule>
    <cfRule type="expression" dxfId="36" priority="38">
      <formula>G$147=1</formula>
    </cfRule>
  </conditionalFormatting>
  <conditionalFormatting sqref="H295:H297">
    <cfRule type="expression" dxfId="35" priority="35">
      <formula>H$147=0</formula>
    </cfRule>
    <cfRule type="expression" dxfId="34" priority="36">
      <formula>H$147=1</formula>
    </cfRule>
  </conditionalFormatting>
  <conditionalFormatting sqref="I295:I297">
    <cfRule type="expression" dxfId="33" priority="33">
      <formula>I$147=0</formula>
    </cfRule>
    <cfRule type="expression" dxfId="32" priority="34">
      <formula>I$147=1</formula>
    </cfRule>
  </conditionalFormatting>
  <conditionalFormatting sqref="K295:K297">
    <cfRule type="expression" dxfId="31" priority="31">
      <formula>K$147=0</formula>
    </cfRule>
    <cfRule type="expression" dxfId="30" priority="32">
      <formula>K$147=1</formula>
    </cfRule>
  </conditionalFormatting>
  <conditionalFormatting sqref="L295:L297">
    <cfRule type="expression" dxfId="29" priority="29">
      <formula>L$147=0</formula>
    </cfRule>
    <cfRule type="expression" dxfId="28" priority="30">
      <formula>L$147=1</formula>
    </cfRule>
  </conditionalFormatting>
  <conditionalFormatting sqref="M295:M297">
    <cfRule type="expression" dxfId="27" priority="27">
      <formula>M$147=0</formula>
    </cfRule>
    <cfRule type="expression" dxfId="26" priority="28">
      <formula>M$147=1</formula>
    </cfRule>
  </conditionalFormatting>
  <conditionalFormatting sqref="O295:O297">
    <cfRule type="expression" dxfId="25" priority="25">
      <formula>O$147=0</formula>
    </cfRule>
    <cfRule type="expression" dxfId="24" priority="26">
      <formula>O$147=1</formula>
    </cfRule>
  </conditionalFormatting>
  <conditionalFormatting sqref="F469:O471 G467:O468 F474:O479 G472:O473 F481:O483 G480:O480 G484:O490 F496:O498 G494:O495 F506:O508 G499:O505 F511:O515 G509:O510 F348:O398 F491:O493">
    <cfRule type="expression" dxfId="23" priority="23">
      <formula>F$148=0</formula>
    </cfRule>
    <cfRule type="expression" dxfId="22" priority="24">
      <formula>F$148=1</formula>
    </cfRule>
  </conditionalFormatting>
  <conditionalFormatting sqref="G432:O438">
    <cfRule type="expression" dxfId="21" priority="21">
      <formula>G$147=0</formula>
    </cfRule>
    <cfRule type="expression" dxfId="20" priority="22">
      <formula>G$147=1</formula>
    </cfRule>
  </conditionalFormatting>
  <conditionalFormatting sqref="J412:J414">
    <cfRule type="expression" dxfId="19" priority="20">
      <formula>J$147=1</formula>
    </cfRule>
  </conditionalFormatting>
  <conditionalFormatting sqref="N412:N414">
    <cfRule type="expression" dxfId="18" priority="19">
      <formula>N$147=1</formula>
    </cfRule>
  </conditionalFormatting>
  <conditionalFormatting sqref="G412:G414">
    <cfRule type="expression" dxfId="17" priority="17">
      <formula>G$147=0</formula>
    </cfRule>
    <cfRule type="expression" dxfId="16" priority="18">
      <formula>G$147=1</formula>
    </cfRule>
  </conditionalFormatting>
  <conditionalFormatting sqref="H412:H414">
    <cfRule type="expression" dxfId="15" priority="15">
      <formula>H$147=0</formula>
    </cfRule>
    <cfRule type="expression" dxfId="14" priority="16">
      <formula>H$147=1</formula>
    </cfRule>
  </conditionalFormatting>
  <conditionalFormatting sqref="I412:I414">
    <cfRule type="expression" dxfId="13" priority="13">
      <formula>I$147=0</formula>
    </cfRule>
    <cfRule type="expression" dxfId="12" priority="14">
      <formula>I$147=1</formula>
    </cfRule>
  </conditionalFormatting>
  <conditionalFormatting sqref="K412:K414">
    <cfRule type="expression" dxfId="11" priority="11">
      <formula>K$147=0</formula>
    </cfRule>
    <cfRule type="expression" dxfId="10" priority="12">
      <formula>K$147=1</formula>
    </cfRule>
  </conditionalFormatting>
  <conditionalFormatting sqref="L412:L414">
    <cfRule type="expression" dxfId="9" priority="9">
      <formula>L$147=0</formula>
    </cfRule>
    <cfRule type="expression" dxfId="8" priority="10">
      <formula>L$147=1</formula>
    </cfRule>
  </conditionalFormatting>
  <conditionalFormatting sqref="M412:M414">
    <cfRule type="expression" dxfId="7" priority="7">
      <formula>M$147=0</formula>
    </cfRule>
    <cfRule type="expression" dxfId="6" priority="8">
      <formula>M$147=1</formula>
    </cfRule>
  </conditionalFormatting>
  <conditionalFormatting sqref="O412:O414">
    <cfRule type="expression" dxfId="5" priority="5">
      <formula>O$147=0</formula>
    </cfRule>
    <cfRule type="expression" dxfId="4" priority="6">
      <formula>O$147=1</formula>
    </cfRule>
  </conditionalFormatting>
  <conditionalFormatting sqref="F465:O466">
    <cfRule type="expression" dxfId="3" priority="3">
      <formula>F$148=0</formula>
    </cfRule>
    <cfRule type="expression" dxfId="2" priority="4">
      <formula>F$148=1</formula>
    </cfRule>
  </conditionalFormatting>
  <conditionalFormatting sqref="F509:F510">
    <cfRule type="expression" dxfId="1" priority="1">
      <formula>F$147=0</formula>
    </cfRule>
    <cfRule type="expression" dxfId="0" priority="2">
      <formula>F$147=1</formula>
    </cfRule>
  </conditionalFormatting>
  <pageMargins left="0.7" right="0.7" top="0.75" bottom="0.75" header="0.3" footer="0.3"/>
  <pageSetup orientation="portrait" r:id="rId4"/>
  <drawing r:id="rId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2"/>
  <sheetViews>
    <sheetView zoomScale="85" zoomScaleNormal="100" workbookViewId="0">
      <selection activeCell="F81" sqref="F81"/>
    </sheetView>
  </sheetViews>
  <sheetFormatPr defaultRowHeight="12.75" x14ac:dyDescent="0.2"/>
  <cols>
    <col min="1" max="1" width="18.42578125" style="159" customWidth="1"/>
    <col min="2" max="2" width="36.140625" style="159" customWidth="1"/>
    <col min="3" max="3" width="14.5703125" style="159" bestFit="1" customWidth="1"/>
    <col min="4" max="4" width="32.28515625" style="159" bestFit="1" customWidth="1"/>
    <col min="5" max="5" width="11" style="159" customWidth="1"/>
    <col min="6" max="6" width="11.7109375" style="159" customWidth="1"/>
    <col min="7" max="7" width="9.140625" style="159" bestFit="1" customWidth="1"/>
    <col min="8" max="10" width="9.140625" style="159"/>
    <col min="11" max="11" width="10.5703125" style="159" bestFit="1" customWidth="1"/>
    <col min="12" max="13" width="12.28515625" style="159" bestFit="1" customWidth="1"/>
    <col min="14" max="14" width="10.7109375" style="159" bestFit="1" customWidth="1"/>
    <col min="15" max="16384" width="9.140625" style="159"/>
  </cols>
  <sheetData>
    <row r="1" spans="1:26" ht="45.75" customHeight="1" x14ac:dyDescent="0.2">
      <c r="A1" s="157"/>
      <c r="B1" s="157"/>
      <c r="C1" s="157"/>
      <c r="D1" s="157"/>
      <c r="E1" s="157"/>
      <c r="F1" s="157"/>
    </row>
    <row r="2" spans="1:26" ht="28.5" customHeight="1" x14ac:dyDescent="0.2">
      <c r="A2" s="328" t="s">
        <v>658</v>
      </c>
      <c r="B2" s="150"/>
      <c r="C2" s="150"/>
      <c r="D2" s="150"/>
      <c r="E2" s="150"/>
      <c r="F2" s="150"/>
      <c r="G2" s="158"/>
      <c r="H2" s="158"/>
      <c r="I2" s="158"/>
      <c r="J2" s="158"/>
      <c r="K2" s="158"/>
      <c r="L2" s="158"/>
      <c r="M2" s="158"/>
      <c r="N2" s="158"/>
      <c r="O2" s="158"/>
      <c r="P2" s="158"/>
      <c r="Q2" s="158"/>
      <c r="R2" s="158"/>
      <c r="S2" s="158"/>
      <c r="T2" s="158"/>
      <c r="U2" s="158"/>
      <c r="V2" s="158"/>
      <c r="W2" s="158"/>
      <c r="X2" s="158"/>
      <c r="Y2" s="158"/>
      <c r="Z2" s="158"/>
    </row>
    <row r="4" spans="1:26" x14ac:dyDescent="0.2">
      <c r="A4" s="400" t="s">
        <v>660</v>
      </c>
      <c r="B4" s="333"/>
      <c r="C4" s="333"/>
      <c r="D4" s="333"/>
      <c r="E4" s="333"/>
      <c r="F4" s="157"/>
    </row>
    <row r="5" spans="1:26" x14ac:dyDescent="0.2">
      <c r="A5" s="332" t="s">
        <v>517</v>
      </c>
      <c r="B5" s="333"/>
      <c r="C5" s="333"/>
      <c r="D5" s="547">
        <v>209</v>
      </c>
      <c r="E5" s="333" t="s">
        <v>518</v>
      </c>
      <c r="F5" s="230" t="s">
        <v>519</v>
      </c>
    </row>
    <row r="6" spans="1:26" x14ac:dyDescent="0.2">
      <c r="A6" s="332" t="s">
        <v>521</v>
      </c>
      <c r="B6" s="333"/>
      <c r="C6" s="333"/>
      <c r="D6" s="547">
        <v>194</v>
      </c>
      <c r="E6" s="333" t="s">
        <v>518</v>
      </c>
      <c r="F6" s="230" t="s">
        <v>519</v>
      </c>
    </row>
    <row r="7" spans="1:26" x14ac:dyDescent="0.2">
      <c r="A7" s="332" t="s">
        <v>522</v>
      </c>
      <c r="B7" s="333"/>
      <c r="C7" s="333"/>
      <c r="D7" s="547">
        <v>416</v>
      </c>
      <c r="E7" s="333" t="s">
        <v>518</v>
      </c>
      <c r="F7" s="230" t="s">
        <v>519</v>
      </c>
    </row>
    <row r="8" spans="1:26" x14ac:dyDescent="0.2">
      <c r="A8" s="332" t="s">
        <v>523</v>
      </c>
      <c r="B8" s="333"/>
      <c r="C8" s="333"/>
      <c r="D8" s="547">
        <v>2638</v>
      </c>
      <c r="E8" s="333" t="s">
        <v>518</v>
      </c>
      <c r="F8" s="333" t="s">
        <v>659</v>
      </c>
    </row>
    <row r="9" spans="1:26" x14ac:dyDescent="0.2">
      <c r="A9" s="332" t="s">
        <v>524</v>
      </c>
      <c r="B9" s="333"/>
      <c r="C9" s="333"/>
      <c r="D9" s="547">
        <v>422</v>
      </c>
      <c r="E9" s="333" t="s">
        <v>518</v>
      </c>
      <c r="F9" s="333" t="s">
        <v>777</v>
      </c>
    </row>
    <row r="10" spans="1:26" x14ac:dyDescent="0.2">
      <c r="A10" s="332" t="s">
        <v>525</v>
      </c>
      <c r="B10" s="333"/>
      <c r="C10" s="333"/>
      <c r="D10" s="547">
        <v>2000</v>
      </c>
      <c r="E10" s="333" t="s">
        <v>518</v>
      </c>
      <c r="F10" s="230" t="s">
        <v>526</v>
      </c>
    </row>
    <row r="11" spans="1:26" x14ac:dyDescent="0.2">
      <c r="A11" s="332" t="s">
        <v>102</v>
      </c>
      <c r="B11" s="333"/>
      <c r="C11" s="333"/>
      <c r="D11" s="548">
        <v>400</v>
      </c>
      <c r="E11" s="333" t="s">
        <v>518</v>
      </c>
      <c r="F11" s="230" t="s">
        <v>519</v>
      </c>
    </row>
    <row r="12" spans="1:26" x14ac:dyDescent="0.2">
      <c r="A12" s="332" t="s">
        <v>418</v>
      </c>
      <c r="B12" s="333"/>
      <c r="C12" s="333"/>
      <c r="D12" s="548">
        <v>325</v>
      </c>
      <c r="E12" s="333" t="s">
        <v>518</v>
      </c>
      <c r="F12" s="230" t="s">
        <v>690</v>
      </c>
    </row>
    <row r="13" spans="1:26" x14ac:dyDescent="0.2">
      <c r="A13" s="332" t="s">
        <v>99</v>
      </c>
      <c r="B13" s="333"/>
      <c r="C13" s="333"/>
      <c r="D13" s="548">
        <v>312</v>
      </c>
      <c r="E13" s="333" t="s">
        <v>518</v>
      </c>
      <c r="F13" s="230" t="s">
        <v>691</v>
      </c>
    </row>
    <row r="14" spans="1:26" x14ac:dyDescent="0.2">
      <c r="A14" s="549"/>
      <c r="B14" s="549"/>
      <c r="C14" s="549"/>
      <c r="D14" s="549"/>
      <c r="E14" s="549"/>
    </row>
    <row r="15" spans="1:26" x14ac:dyDescent="0.2">
      <c r="A15" s="400" t="s">
        <v>692</v>
      </c>
      <c r="B15" s="333"/>
      <c r="C15" s="333"/>
      <c r="D15" s="333"/>
      <c r="E15" s="333"/>
      <c r="F15" s="157"/>
    </row>
    <row r="16" spans="1:26" x14ac:dyDescent="0.2">
      <c r="A16" s="332" t="s">
        <v>102</v>
      </c>
      <c r="B16" s="333"/>
      <c r="C16" s="550"/>
      <c r="D16" s="548">
        <v>609</v>
      </c>
      <c r="E16" s="333" t="s">
        <v>518</v>
      </c>
      <c r="F16" s="157" t="s">
        <v>693</v>
      </c>
    </row>
    <row r="17" spans="1:6" x14ac:dyDescent="0.2">
      <c r="A17" s="332" t="s">
        <v>418</v>
      </c>
      <c r="B17" s="333"/>
      <c r="C17" s="550"/>
      <c r="D17" s="548">
        <v>496</v>
      </c>
      <c r="E17" s="333" t="s">
        <v>518</v>
      </c>
      <c r="F17" s="157" t="s">
        <v>693</v>
      </c>
    </row>
    <row r="18" spans="1:6" x14ac:dyDescent="0.2">
      <c r="A18" s="332" t="s">
        <v>99</v>
      </c>
      <c r="B18" s="333"/>
      <c r="C18" s="550"/>
      <c r="D18" s="548">
        <v>604</v>
      </c>
      <c r="E18" s="333" t="s">
        <v>518</v>
      </c>
      <c r="F18" s="157" t="s">
        <v>693</v>
      </c>
    </row>
    <row r="19" spans="1:6" x14ac:dyDescent="0.2">
      <c r="A19" s="549"/>
      <c r="B19" s="549"/>
      <c r="C19" s="549"/>
      <c r="D19" s="549"/>
      <c r="E19" s="549"/>
    </row>
    <row r="20" spans="1:6" x14ac:dyDescent="0.2">
      <c r="A20" s="400" t="s">
        <v>3</v>
      </c>
      <c r="B20" s="333"/>
      <c r="C20" s="333"/>
      <c r="D20" s="333"/>
      <c r="E20" s="333"/>
      <c r="F20" s="157"/>
    </row>
    <row r="21" spans="1:6" x14ac:dyDescent="0.2">
      <c r="A21" s="332" t="s">
        <v>527</v>
      </c>
      <c r="B21" s="333"/>
      <c r="C21" s="333"/>
      <c r="D21" s="656">
        <f>'Rice - Rainfed'!F10</f>
        <v>157.54</v>
      </c>
      <c r="E21" s="333"/>
      <c r="F21" s="157"/>
    </row>
    <row r="22" spans="1:6" x14ac:dyDescent="0.2">
      <c r="A22" s="332" t="s">
        <v>528</v>
      </c>
      <c r="B22" s="333"/>
      <c r="C22" s="333"/>
      <c r="D22" s="550">
        <f>D21*(1+D24)</f>
        <v>170.14320000000001</v>
      </c>
      <c r="E22" s="333"/>
      <c r="F22" s="157"/>
    </row>
    <row r="23" spans="1:6" x14ac:dyDescent="0.2">
      <c r="A23" s="332" t="s">
        <v>778</v>
      </c>
      <c r="B23" s="333"/>
      <c r="C23" s="333"/>
      <c r="D23" s="551">
        <v>8.4000000000000005E-2</v>
      </c>
      <c r="E23" s="333"/>
      <c r="F23" s="333" t="s">
        <v>1073</v>
      </c>
    </row>
    <row r="24" spans="1:6" x14ac:dyDescent="0.2">
      <c r="A24" s="332" t="s">
        <v>529</v>
      </c>
      <c r="B24" s="333"/>
      <c r="C24" s="333"/>
      <c r="D24" s="551">
        <v>0.08</v>
      </c>
      <c r="E24" s="333"/>
      <c r="F24" s="230" t="s">
        <v>530</v>
      </c>
    </row>
    <row r="25" spans="1:6" x14ac:dyDescent="0.2">
      <c r="A25" s="332" t="s">
        <v>531</v>
      </c>
      <c r="B25" s="333"/>
      <c r="C25" s="333"/>
      <c r="D25" s="552">
        <f>0.012*5984</f>
        <v>71.808000000000007</v>
      </c>
      <c r="E25" s="333" t="s">
        <v>518</v>
      </c>
      <c r="F25" s="157" t="s">
        <v>532</v>
      </c>
    </row>
    <row r="26" spans="1:6" x14ac:dyDescent="0.2">
      <c r="A26" s="332" t="s">
        <v>533</v>
      </c>
      <c r="B26" s="333"/>
      <c r="C26" s="333"/>
      <c r="D26" s="552">
        <f>0.012*9387</f>
        <v>112.64400000000001</v>
      </c>
      <c r="E26" s="333" t="s">
        <v>518</v>
      </c>
      <c r="F26" s="333" t="s">
        <v>534</v>
      </c>
    </row>
    <row r="27" spans="1:6" x14ac:dyDescent="0.2">
      <c r="A27" s="332" t="s">
        <v>694</v>
      </c>
      <c r="B27" s="333"/>
      <c r="C27" s="333"/>
      <c r="D27" s="552">
        <f>0.012*3844</f>
        <v>46.128</v>
      </c>
      <c r="E27" s="333" t="s">
        <v>518</v>
      </c>
      <c r="F27" s="157" t="s">
        <v>534</v>
      </c>
    </row>
    <row r="28" spans="1:6" x14ac:dyDescent="0.2">
      <c r="A28" s="332" t="s">
        <v>695</v>
      </c>
      <c r="B28" s="333"/>
      <c r="C28" s="333"/>
      <c r="D28" s="552">
        <f>0.012*7997</f>
        <v>95.963999999999999</v>
      </c>
      <c r="E28" s="333" t="s">
        <v>518</v>
      </c>
      <c r="F28" s="157" t="s">
        <v>534</v>
      </c>
    </row>
    <row r="29" spans="1:6" x14ac:dyDescent="0.2">
      <c r="A29" s="332" t="s">
        <v>734</v>
      </c>
      <c r="B29" s="333"/>
      <c r="C29" s="333"/>
      <c r="D29" s="552">
        <f>0.012*8876</f>
        <v>106.512</v>
      </c>
      <c r="E29" s="333" t="s">
        <v>518</v>
      </c>
      <c r="F29" s="157" t="s">
        <v>534</v>
      </c>
    </row>
    <row r="30" spans="1:6" x14ac:dyDescent="0.2">
      <c r="A30" s="332" t="s">
        <v>535</v>
      </c>
      <c r="B30" s="333"/>
      <c r="C30" s="333"/>
      <c r="D30" s="548">
        <v>0.11</v>
      </c>
      <c r="E30" s="333" t="s">
        <v>536</v>
      </c>
      <c r="F30" s="230" t="s">
        <v>537</v>
      </c>
    </row>
    <row r="31" spans="1:6" x14ac:dyDescent="0.2">
      <c r="A31" s="332" t="s">
        <v>729</v>
      </c>
      <c r="B31" s="333"/>
      <c r="C31" s="333"/>
      <c r="D31" s="550">
        <f>D30*5</f>
        <v>0.55000000000000004</v>
      </c>
      <c r="E31" s="333" t="s">
        <v>536</v>
      </c>
      <c r="F31" s="333" t="s">
        <v>730</v>
      </c>
    </row>
    <row r="32" spans="1:6" x14ac:dyDescent="0.2">
      <c r="A32" s="332" t="s">
        <v>736</v>
      </c>
      <c r="B32" s="333"/>
      <c r="C32" s="333"/>
      <c r="D32" s="548">
        <v>1.2</v>
      </c>
      <c r="E32" s="333"/>
      <c r="F32" s="333" t="s">
        <v>12</v>
      </c>
    </row>
    <row r="33" spans="1:6" x14ac:dyDescent="0.2">
      <c r="A33" s="332" t="s">
        <v>538</v>
      </c>
      <c r="B33" s="333"/>
      <c r="C33" s="333"/>
      <c r="D33" s="548">
        <f>2.89/50*1000</f>
        <v>57.800000000000004</v>
      </c>
      <c r="E33" s="333" t="s">
        <v>518</v>
      </c>
      <c r="F33" s="333" t="s">
        <v>539</v>
      </c>
    </row>
    <row r="34" spans="1:6" x14ac:dyDescent="0.2">
      <c r="A34" s="332" t="s">
        <v>540</v>
      </c>
      <c r="B34" s="333"/>
      <c r="C34" s="333"/>
      <c r="D34" s="548">
        <v>6626</v>
      </c>
      <c r="E34" s="333" t="s">
        <v>541</v>
      </c>
      <c r="F34" s="281" t="s">
        <v>542</v>
      </c>
    </row>
    <row r="35" spans="1:6" x14ac:dyDescent="0.2">
      <c r="A35" s="332" t="s">
        <v>543</v>
      </c>
      <c r="B35" s="333"/>
      <c r="C35" s="333"/>
      <c r="D35" s="548">
        <f>200*1000</f>
        <v>200000</v>
      </c>
      <c r="E35" s="333" t="s">
        <v>541</v>
      </c>
      <c r="F35" s="230" t="s">
        <v>544</v>
      </c>
    </row>
    <row r="36" spans="1:6" x14ac:dyDescent="0.2">
      <c r="A36" s="332" t="s">
        <v>696</v>
      </c>
      <c r="B36" s="333"/>
      <c r="C36" s="333"/>
      <c r="D36" s="548">
        <f>(3.9+3.56)*(1000/50)</f>
        <v>149.19999999999999</v>
      </c>
      <c r="E36" s="333" t="s">
        <v>518</v>
      </c>
      <c r="F36" s="157" t="s">
        <v>697</v>
      </c>
    </row>
    <row r="37" spans="1:6" x14ac:dyDescent="0.2">
      <c r="A37" s="332" t="s">
        <v>786</v>
      </c>
      <c r="B37" s="333"/>
      <c r="C37" s="333"/>
      <c r="D37" s="434">
        <v>0.03</v>
      </c>
      <c r="E37" s="333" t="s">
        <v>784</v>
      </c>
      <c r="F37" s="333" t="s">
        <v>785</v>
      </c>
    </row>
    <row r="38" spans="1:6" x14ac:dyDescent="0.2">
      <c r="A38" s="332" t="s">
        <v>788</v>
      </c>
      <c r="B38" s="333"/>
      <c r="C38" s="333"/>
      <c r="D38" s="434">
        <v>7.0000000000000007E-2</v>
      </c>
      <c r="E38" s="333" t="s">
        <v>784</v>
      </c>
      <c r="F38" s="333" t="s">
        <v>785</v>
      </c>
    </row>
    <row r="39" spans="1:6" x14ac:dyDescent="0.2">
      <c r="A39" s="332" t="s">
        <v>790</v>
      </c>
      <c r="B39" s="333"/>
      <c r="C39" s="333"/>
      <c r="D39" s="434">
        <v>0.08</v>
      </c>
      <c r="E39" s="333" t="s">
        <v>784</v>
      </c>
      <c r="F39" s="157"/>
    </row>
    <row r="40" spans="1:6" x14ac:dyDescent="0.2">
      <c r="A40" s="549"/>
      <c r="B40" s="549"/>
      <c r="C40" s="549"/>
      <c r="D40" s="549"/>
      <c r="E40" s="549"/>
    </row>
    <row r="41" spans="1:6" x14ac:dyDescent="0.2">
      <c r="A41" s="400" t="s">
        <v>663</v>
      </c>
      <c r="B41" s="333"/>
      <c r="C41" s="333"/>
      <c r="D41" s="333"/>
      <c r="E41" s="333"/>
      <c r="F41" s="157"/>
    </row>
    <row r="42" spans="1:6" x14ac:dyDescent="0.2">
      <c r="A42" s="332" t="s">
        <v>545</v>
      </c>
      <c r="B42" s="333"/>
      <c r="C42" s="333"/>
      <c r="D42" s="434">
        <v>0.05</v>
      </c>
      <c r="E42" s="333"/>
      <c r="F42" s="157"/>
    </row>
    <row r="43" spans="1:6" x14ac:dyDescent="0.2">
      <c r="A43" s="332" t="s">
        <v>517</v>
      </c>
      <c r="B43" s="333"/>
      <c r="C43" s="333"/>
      <c r="D43" s="434">
        <v>0.05</v>
      </c>
      <c r="E43" s="333"/>
      <c r="F43" s="157"/>
    </row>
    <row r="44" spans="1:6" x14ac:dyDescent="0.2">
      <c r="A44" s="332" t="s">
        <v>521</v>
      </c>
      <c r="B44" s="333"/>
      <c r="C44" s="333"/>
      <c r="D44" s="434">
        <v>0.05</v>
      </c>
      <c r="E44" s="333"/>
      <c r="F44" s="157"/>
    </row>
    <row r="45" spans="1:6" x14ac:dyDescent="0.2">
      <c r="A45" s="332" t="s">
        <v>522</v>
      </c>
      <c r="B45" s="333"/>
      <c r="C45" s="333"/>
      <c r="D45" s="434">
        <v>0.1</v>
      </c>
      <c r="E45" s="333" t="s">
        <v>546</v>
      </c>
      <c r="F45" s="157"/>
    </row>
    <row r="46" spans="1:6" x14ac:dyDescent="0.2">
      <c r="A46" s="332" t="s">
        <v>523</v>
      </c>
      <c r="B46" s="333"/>
      <c r="C46" s="333"/>
      <c r="D46" s="553" t="s">
        <v>631</v>
      </c>
      <c r="E46" s="333"/>
      <c r="F46" s="157"/>
    </row>
    <row r="47" spans="1:6" x14ac:dyDescent="0.2">
      <c r="A47" s="332" t="s">
        <v>524</v>
      </c>
      <c r="B47" s="333"/>
      <c r="C47" s="333"/>
      <c r="D47" s="434">
        <v>0.1</v>
      </c>
      <c r="E47" s="333"/>
      <c r="F47" s="157"/>
    </row>
    <row r="48" spans="1:6" x14ac:dyDescent="0.2">
      <c r="A48" s="332" t="s">
        <v>779</v>
      </c>
      <c r="B48" s="333"/>
      <c r="C48" s="333"/>
      <c r="D48" s="434">
        <v>0.2</v>
      </c>
      <c r="E48" s="333" t="s">
        <v>781</v>
      </c>
      <c r="F48" s="157"/>
    </row>
    <row r="49" spans="1:6" x14ac:dyDescent="0.2">
      <c r="A49" s="332" t="s">
        <v>525</v>
      </c>
      <c r="B49" s="333"/>
      <c r="C49" s="333"/>
      <c r="D49" s="434">
        <v>0.25</v>
      </c>
      <c r="E49" s="333"/>
      <c r="F49" s="157"/>
    </row>
    <row r="50" spans="1:6" x14ac:dyDescent="0.2">
      <c r="A50" s="332" t="s">
        <v>495</v>
      </c>
      <c r="B50" s="333"/>
      <c r="C50" s="333"/>
      <c r="D50" s="434">
        <v>8.2000000000000003E-2</v>
      </c>
      <c r="E50" s="333"/>
      <c r="F50" s="157"/>
    </row>
    <row r="51" spans="1:6" x14ac:dyDescent="0.2">
      <c r="A51" s="332"/>
      <c r="B51" s="333"/>
      <c r="C51" s="333"/>
      <c r="D51" s="333"/>
      <c r="E51" s="333"/>
      <c r="F51" s="157"/>
    </row>
    <row r="52" spans="1:6" x14ac:dyDescent="0.2">
      <c r="A52" s="400" t="s">
        <v>664</v>
      </c>
      <c r="B52" s="333"/>
      <c r="C52" s="333"/>
      <c r="D52" s="554"/>
      <c r="E52" s="333"/>
      <c r="F52" s="157"/>
    </row>
    <row r="53" spans="1:6" x14ac:dyDescent="0.2">
      <c r="A53" s="332" t="s">
        <v>523</v>
      </c>
      <c r="B53" s="333"/>
      <c r="C53" s="333"/>
      <c r="D53" s="434">
        <v>0</v>
      </c>
      <c r="E53" s="333" t="s">
        <v>665</v>
      </c>
      <c r="F53" s="157"/>
    </row>
    <row r="54" spans="1:6" x14ac:dyDescent="0.2">
      <c r="A54" s="549"/>
      <c r="B54" s="549"/>
      <c r="C54" s="549"/>
      <c r="D54" s="549"/>
      <c r="E54" s="549"/>
    </row>
    <row r="55" spans="1:6" x14ac:dyDescent="0.2">
      <c r="A55" s="400" t="s">
        <v>793</v>
      </c>
      <c r="B55" s="549"/>
      <c r="C55" s="549"/>
      <c r="D55" s="549"/>
      <c r="E55" s="549"/>
    </row>
    <row r="56" spans="1:6" x14ac:dyDescent="0.2">
      <c r="A56" s="332" t="s">
        <v>810</v>
      </c>
      <c r="B56" s="333"/>
      <c r="C56" s="333"/>
      <c r="D56" s="434">
        <v>0.25</v>
      </c>
      <c r="E56" s="333" t="s">
        <v>811</v>
      </c>
      <c r="F56" s="157"/>
    </row>
    <row r="57" spans="1:6" x14ac:dyDescent="0.2">
      <c r="A57" s="332" t="s">
        <v>799</v>
      </c>
      <c r="B57" s="333"/>
      <c r="C57" s="333"/>
      <c r="D57" s="434">
        <v>0.65</v>
      </c>
      <c r="E57" s="333" t="s">
        <v>800</v>
      </c>
      <c r="F57" s="157"/>
    </row>
    <row r="58" spans="1:6" x14ac:dyDescent="0.2">
      <c r="A58" s="332" t="s">
        <v>805</v>
      </c>
      <c r="B58" s="333"/>
      <c r="C58" s="333"/>
      <c r="D58" s="555">
        <v>4500</v>
      </c>
      <c r="E58" s="333" t="s">
        <v>801</v>
      </c>
      <c r="F58" s="333" t="s">
        <v>806</v>
      </c>
    </row>
    <row r="59" spans="1:6" x14ac:dyDescent="0.2">
      <c r="A59" s="332" t="s">
        <v>807</v>
      </c>
      <c r="B59" s="333"/>
      <c r="C59" s="333"/>
      <c r="D59" s="555">
        <v>31500</v>
      </c>
      <c r="E59" s="333" t="s">
        <v>801</v>
      </c>
      <c r="F59" s="333" t="s">
        <v>804</v>
      </c>
    </row>
    <row r="60" spans="1:6" x14ac:dyDescent="0.2">
      <c r="A60" s="332" t="s">
        <v>809</v>
      </c>
      <c r="B60" s="333"/>
      <c r="C60" s="333"/>
      <c r="D60" s="555">
        <v>1000</v>
      </c>
      <c r="E60" s="333" t="s">
        <v>801</v>
      </c>
      <c r="F60" s="333" t="s">
        <v>804</v>
      </c>
    </row>
    <row r="61" spans="1:6" x14ac:dyDescent="0.2">
      <c r="A61" s="549"/>
      <c r="B61" s="549"/>
      <c r="C61" s="549"/>
      <c r="D61" s="549"/>
      <c r="E61" s="549"/>
    </row>
    <row r="62" spans="1:6" x14ac:dyDescent="0.2">
      <c r="A62" s="400" t="s">
        <v>662</v>
      </c>
      <c r="B62" s="333"/>
      <c r="C62" s="333"/>
      <c r="D62" s="333" t="s">
        <v>547</v>
      </c>
      <c r="E62" s="333" t="s">
        <v>548</v>
      </c>
      <c r="F62" s="157"/>
    </row>
    <row r="63" spans="1:6" x14ac:dyDescent="0.2">
      <c r="A63" s="332" t="s">
        <v>549</v>
      </c>
      <c r="B63" s="333" t="s">
        <v>550</v>
      </c>
      <c r="C63" s="333"/>
      <c r="D63" s="333"/>
      <c r="E63" s="333"/>
      <c r="F63" s="157"/>
    </row>
    <row r="64" spans="1:6" x14ac:dyDescent="0.2">
      <c r="A64" s="332" t="s">
        <v>645</v>
      </c>
      <c r="B64" s="333" t="s">
        <v>646</v>
      </c>
      <c r="C64" s="333"/>
      <c r="D64" s="548">
        <v>506</v>
      </c>
      <c r="E64" s="333"/>
      <c r="F64" s="157"/>
    </row>
    <row r="65" spans="1:6" x14ac:dyDescent="0.2">
      <c r="A65" s="332" t="s">
        <v>567</v>
      </c>
      <c r="B65" s="333" t="s">
        <v>568</v>
      </c>
      <c r="C65" s="333"/>
      <c r="D65" s="548">
        <v>789</v>
      </c>
      <c r="E65" s="333"/>
      <c r="F65" s="157"/>
    </row>
    <row r="66" spans="1:6" x14ac:dyDescent="0.2">
      <c r="A66" s="332" t="s">
        <v>551</v>
      </c>
      <c r="B66" s="333" t="s">
        <v>551</v>
      </c>
      <c r="C66" s="333"/>
      <c r="D66" s="548">
        <v>0</v>
      </c>
      <c r="E66" s="333"/>
      <c r="F66" s="157"/>
    </row>
    <row r="67" spans="1:6" x14ac:dyDescent="0.2">
      <c r="A67" s="332" t="s">
        <v>552</v>
      </c>
      <c r="B67" s="333" t="s">
        <v>553</v>
      </c>
      <c r="C67" s="333"/>
      <c r="D67" s="548">
        <v>128</v>
      </c>
      <c r="E67" s="333"/>
      <c r="F67" s="157"/>
    </row>
    <row r="68" spans="1:6" x14ac:dyDescent="0.2">
      <c r="A68" s="332" t="s">
        <v>554</v>
      </c>
      <c r="B68" s="333" t="s">
        <v>555</v>
      </c>
      <c r="C68" s="333"/>
      <c r="D68" s="548">
        <v>244</v>
      </c>
      <c r="E68" s="333"/>
      <c r="F68" s="157"/>
    </row>
    <row r="69" spans="1:6" x14ac:dyDescent="0.2">
      <c r="A69" s="332" t="s">
        <v>637</v>
      </c>
      <c r="B69" s="333" t="s">
        <v>556</v>
      </c>
      <c r="C69" s="333"/>
      <c r="D69" s="548">
        <v>285</v>
      </c>
      <c r="E69" s="333"/>
      <c r="F69" s="157"/>
    </row>
    <row r="70" spans="1:6" x14ac:dyDescent="0.2">
      <c r="A70" s="332" t="s">
        <v>557</v>
      </c>
      <c r="B70" s="333" t="s">
        <v>558</v>
      </c>
      <c r="C70" s="333"/>
      <c r="D70" s="548">
        <v>496</v>
      </c>
      <c r="E70" s="333"/>
      <c r="F70" s="157"/>
    </row>
    <row r="71" spans="1:6" x14ac:dyDescent="0.2">
      <c r="A71" s="332" t="s">
        <v>648</v>
      </c>
      <c r="B71" s="333" t="s">
        <v>649</v>
      </c>
      <c r="C71" s="333"/>
      <c r="D71" s="548">
        <v>640</v>
      </c>
      <c r="E71" s="333"/>
      <c r="F71" s="157"/>
    </row>
    <row r="72" spans="1:6" x14ac:dyDescent="0.2">
      <c r="A72" s="332" t="s">
        <v>559</v>
      </c>
      <c r="B72" s="333" t="s">
        <v>560</v>
      </c>
      <c r="C72" s="333"/>
      <c r="D72" s="548">
        <v>318</v>
      </c>
      <c r="E72" s="333"/>
      <c r="F72" s="157"/>
    </row>
    <row r="73" spans="1:6" x14ac:dyDescent="0.2">
      <c r="A73" s="332" t="s">
        <v>650</v>
      </c>
      <c r="B73" s="333" t="s">
        <v>650</v>
      </c>
      <c r="C73" s="333"/>
      <c r="D73" s="548">
        <v>572</v>
      </c>
      <c r="E73" s="333"/>
      <c r="F73" s="157"/>
    </row>
    <row r="74" spans="1:6" x14ac:dyDescent="0.2">
      <c r="A74" s="332" t="s">
        <v>561</v>
      </c>
      <c r="B74" s="333" t="s">
        <v>562</v>
      </c>
      <c r="C74" s="333"/>
      <c r="D74" s="548">
        <v>747</v>
      </c>
      <c r="E74" s="333"/>
      <c r="F74" s="157"/>
    </row>
    <row r="75" spans="1:6" x14ac:dyDescent="0.2">
      <c r="A75" s="332" t="s">
        <v>656</v>
      </c>
      <c r="B75" s="333" t="s">
        <v>657</v>
      </c>
      <c r="C75" s="333"/>
      <c r="D75" s="548">
        <v>1094</v>
      </c>
      <c r="E75" s="333"/>
      <c r="F75" s="157"/>
    </row>
    <row r="76" spans="1:6" x14ac:dyDescent="0.2">
      <c r="A76" s="332" t="s">
        <v>563</v>
      </c>
      <c r="B76" s="333" t="s">
        <v>563</v>
      </c>
      <c r="C76" s="333"/>
      <c r="D76" s="548">
        <v>776</v>
      </c>
      <c r="E76" s="333"/>
      <c r="F76" s="157"/>
    </row>
    <row r="77" spans="1:6" x14ac:dyDescent="0.2">
      <c r="A77" s="332" t="s">
        <v>564</v>
      </c>
      <c r="B77" s="333" t="s">
        <v>564</v>
      </c>
      <c r="C77" s="333"/>
      <c r="D77" s="548">
        <v>991</v>
      </c>
      <c r="E77" s="333"/>
      <c r="F77" s="157"/>
    </row>
    <row r="78" spans="1:6" x14ac:dyDescent="0.2">
      <c r="A78" s="332" t="s">
        <v>654</v>
      </c>
      <c r="B78" s="333" t="s">
        <v>655</v>
      </c>
      <c r="C78" s="333"/>
      <c r="D78" s="548">
        <v>873</v>
      </c>
      <c r="E78" s="333"/>
      <c r="F78" s="157"/>
    </row>
    <row r="79" spans="1:6" x14ac:dyDescent="0.2">
      <c r="A79" s="332" t="s">
        <v>647</v>
      </c>
      <c r="B79" s="333" t="s">
        <v>651</v>
      </c>
      <c r="C79" s="333"/>
      <c r="D79" s="548">
        <v>306</v>
      </c>
      <c r="E79" s="333"/>
      <c r="F79" s="157"/>
    </row>
    <row r="80" spans="1:6" x14ac:dyDescent="0.2">
      <c r="A80" s="332" t="s">
        <v>565</v>
      </c>
      <c r="B80" s="333" t="s">
        <v>566</v>
      </c>
      <c r="C80" s="333"/>
      <c r="D80" s="548">
        <v>832</v>
      </c>
      <c r="E80" s="333"/>
      <c r="F80" s="157"/>
    </row>
    <row r="81" spans="1:7" x14ac:dyDescent="0.2">
      <c r="A81" s="332" t="s">
        <v>635</v>
      </c>
      <c r="B81" s="333" t="s">
        <v>636</v>
      </c>
      <c r="C81" s="333"/>
      <c r="D81" s="548">
        <v>744</v>
      </c>
      <c r="E81" s="333" t="s">
        <v>638</v>
      </c>
      <c r="F81" s="157"/>
    </row>
    <row r="82" spans="1:7" x14ac:dyDescent="0.2">
      <c r="A82" s="332" t="s">
        <v>652</v>
      </c>
      <c r="B82" s="333" t="s">
        <v>653</v>
      </c>
      <c r="C82" s="333"/>
      <c r="D82" s="548">
        <v>979</v>
      </c>
      <c r="E82" s="333"/>
      <c r="F82" s="157"/>
    </row>
    <row r="83" spans="1:7" x14ac:dyDescent="0.2">
      <c r="A83" s="549"/>
      <c r="B83" s="549"/>
      <c r="C83" s="549"/>
      <c r="D83" s="549"/>
      <c r="E83" s="549"/>
    </row>
    <row r="84" spans="1:7" x14ac:dyDescent="0.2">
      <c r="A84" s="400" t="s">
        <v>661</v>
      </c>
      <c r="B84" s="333"/>
      <c r="C84" s="333"/>
      <c r="D84" s="333" t="s">
        <v>569</v>
      </c>
      <c r="E84" s="333"/>
      <c r="F84" s="157"/>
    </row>
    <row r="85" spans="1:7" x14ac:dyDescent="0.2">
      <c r="A85" s="332" t="s">
        <v>517</v>
      </c>
      <c r="B85" s="333" t="s">
        <v>570</v>
      </c>
      <c r="C85" s="333"/>
      <c r="D85" s="550">
        <f>(D77+D76)/2</f>
        <v>883.5</v>
      </c>
      <c r="E85" s="333"/>
      <c r="F85" s="157"/>
    </row>
    <row r="86" spans="1:7" x14ac:dyDescent="0.2">
      <c r="A86" s="332" t="s">
        <v>525</v>
      </c>
      <c r="B86" s="333" t="s">
        <v>592</v>
      </c>
      <c r="C86" s="333"/>
      <c r="D86" s="550">
        <f>(D66+D67+D68+D69+D70)/COUNT(D66:D70)</f>
        <v>230.6</v>
      </c>
      <c r="E86" s="333"/>
      <c r="F86" s="157"/>
    </row>
    <row r="87" spans="1:7" x14ac:dyDescent="0.2">
      <c r="A87" s="332" t="s">
        <v>522</v>
      </c>
      <c r="B87" s="333" t="s">
        <v>595</v>
      </c>
      <c r="C87" s="333"/>
      <c r="D87" s="550">
        <f>(D65+D76+D80)/3</f>
        <v>799</v>
      </c>
      <c r="E87" s="333"/>
      <c r="F87" s="157"/>
    </row>
    <row r="88" spans="1:7" x14ac:dyDescent="0.2">
      <c r="A88" s="332" t="s">
        <v>521</v>
      </c>
      <c r="B88" s="333" t="s">
        <v>594</v>
      </c>
      <c r="C88" s="333"/>
      <c r="D88" s="550">
        <f>(D76+D77)/2</f>
        <v>883.5</v>
      </c>
      <c r="E88" s="333"/>
      <c r="F88" s="157"/>
    </row>
    <row r="89" spans="1:7" x14ac:dyDescent="0.2">
      <c r="A89" s="332" t="s">
        <v>523</v>
      </c>
      <c r="B89" s="333" t="s">
        <v>634</v>
      </c>
      <c r="C89" s="333"/>
      <c r="D89" s="550">
        <f>(D69+D81)/2</f>
        <v>514.5</v>
      </c>
      <c r="E89" s="333"/>
      <c r="F89" s="157"/>
    </row>
    <row r="90" spans="1:7" x14ac:dyDescent="0.2">
      <c r="A90" s="332" t="s">
        <v>797</v>
      </c>
      <c r="B90" s="333" t="s">
        <v>24</v>
      </c>
      <c r="C90" s="333"/>
      <c r="D90" s="550">
        <f>AVERAGE(D74,D64,D79,D71,D73,D65,D82,D78,D77,D75)</f>
        <v>749.7</v>
      </c>
      <c r="E90" s="333"/>
      <c r="F90" s="157"/>
    </row>
    <row r="91" spans="1:7" x14ac:dyDescent="0.2">
      <c r="A91" s="332" t="s">
        <v>796</v>
      </c>
      <c r="B91" s="333" t="s">
        <v>798</v>
      </c>
      <c r="C91" s="333"/>
      <c r="D91" s="548">
        <v>40</v>
      </c>
      <c r="E91" s="333" t="s">
        <v>804</v>
      </c>
      <c r="F91" s="157"/>
    </row>
    <row r="92" spans="1:7" ht="13.5" thickBot="1" x14ac:dyDescent="0.25"/>
    <row r="93" spans="1:7" ht="15" x14ac:dyDescent="0.25">
      <c r="A93" s="256" t="s">
        <v>571</v>
      </c>
      <c r="B93" s="257"/>
      <c r="C93" s="258" t="s">
        <v>572</v>
      </c>
      <c r="D93" s="258" t="s">
        <v>782</v>
      </c>
      <c r="E93" s="258" t="s">
        <v>573</v>
      </c>
      <c r="F93" s="258" t="s">
        <v>574</v>
      </c>
      <c r="G93" s="259" t="s">
        <v>575</v>
      </c>
    </row>
    <row r="94" spans="1:7" x14ac:dyDescent="0.2">
      <c r="A94" s="337" t="s">
        <v>824</v>
      </c>
      <c r="B94" s="261"/>
      <c r="C94" s="262"/>
      <c r="D94" s="263"/>
      <c r="E94" s="262"/>
      <c r="F94" s="262"/>
      <c r="G94" s="264"/>
    </row>
    <row r="95" spans="1:7" x14ac:dyDescent="0.2">
      <c r="A95" s="260" t="s">
        <v>576</v>
      </c>
      <c r="B95" s="261"/>
      <c r="C95" s="265">
        <f>(D5+$D$25)*1.01</f>
        <v>283.61608000000001</v>
      </c>
      <c r="D95" s="266"/>
      <c r="E95" s="267"/>
      <c r="F95" s="267"/>
      <c r="G95" s="264"/>
    </row>
    <row r="96" spans="1:7" x14ac:dyDescent="0.2">
      <c r="A96" s="268" t="s">
        <v>577</v>
      </c>
      <c r="B96" s="261"/>
      <c r="C96" s="265">
        <f>C95*$D$22</f>
        <v>48255.347422656007</v>
      </c>
      <c r="D96" s="266">
        <v>1</v>
      </c>
      <c r="E96" s="267">
        <v>1</v>
      </c>
      <c r="F96" s="265">
        <f>C96*$D$23</f>
        <v>4053.4491835031049</v>
      </c>
      <c r="G96" s="269">
        <f>(C96*D96)+F96</f>
        <v>52308.796606159114</v>
      </c>
    </row>
    <row r="97" spans="1:7" ht="15" x14ac:dyDescent="0.25">
      <c r="A97" s="270" t="s">
        <v>578</v>
      </c>
      <c r="B97" s="261"/>
      <c r="C97" s="265"/>
      <c r="D97" s="266"/>
      <c r="E97" s="267"/>
      <c r="F97" s="265"/>
      <c r="G97" s="269"/>
    </row>
    <row r="98" spans="1:7" x14ac:dyDescent="0.2">
      <c r="A98" s="260" t="s">
        <v>579</v>
      </c>
      <c r="B98" s="261"/>
      <c r="C98" s="265">
        <f>C96*$D$43</f>
        <v>2412.7673711328002</v>
      </c>
      <c r="D98" s="266"/>
      <c r="E98" s="267"/>
      <c r="F98" s="265"/>
      <c r="G98" s="269"/>
    </row>
    <row r="99" spans="1:7" x14ac:dyDescent="0.2">
      <c r="A99" s="260" t="s">
        <v>580</v>
      </c>
      <c r="B99" s="261"/>
      <c r="C99" s="265">
        <f>C96*$D$42</f>
        <v>2412.7673711328002</v>
      </c>
      <c r="D99" s="266"/>
      <c r="E99" s="267"/>
      <c r="F99" s="265"/>
      <c r="G99" s="269"/>
    </row>
    <row r="100" spans="1:7" x14ac:dyDescent="0.2">
      <c r="A100" s="260" t="s">
        <v>581</v>
      </c>
      <c r="B100" s="261"/>
      <c r="C100" s="265">
        <f>C96+C98+C99</f>
        <v>53080.882164921612</v>
      </c>
      <c r="D100" s="266"/>
      <c r="E100" s="267"/>
      <c r="F100" s="265"/>
      <c r="G100" s="269">
        <f>G96</f>
        <v>52308.796606159114</v>
      </c>
    </row>
    <row r="101" spans="1:7" ht="15" x14ac:dyDescent="0.25">
      <c r="A101" s="260" t="s">
        <v>582</v>
      </c>
      <c r="B101" s="261"/>
      <c r="C101" s="271">
        <f>G100/C100</f>
        <v>0.98545454545454547</v>
      </c>
      <c r="D101" s="266"/>
      <c r="E101" s="267"/>
      <c r="F101" s="265"/>
      <c r="G101" s="269"/>
    </row>
    <row r="102" spans="1:7" ht="15" x14ac:dyDescent="0.25">
      <c r="A102" s="270" t="s">
        <v>578</v>
      </c>
      <c r="B102" s="261"/>
      <c r="C102" s="265"/>
      <c r="D102" s="266"/>
      <c r="E102" s="267"/>
      <c r="F102" s="265"/>
      <c r="G102" s="269"/>
    </row>
    <row r="103" spans="1:7" x14ac:dyDescent="0.2">
      <c r="A103" s="260" t="s">
        <v>583</v>
      </c>
      <c r="B103" s="261"/>
      <c r="C103" s="265"/>
      <c r="D103" s="266"/>
      <c r="E103" s="267"/>
      <c r="F103" s="265"/>
      <c r="G103" s="269"/>
    </row>
    <row r="104" spans="1:7" x14ac:dyDescent="0.2">
      <c r="A104" s="260" t="s">
        <v>584</v>
      </c>
      <c r="B104" s="261"/>
      <c r="C104" s="265">
        <f>$D$33*$D$22</f>
        <v>9834.2769600000011</v>
      </c>
      <c r="D104" s="266">
        <v>1</v>
      </c>
      <c r="E104" s="267">
        <v>1</v>
      </c>
      <c r="F104" s="265"/>
      <c r="G104" s="269">
        <f>(C104*D104)+F104</f>
        <v>9834.2769600000011</v>
      </c>
    </row>
    <row r="105" spans="1:7" x14ac:dyDescent="0.2">
      <c r="A105" s="260" t="s">
        <v>585</v>
      </c>
      <c r="B105" s="261"/>
      <c r="C105" s="265">
        <f>$D$30*D85*$D$22</f>
        <v>16535.366892000002</v>
      </c>
      <c r="D105" s="266">
        <f>$D$32</f>
        <v>1.2</v>
      </c>
      <c r="E105" s="267">
        <v>0.7</v>
      </c>
      <c r="F105" s="265">
        <f>E105*C105*$D$23</f>
        <v>972.27957324960016</v>
      </c>
      <c r="G105" s="269">
        <f>(C105*D105)+F105</f>
        <v>20814.719843649604</v>
      </c>
    </row>
    <row r="106" spans="1:7" ht="13.5" thickBot="1" x14ac:dyDescent="0.25">
      <c r="A106" s="272" t="s">
        <v>285</v>
      </c>
      <c r="B106" s="273"/>
      <c r="C106" s="274">
        <f>C100+C104+C105</f>
        <v>79450.52601692162</v>
      </c>
      <c r="D106" s="275"/>
      <c r="E106" s="275"/>
      <c r="F106" s="274"/>
      <c r="G106" s="276">
        <f>G100+G104+G105</f>
        <v>82957.793409808713</v>
      </c>
    </row>
    <row r="107" spans="1:7" ht="13.5" thickBot="1" x14ac:dyDescent="0.25">
      <c r="A107" s="277" t="s">
        <v>587</v>
      </c>
      <c r="B107" s="278"/>
      <c r="C107" s="282">
        <f>G106/C106</f>
        <v>1.0441440424464918</v>
      </c>
    </row>
    <row r="108" spans="1:7" ht="13.5" thickBot="1" x14ac:dyDescent="0.25"/>
    <row r="109" spans="1:7" ht="15" x14ac:dyDescent="0.25">
      <c r="A109" s="256" t="s">
        <v>588</v>
      </c>
      <c r="B109" s="257"/>
      <c r="C109" s="258" t="s">
        <v>572</v>
      </c>
      <c r="D109" s="258" t="s">
        <v>782</v>
      </c>
      <c r="E109" s="258" t="s">
        <v>573</v>
      </c>
      <c r="F109" s="258" t="s">
        <v>574</v>
      </c>
      <c r="G109" s="259" t="s">
        <v>575</v>
      </c>
    </row>
    <row r="110" spans="1:7" x14ac:dyDescent="0.2">
      <c r="A110" s="337" t="s">
        <v>825</v>
      </c>
      <c r="B110" s="261"/>
      <c r="C110" s="262"/>
      <c r="D110" s="263"/>
      <c r="E110" s="262"/>
      <c r="F110" s="262"/>
      <c r="G110" s="264"/>
    </row>
    <row r="111" spans="1:7" x14ac:dyDescent="0.2">
      <c r="A111" s="260" t="s">
        <v>576</v>
      </c>
      <c r="B111" s="261"/>
      <c r="C111" s="265">
        <f>(D6+$D$25)*1.01</f>
        <v>268.46607999999998</v>
      </c>
      <c r="D111" s="266"/>
      <c r="E111" s="267"/>
      <c r="F111" s="267"/>
      <c r="G111" s="264"/>
    </row>
    <row r="112" spans="1:7" x14ac:dyDescent="0.2">
      <c r="A112" s="268" t="s">
        <v>577</v>
      </c>
      <c r="B112" s="261"/>
      <c r="C112" s="265">
        <f>C111*$D$22</f>
        <v>45677.677942655995</v>
      </c>
      <c r="D112" s="266">
        <v>1</v>
      </c>
      <c r="E112" s="267">
        <v>1</v>
      </c>
      <c r="F112" s="265">
        <f>C112*$D$23</f>
        <v>3836.924947183104</v>
      </c>
      <c r="G112" s="269">
        <f>(C112*D112)+F112</f>
        <v>49514.602889839101</v>
      </c>
    </row>
    <row r="113" spans="1:7" ht="15" x14ac:dyDescent="0.25">
      <c r="A113" s="270" t="s">
        <v>578</v>
      </c>
      <c r="B113" s="261"/>
      <c r="C113" s="265"/>
      <c r="D113" s="266"/>
      <c r="E113" s="267"/>
      <c r="F113" s="265"/>
      <c r="G113" s="269"/>
    </row>
    <row r="114" spans="1:7" x14ac:dyDescent="0.2">
      <c r="A114" s="260" t="s">
        <v>579</v>
      </c>
      <c r="B114" s="261"/>
      <c r="C114" s="265">
        <f>C112*D44</f>
        <v>2283.8838971328</v>
      </c>
      <c r="D114" s="266"/>
      <c r="E114" s="267"/>
      <c r="F114" s="265"/>
      <c r="G114" s="269"/>
    </row>
    <row r="115" spans="1:7" x14ac:dyDescent="0.2">
      <c r="A115" s="260" t="s">
        <v>580</v>
      </c>
      <c r="B115" s="261"/>
      <c r="C115" s="265">
        <f>C112*$D$42</f>
        <v>2283.8838971328</v>
      </c>
      <c r="D115" s="266"/>
      <c r="E115" s="267"/>
      <c r="F115" s="265"/>
      <c r="G115" s="269"/>
    </row>
    <row r="116" spans="1:7" x14ac:dyDescent="0.2">
      <c r="A116" s="260" t="s">
        <v>581</v>
      </c>
      <c r="B116" s="261"/>
      <c r="C116" s="265">
        <f>C112+C114+C115</f>
        <v>50245.445736921596</v>
      </c>
      <c r="D116" s="266"/>
      <c r="E116" s="267"/>
      <c r="F116" s="265"/>
      <c r="G116" s="269">
        <f>G112</f>
        <v>49514.602889839101</v>
      </c>
    </row>
    <row r="117" spans="1:7" ht="15" x14ac:dyDescent="0.25">
      <c r="A117" s="260" t="s">
        <v>582</v>
      </c>
      <c r="B117" s="261"/>
      <c r="C117" s="271">
        <f>G116/C116</f>
        <v>0.98545454545454547</v>
      </c>
      <c r="D117" s="266"/>
      <c r="E117" s="267"/>
      <c r="F117" s="265"/>
      <c r="G117" s="269"/>
    </row>
    <row r="118" spans="1:7" ht="15" x14ac:dyDescent="0.25">
      <c r="A118" s="270" t="s">
        <v>578</v>
      </c>
      <c r="B118" s="261"/>
      <c r="C118" s="265"/>
      <c r="D118" s="266"/>
      <c r="E118" s="267"/>
      <c r="F118" s="265"/>
      <c r="G118" s="269"/>
    </row>
    <row r="119" spans="1:7" x14ac:dyDescent="0.2">
      <c r="A119" s="260" t="s">
        <v>583</v>
      </c>
      <c r="B119" s="261"/>
      <c r="C119" s="265"/>
      <c r="D119" s="266"/>
      <c r="E119" s="267"/>
      <c r="F119" s="265"/>
      <c r="G119" s="269"/>
    </row>
    <row r="120" spans="1:7" x14ac:dyDescent="0.2">
      <c r="A120" s="260" t="s">
        <v>584</v>
      </c>
      <c r="B120" s="261"/>
      <c r="C120" s="265">
        <f>$D$33*$D$22</f>
        <v>9834.2769600000011</v>
      </c>
      <c r="D120" s="266">
        <v>1</v>
      </c>
      <c r="E120" s="267">
        <v>1</v>
      </c>
      <c r="F120" s="265"/>
      <c r="G120" s="269">
        <f>(C120*D120)+F120</f>
        <v>9834.2769600000011</v>
      </c>
    </row>
    <row r="121" spans="1:7" x14ac:dyDescent="0.2">
      <c r="A121" s="260" t="s">
        <v>585</v>
      </c>
      <c r="B121" s="261"/>
      <c r="C121" s="265">
        <f>$D$30*D88*$D$22</f>
        <v>16535.366892000002</v>
      </c>
      <c r="D121" s="266">
        <f>$D$32</f>
        <v>1.2</v>
      </c>
      <c r="E121" s="267">
        <v>0.7</v>
      </c>
      <c r="F121" s="265">
        <f>E121*C121*$D$23</f>
        <v>972.27957324960016</v>
      </c>
      <c r="G121" s="269">
        <f>(C121*D121)+F121</f>
        <v>20814.719843649604</v>
      </c>
    </row>
    <row r="122" spans="1:7" ht="13.5" thickBot="1" x14ac:dyDescent="0.25">
      <c r="A122" s="272" t="s">
        <v>285</v>
      </c>
      <c r="B122" s="273"/>
      <c r="C122" s="274">
        <f>C116+C120+C121</f>
        <v>76615.089588921604</v>
      </c>
      <c r="D122" s="275"/>
      <c r="E122" s="275"/>
      <c r="F122" s="274"/>
      <c r="G122" s="276">
        <f>G116+G120+G121</f>
        <v>80163.599693488708</v>
      </c>
    </row>
    <row r="123" spans="1:7" ht="13.5" thickBot="1" x14ac:dyDescent="0.25">
      <c r="A123" s="277" t="s">
        <v>589</v>
      </c>
      <c r="B123" s="278"/>
      <c r="C123" s="282">
        <f>G122/C122</f>
        <v>1.0463160732906094</v>
      </c>
    </row>
    <row r="124" spans="1:7" ht="13.5" thickBot="1" x14ac:dyDescent="0.25"/>
    <row r="125" spans="1:7" ht="15" x14ac:dyDescent="0.25">
      <c r="A125" s="256" t="s">
        <v>698</v>
      </c>
      <c r="B125" s="257"/>
      <c r="C125" s="258" t="s">
        <v>572</v>
      </c>
      <c r="D125" s="258" t="s">
        <v>782</v>
      </c>
      <c r="E125" s="258" t="s">
        <v>573</v>
      </c>
      <c r="F125" s="258" t="s">
        <v>574</v>
      </c>
      <c r="G125" s="259" t="s">
        <v>575</v>
      </c>
    </row>
    <row r="126" spans="1:7" x14ac:dyDescent="0.2">
      <c r="A126" s="260" t="s">
        <v>826</v>
      </c>
      <c r="B126" s="261"/>
      <c r="C126" s="262"/>
      <c r="D126" s="263"/>
      <c r="E126" s="262"/>
      <c r="F126" s="262"/>
      <c r="G126" s="264"/>
    </row>
    <row r="127" spans="1:7" x14ac:dyDescent="0.2">
      <c r="A127" s="260" t="s">
        <v>576</v>
      </c>
      <c r="B127" s="261"/>
      <c r="C127" s="265">
        <f>(D7+$D$25)*1.01</f>
        <v>492.68608</v>
      </c>
      <c r="D127" s="266"/>
      <c r="E127" s="267"/>
      <c r="F127" s="267"/>
      <c r="G127" s="264"/>
    </row>
    <row r="128" spans="1:7" x14ac:dyDescent="0.2">
      <c r="A128" s="268" t="s">
        <v>577</v>
      </c>
      <c r="B128" s="261"/>
      <c r="C128" s="265">
        <f>C127*$D$22</f>
        <v>83827.186246655998</v>
      </c>
      <c r="D128" s="266">
        <v>1</v>
      </c>
      <c r="E128" s="267">
        <v>1</v>
      </c>
      <c r="F128" s="265">
        <f>C128*$D$23</f>
        <v>7041.4836447191046</v>
      </c>
      <c r="G128" s="269">
        <f>(C128*D128)+F128</f>
        <v>90868.669891375102</v>
      </c>
    </row>
    <row r="129" spans="1:7" ht="15" x14ac:dyDescent="0.25">
      <c r="A129" s="270" t="s">
        <v>578</v>
      </c>
      <c r="B129" s="261"/>
      <c r="C129" s="265"/>
      <c r="D129" s="266"/>
      <c r="E129" s="267"/>
      <c r="F129" s="265"/>
      <c r="G129" s="269"/>
    </row>
    <row r="130" spans="1:7" x14ac:dyDescent="0.2">
      <c r="A130" s="260" t="s">
        <v>579</v>
      </c>
      <c r="B130" s="261"/>
      <c r="C130" s="265">
        <f>C128*D45</f>
        <v>8382.7186246656001</v>
      </c>
      <c r="D130" s="266"/>
      <c r="E130" s="267"/>
      <c r="F130" s="265"/>
      <c r="G130" s="269"/>
    </row>
    <row r="131" spans="1:7" x14ac:dyDescent="0.2">
      <c r="A131" s="260" t="s">
        <v>580</v>
      </c>
      <c r="B131" s="261"/>
      <c r="C131" s="265">
        <f>C128*$D$42</f>
        <v>4191.3593123328001</v>
      </c>
      <c r="D131" s="266"/>
      <c r="E131" s="267"/>
      <c r="F131" s="265"/>
      <c r="G131" s="269"/>
    </row>
    <row r="132" spans="1:7" x14ac:dyDescent="0.2">
      <c r="A132" s="260" t="s">
        <v>581</v>
      </c>
      <c r="B132" s="261"/>
      <c r="C132" s="265">
        <f>C128+C130+C131</f>
        <v>96401.264183654406</v>
      </c>
      <c r="D132" s="266"/>
      <c r="E132" s="267"/>
      <c r="F132" s="265"/>
      <c r="G132" s="269">
        <f>G128</f>
        <v>90868.669891375102</v>
      </c>
    </row>
    <row r="133" spans="1:7" ht="15" x14ac:dyDescent="0.25">
      <c r="A133" s="260" t="s">
        <v>582</v>
      </c>
      <c r="B133" s="261"/>
      <c r="C133" s="271">
        <f>G132/C132</f>
        <v>0.94260869565217387</v>
      </c>
      <c r="D133" s="266"/>
      <c r="E133" s="267"/>
      <c r="F133" s="265"/>
      <c r="G133" s="269"/>
    </row>
    <row r="134" spans="1:7" ht="15" x14ac:dyDescent="0.25">
      <c r="A134" s="270" t="s">
        <v>578</v>
      </c>
      <c r="B134" s="261"/>
      <c r="C134" s="265"/>
      <c r="D134" s="266"/>
      <c r="E134" s="267"/>
      <c r="F134" s="265"/>
      <c r="G134" s="269"/>
    </row>
    <row r="135" spans="1:7" x14ac:dyDescent="0.2">
      <c r="A135" s="260" t="s">
        <v>583</v>
      </c>
      <c r="B135" s="261"/>
      <c r="C135" s="265"/>
      <c r="D135" s="266"/>
      <c r="E135" s="267"/>
      <c r="F135" s="265"/>
      <c r="G135" s="269"/>
    </row>
    <row r="136" spans="1:7" x14ac:dyDescent="0.2">
      <c r="A136" s="260" t="s">
        <v>584</v>
      </c>
      <c r="B136" s="261"/>
      <c r="C136" s="265">
        <f>$D$33*$D$22</f>
        <v>9834.2769600000011</v>
      </c>
      <c r="D136" s="266">
        <v>1</v>
      </c>
      <c r="E136" s="267">
        <v>1</v>
      </c>
      <c r="F136" s="265"/>
      <c r="G136" s="269">
        <f>(C136*D136)+F136</f>
        <v>9834.2769600000011</v>
      </c>
    </row>
    <row r="137" spans="1:7" x14ac:dyDescent="0.2">
      <c r="A137" s="260" t="s">
        <v>585</v>
      </c>
      <c r="B137" s="261"/>
      <c r="C137" s="265">
        <f>$D$30*D87*$D$22</f>
        <v>14953.885848</v>
      </c>
      <c r="D137" s="266">
        <f>$D$32</f>
        <v>1.2</v>
      </c>
      <c r="E137" s="267">
        <v>0.7</v>
      </c>
      <c r="F137" s="265">
        <f>E137*C137*$D$23</f>
        <v>879.28848786239996</v>
      </c>
      <c r="G137" s="269">
        <f>(C137*D137)+F137</f>
        <v>18823.951505462399</v>
      </c>
    </row>
    <row r="138" spans="1:7" ht="13.5" thickBot="1" x14ac:dyDescent="0.25">
      <c r="A138" s="272" t="s">
        <v>285</v>
      </c>
      <c r="B138" s="273"/>
      <c r="C138" s="274">
        <f>C132+C136+C137</f>
        <v>121189.42699165441</v>
      </c>
      <c r="D138" s="275"/>
      <c r="E138" s="275"/>
      <c r="F138" s="274"/>
      <c r="G138" s="276">
        <f>G132+G136+G137</f>
        <v>119526.89835683751</v>
      </c>
    </row>
    <row r="139" spans="1:7" ht="13.5" thickBot="1" x14ac:dyDescent="0.25">
      <c r="A139" s="277" t="s">
        <v>699</v>
      </c>
      <c r="B139" s="278"/>
      <c r="C139" s="282">
        <f>G138/C138</f>
        <v>0.98628157029794861</v>
      </c>
    </row>
    <row r="140" spans="1:7" ht="13.5" thickBot="1" x14ac:dyDescent="0.25"/>
    <row r="141" spans="1:7" ht="15" x14ac:dyDescent="0.25">
      <c r="A141" s="256" t="s">
        <v>590</v>
      </c>
      <c r="B141" s="257"/>
      <c r="C141" s="258" t="s">
        <v>572</v>
      </c>
      <c r="D141" s="258" t="s">
        <v>782</v>
      </c>
      <c r="E141" s="258" t="s">
        <v>573</v>
      </c>
      <c r="F141" s="258" t="s">
        <v>574</v>
      </c>
      <c r="G141" s="259" t="s">
        <v>575</v>
      </c>
    </row>
    <row r="142" spans="1:7" x14ac:dyDescent="0.2">
      <c r="A142" s="260" t="s">
        <v>827</v>
      </c>
      <c r="B142" s="261"/>
      <c r="C142" s="262"/>
      <c r="D142" s="263"/>
      <c r="E142" s="262"/>
      <c r="F142" s="262"/>
      <c r="G142" s="264"/>
    </row>
    <row r="143" spans="1:7" x14ac:dyDescent="0.2">
      <c r="A143" s="260" t="s">
        <v>576</v>
      </c>
      <c r="B143" s="261"/>
      <c r="C143" s="265">
        <f>(D10+$D$25)*1.01</f>
        <v>2092.5260800000001</v>
      </c>
      <c r="D143" s="266"/>
      <c r="E143" s="267"/>
      <c r="F143" s="267"/>
      <c r="G143" s="264"/>
    </row>
    <row r="144" spans="1:7" x14ac:dyDescent="0.2">
      <c r="A144" s="268" t="s">
        <v>577</v>
      </c>
      <c r="B144" s="261"/>
      <c r="C144" s="265">
        <f>C143*$D$22</f>
        <v>356029.08333465602</v>
      </c>
      <c r="D144" s="266">
        <v>1</v>
      </c>
      <c r="E144" s="267">
        <v>1</v>
      </c>
      <c r="F144" s="265">
        <f>C144*$D$23</f>
        <v>29906.443000111107</v>
      </c>
      <c r="G144" s="269">
        <f>(C144*D144)+F144</f>
        <v>385935.52633476711</v>
      </c>
    </row>
    <row r="145" spans="1:7" ht="15" x14ac:dyDescent="0.25">
      <c r="A145" s="270" t="s">
        <v>578</v>
      </c>
      <c r="B145" s="261"/>
      <c r="C145" s="265"/>
      <c r="D145" s="266"/>
      <c r="E145" s="267"/>
      <c r="F145" s="265"/>
      <c r="G145" s="269"/>
    </row>
    <row r="146" spans="1:7" x14ac:dyDescent="0.2">
      <c r="A146" s="260" t="s">
        <v>579</v>
      </c>
      <c r="B146" s="261"/>
      <c r="C146" s="265">
        <f>C144*D49</f>
        <v>89007.270833664006</v>
      </c>
      <c r="D146" s="266"/>
      <c r="E146" s="267"/>
      <c r="F146" s="265"/>
      <c r="G146" s="269"/>
    </row>
    <row r="147" spans="1:7" x14ac:dyDescent="0.2">
      <c r="A147" s="260" t="s">
        <v>580</v>
      </c>
      <c r="B147" s="261"/>
      <c r="C147" s="265">
        <f>C144*$D$42</f>
        <v>17801.454166732801</v>
      </c>
      <c r="D147" s="266"/>
      <c r="E147" s="267"/>
      <c r="F147" s="265"/>
      <c r="G147" s="269"/>
    </row>
    <row r="148" spans="1:7" x14ac:dyDescent="0.2">
      <c r="A148" s="260" t="s">
        <v>581</v>
      </c>
      <c r="B148" s="261"/>
      <c r="C148" s="265">
        <f>C144+C146+C147</f>
        <v>462837.8083350528</v>
      </c>
      <c r="D148" s="266"/>
      <c r="E148" s="267"/>
      <c r="F148" s="265"/>
      <c r="G148" s="269">
        <f>G144+G146+G147</f>
        <v>385935.52633476711</v>
      </c>
    </row>
    <row r="149" spans="1:7" ht="15" x14ac:dyDescent="0.25">
      <c r="A149" s="260" t="s">
        <v>582</v>
      </c>
      <c r="B149" s="261"/>
      <c r="C149" s="271">
        <f>G148/C148</f>
        <v>0.8338461538461539</v>
      </c>
      <c r="D149" s="266"/>
      <c r="E149" s="267"/>
      <c r="F149" s="265"/>
      <c r="G149" s="269"/>
    </row>
    <row r="150" spans="1:7" ht="15" x14ac:dyDescent="0.25">
      <c r="A150" s="270" t="s">
        <v>578</v>
      </c>
      <c r="B150" s="261"/>
      <c r="C150" s="265"/>
      <c r="D150" s="266"/>
      <c r="E150" s="267"/>
      <c r="F150" s="265"/>
      <c r="G150" s="269"/>
    </row>
    <row r="151" spans="1:7" x14ac:dyDescent="0.2">
      <c r="A151" s="260" t="s">
        <v>583</v>
      </c>
      <c r="B151" s="261"/>
      <c r="C151" s="265"/>
      <c r="D151" s="266"/>
      <c r="E151" s="267"/>
      <c r="F151" s="265"/>
      <c r="G151" s="269"/>
    </row>
    <row r="152" spans="1:7" x14ac:dyDescent="0.2">
      <c r="A152" s="260" t="s">
        <v>584</v>
      </c>
      <c r="B152" s="261"/>
      <c r="C152" s="265">
        <f>$D$33*$D$22</f>
        <v>9834.2769600000011</v>
      </c>
      <c r="D152" s="266">
        <v>1</v>
      </c>
      <c r="E152" s="267">
        <v>1</v>
      </c>
      <c r="F152" s="265"/>
      <c r="G152" s="269">
        <f>(C152*D152)+F152</f>
        <v>9834.2769600000011</v>
      </c>
    </row>
    <row r="153" spans="1:7" x14ac:dyDescent="0.2">
      <c r="A153" s="260" t="s">
        <v>585</v>
      </c>
      <c r="B153" s="261"/>
      <c r="C153" s="265">
        <f>$D$31*D86*$D$22</f>
        <v>21579.262056000003</v>
      </c>
      <c r="D153" s="266">
        <f>$D$32</f>
        <v>1.2</v>
      </c>
      <c r="E153" s="267">
        <v>0.7</v>
      </c>
      <c r="F153" s="265">
        <f>E153*C153*$D$23</f>
        <v>1268.8606088928002</v>
      </c>
      <c r="G153" s="269">
        <f>(C153*D153)+F153</f>
        <v>27163.975076092804</v>
      </c>
    </row>
    <row r="154" spans="1:7" ht="13.5" thickBot="1" x14ac:dyDescent="0.25">
      <c r="A154" s="272" t="s">
        <v>285</v>
      </c>
      <c r="B154" s="273"/>
      <c r="C154" s="274">
        <f>C148+C152+C153</f>
        <v>494251.3473510528</v>
      </c>
      <c r="D154" s="275"/>
      <c r="E154" s="275"/>
      <c r="F154" s="274"/>
      <c r="G154" s="276">
        <f>G148+G152+G153</f>
        <v>422933.77837085992</v>
      </c>
    </row>
    <row r="155" spans="1:7" ht="13.5" thickBot="1" x14ac:dyDescent="0.25">
      <c r="A155" s="277" t="s">
        <v>591</v>
      </c>
      <c r="B155" s="278"/>
      <c r="C155" s="282">
        <f>G154/C154</f>
        <v>0.85570586835540174</v>
      </c>
    </row>
    <row r="156" spans="1:7" ht="13.5" thickBot="1" x14ac:dyDescent="0.25"/>
    <row r="157" spans="1:7" ht="15" x14ac:dyDescent="0.25">
      <c r="A157" s="256" t="s">
        <v>628</v>
      </c>
      <c r="B157" s="257"/>
      <c r="C157" s="258" t="s">
        <v>572</v>
      </c>
      <c r="D157" s="258" t="s">
        <v>782</v>
      </c>
      <c r="E157" s="258" t="s">
        <v>573</v>
      </c>
      <c r="F157" s="258" t="s">
        <v>574</v>
      </c>
      <c r="G157" s="259" t="s">
        <v>575</v>
      </c>
    </row>
    <row r="158" spans="1:7" x14ac:dyDescent="0.2">
      <c r="A158" s="337" t="s">
        <v>776</v>
      </c>
      <c r="B158" s="261"/>
      <c r="C158" s="262"/>
      <c r="D158" s="263"/>
      <c r="E158" s="262"/>
      <c r="F158" s="262"/>
      <c r="G158" s="264"/>
    </row>
    <row r="159" spans="1:7" x14ac:dyDescent="0.2">
      <c r="A159" s="260" t="s">
        <v>576</v>
      </c>
      <c r="B159" s="261"/>
      <c r="C159" s="265">
        <f>D8*1.01</f>
        <v>2664.38</v>
      </c>
      <c r="D159" s="266"/>
      <c r="E159" s="267"/>
      <c r="F159" s="267"/>
      <c r="G159" s="264"/>
    </row>
    <row r="160" spans="1:7" x14ac:dyDescent="0.2">
      <c r="A160" s="268" t="s">
        <v>577</v>
      </c>
      <c r="B160" s="261"/>
      <c r="C160" s="265">
        <f>C159*$D$22</f>
        <v>453326.13921600004</v>
      </c>
      <c r="D160" s="266">
        <v>1</v>
      </c>
      <c r="E160" s="267">
        <v>1</v>
      </c>
      <c r="F160" s="265">
        <f>C160*$D$23</f>
        <v>38079.395694144005</v>
      </c>
      <c r="G160" s="269">
        <f>(C160*D160)+F160</f>
        <v>491405.53491014405</v>
      </c>
    </row>
    <row r="161" spans="1:14" ht="15" x14ac:dyDescent="0.25">
      <c r="A161" s="270" t="s">
        <v>578</v>
      </c>
      <c r="B161" s="261"/>
      <c r="C161" s="265"/>
      <c r="D161" s="266"/>
      <c r="E161" s="267"/>
      <c r="F161" s="265"/>
      <c r="G161" s="269"/>
    </row>
    <row r="162" spans="1:14" x14ac:dyDescent="0.2">
      <c r="A162" s="260" t="s">
        <v>632</v>
      </c>
      <c r="B162" s="261"/>
      <c r="C162" s="265">
        <f>C160*D53</f>
        <v>0</v>
      </c>
      <c r="D162" s="266"/>
      <c r="E162" s="267"/>
      <c r="F162" s="265"/>
      <c r="G162" s="269"/>
    </row>
    <row r="163" spans="1:14" x14ac:dyDescent="0.2">
      <c r="A163" s="260" t="s">
        <v>581</v>
      </c>
      <c r="B163" s="261"/>
      <c r="C163" s="265">
        <f>C160+C162</f>
        <v>453326.13921600004</v>
      </c>
      <c r="D163" s="266"/>
      <c r="E163" s="267"/>
      <c r="F163" s="265"/>
      <c r="G163" s="269">
        <f>G160</f>
        <v>491405.53491014405</v>
      </c>
    </row>
    <row r="164" spans="1:14" ht="15" x14ac:dyDescent="0.25">
      <c r="A164" s="260" t="s">
        <v>582</v>
      </c>
      <c r="B164" s="261"/>
      <c r="C164" s="271">
        <f>G163/C163</f>
        <v>1.0840000000000001</v>
      </c>
      <c r="D164" s="266"/>
      <c r="E164" s="267"/>
      <c r="F164" s="265"/>
      <c r="G164" s="269"/>
    </row>
    <row r="165" spans="1:14" ht="15" x14ac:dyDescent="0.25">
      <c r="A165" s="270" t="s">
        <v>586</v>
      </c>
      <c r="B165" s="261"/>
      <c r="C165" s="265"/>
      <c r="D165" s="266"/>
      <c r="E165" s="267"/>
      <c r="F165" s="265"/>
      <c r="G165" s="269"/>
      <c r="H165" s="254" t="s">
        <v>629</v>
      </c>
    </row>
    <row r="166" spans="1:14" x14ac:dyDescent="0.2">
      <c r="A166" s="399" t="s">
        <v>787</v>
      </c>
      <c r="B166" s="261"/>
      <c r="C166" s="265">
        <f>Cocoa!F87*CFs!D38*1000</f>
        <v>23313.990000000005</v>
      </c>
      <c r="D166" s="266">
        <v>1</v>
      </c>
      <c r="E166" s="267">
        <v>1</v>
      </c>
      <c r="F166" s="265"/>
      <c r="G166" s="269">
        <f>(C166*D166)+F166</f>
        <v>23313.990000000005</v>
      </c>
      <c r="H166" s="254"/>
    </row>
    <row r="167" spans="1:14" x14ac:dyDescent="0.2">
      <c r="A167" s="399" t="s">
        <v>789</v>
      </c>
      <c r="B167" s="261"/>
      <c r="C167" s="265">
        <f>Cocoa!F87*CFs!D39*1000</f>
        <v>26644.560000000001</v>
      </c>
      <c r="D167" s="266">
        <v>1</v>
      </c>
      <c r="E167" s="267">
        <v>1</v>
      </c>
      <c r="F167" s="265"/>
      <c r="G167" s="269">
        <f>(C167*D167)+F167</f>
        <v>26644.560000000001</v>
      </c>
      <c r="H167" s="254"/>
    </row>
    <row r="168" spans="1:14" x14ac:dyDescent="0.2">
      <c r="A168" s="399" t="s">
        <v>783</v>
      </c>
      <c r="B168" s="261"/>
      <c r="C168" s="265">
        <f>Cocoa!F87*CFs!D37*1000</f>
        <v>9991.7099999999991</v>
      </c>
      <c r="D168" s="266">
        <v>1</v>
      </c>
      <c r="E168" s="267">
        <v>1</v>
      </c>
      <c r="F168" s="265"/>
      <c r="G168" s="269">
        <f>(C168*D168)+F168</f>
        <v>9991.7099999999991</v>
      </c>
      <c r="H168" s="254"/>
    </row>
    <row r="169" spans="1:14" x14ac:dyDescent="0.2">
      <c r="A169" s="260" t="s">
        <v>630</v>
      </c>
      <c r="B169" s="261"/>
      <c r="C169" s="265"/>
      <c r="D169" s="266"/>
      <c r="E169" s="267"/>
      <c r="F169" s="265"/>
      <c r="G169" s="269"/>
    </row>
    <row r="170" spans="1:14" x14ac:dyDescent="0.2">
      <c r="A170" s="260" t="s">
        <v>584</v>
      </c>
      <c r="B170" s="261"/>
      <c r="C170" s="265">
        <f>$D$33*$D$22</f>
        <v>9834.2769600000011</v>
      </c>
      <c r="D170" s="266">
        <v>1</v>
      </c>
      <c r="E170" s="267">
        <v>0</v>
      </c>
      <c r="F170" s="265"/>
      <c r="G170" s="269">
        <f>(C170*D170)+F170</f>
        <v>9834.2769600000011</v>
      </c>
    </row>
    <row r="171" spans="1:14" x14ac:dyDescent="0.2">
      <c r="A171" s="260" t="s">
        <v>585</v>
      </c>
      <c r="B171" s="261"/>
      <c r="C171" s="265">
        <f>$D$30*D89*$D$22</f>
        <v>9629.2544039999993</v>
      </c>
      <c r="D171" s="266">
        <f>$D$32</f>
        <v>1.2</v>
      </c>
      <c r="E171" s="267">
        <v>0.7</v>
      </c>
      <c r="F171" s="265">
        <f>E171*C171*$D$23</f>
        <v>566.20015895519998</v>
      </c>
      <c r="G171" s="269">
        <f>(C171*D171)+F171</f>
        <v>12121.305443755198</v>
      </c>
      <c r="H171" s="254" t="s">
        <v>633</v>
      </c>
    </row>
    <row r="172" spans="1:14" ht="13.5" thickBot="1" x14ac:dyDescent="0.25">
      <c r="A172" s="272" t="s">
        <v>285</v>
      </c>
      <c r="B172" s="273"/>
      <c r="C172" s="274">
        <f>C163-C170-C171-C168-C166-C167</f>
        <v>373912.34785200004</v>
      </c>
      <c r="D172" s="275"/>
      <c r="E172" s="275"/>
      <c r="F172" s="274"/>
      <c r="G172" s="274">
        <f>G163-G170-G171-G168-G166-G167</f>
        <v>409499.69250638888</v>
      </c>
      <c r="J172" s="255"/>
      <c r="K172" s="255"/>
    </row>
    <row r="173" spans="1:14" ht="13.5" thickBot="1" x14ac:dyDescent="0.25">
      <c r="A173" s="329" t="s">
        <v>725</v>
      </c>
      <c r="B173" s="278"/>
      <c r="C173" s="282">
        <f>G172/C172</f>
        <v>1.0951756336981811</v>
      </c>
    </row>
    <row r="174" spans="1:14" ht="13.5" thickBot="1" x14ac:dyDescent="0.25"/>
    <row r="175" spans="1:14" ht="15" x14ac:dyDescent="0.25">
      <c r="A175" s="256" t="s">
        <v>643</v>
      </c>
      <c r="B175" s="257"/>
      <c r="C175" s="258" t="s">
        <v>572</v>
      </c>
      <c r="D175" s="258" t="s">
        <v>782</v>
      </c>
      <c r="E175" s="258" t="s">
        <v>573</v>
      </c>
      <c r="F175" s="258" t="s">
        <v>574</v>
      </c>
      <c r="G175" s="259" t="s">
        <v>575</v>
      </c>
      <c r="K175" s="549" t="s">
        <v>958</v>
      </c>
    </row>
    <row r="176" spans="1:14" ht="63.75" x14ac:dyDescent="0.2">
      <c r="A176" s="337" t="s">
        <v>735</v>
      </c>
      <c r="B176" s="261"/>
      <c r="C176" s="262"/>
      <c r="D176" s="263"/>
      <c r="E176" s="262"/>
      <c r="F176" s="262"/>
      <c r="G176" s="401"/>
      <c r="K176" s="359" t="s">
        <v>957</v>
      </c>
      <c r="L176" s="662" t="s">
        <v>812</v>
      </c>
      <c r="M176" s="361" t="s">
        <v>813</v>
      </c>
      <c r="N176" s="657" t="s">
        <v>814</v>
      </c>
    </row>
    <row r="177" spans="1:14" x14ac:dyDescent="0.2">
      <c r="A177" s="260" t="s">
        <v>576</v>
      </c>
      <c r="B177" s="261"/>
      <c r="C177" s="265">
        <f>($D$9+$D$29)*1.01</f>
        <v>533.79711999999995</v>
      </c>
      <c r="D177" s="266"/>
      <c r="E177" s="267"/>
      <c r="F177" s="267"/>
      <c r="G177" s="402"/>
      <c r="H177" s="254"/>
      <c r="K177" s="362"/>
      <c r="L177" s="669">
        <f>'Rice - Rainfed'!D568</f>
        <v>1869.1395289748632</v>
      </c>
      <c r="M177" s="669">
        <f>'Rice - Rainfed'!E568</f>
        <v>101407461.51341608</v>
      </c>
      <c r="N177" s="669">
        <f>'Rice - Rainfed'!F568</f>
        <v>253.13919642105725</v>
      </c>
    </row>
    <row r="178" spans="1:14" x14ac:dyDescent="0.2">
      <c r="A178" s="268" t="s">
        <v>577</v>
      </c>
      <c r="B178" s="261"/>
      <c r="C178" s="265">
        <f>C177*$D$22</f>
        <v>90821.950147583993</v>
      </c>
      <c r="D178" s="266">
        <v>1</v>
      </c>
      <c r="E178" s="267">
        <v>1</v>
      </c>
      <c r="F178" s="265">
        <f>C178*$D$23</f>
        <v>7629.0438123970562</v>
      </c>
      <c r="G178" s="403">
        <f>(C178*D178)+F178</f>
        <v>98450.993959981046</v>
      </c>
      <c r="K178" s="383">
        <v>0</v>
      </c>
      <c r="L178" s="663">
        <f t="dataTable" ref="L178:N184" dt2D="0" dtr="0" r1="D47" ca="1"/>
        <v>1869.1395289748632</v>
      </c>
      <c r="M178" s="614">
        <v>226237690.25921512</v>
      </c>
      <c r="N178" s="658">
        <v>253.13919642105725</v>
      </c>
    </row>
    <row r="179" spans="1:14" ht="15" x14ac:dyDescent="0.25">
      <c r="A179" s="270" t="s">
        <v>578</v>
      </c>
      <c r="B179" s="261"/>
      <c r="C179" s="265"/>
      <c r="D179" s="266"/>
      <c r="E179" s="267"/>
      <c r="F179" s="265"/>
      <c r="G179" s="403"/>
      <c r="K179" s="384">
        <v>0.05</v>
      </c>
      <c r="L179" s="664">
        <v>1869.1395289748632</v>
      </c>
      <c r="M179" s="616">
        <v>160012389.52188841</v>
      </c>
      <c r="N179" s="659">
        <v>253.13919642105725</v>
      </c>
    </row>
    <row r="180" spans="1:14" x14ac:dyDescent="0.2">
      <c r="A180" s="337" t="s">
        <v>579</v>
      </c>
      <c r="B180" s="261"/>
      <c r="C180" s="265">
        <f>C178*D47</f>
        <v>9082.1950147583993</v>
      </c>
      <c r="D180" s="266">
        <v>0</v>
      </c>
      <c r="E180" s="267"/>
      <c r="F180" s="265"/>
      <c r="G180" s="403">
        <f>(C180*D180)+F180</f>
        <v>0</v>
      </c>
      <c r="K180" s="608">
        <v>0.1</v>
      </c>
      <c r="L180" s="665">
        <v>1869.1395289748632</v>
      </c>
      <c r="M180" s="618">
        <v>101407461.51341608</v>
      </c>
      <c r="N180" s="660">
        <v>253.13919642105725</v>
      </c>
    </row>
    <row r="181" spans="1:14" x14ac:dyDescent="0.2">
      <c r="A181" s="260" t="s">
        <v>580</v>
      </c>
      <c r="B181" s="261"/>
      <c r="C181" s="265">
        <f>C178*$D$42</f>
        <v>4541.0975073791997</v>
      </c>
      <c r="D181" s="266">
        <v>0</v>
      </c>
      <c r="E181" s="267"/>
      <c r="F181" s="265"/>
      <c r="G181" s="403">
        <f>(C181*D181)+F181</f>
        <v>0</v>
      </c>
      <c r="K181" s="383">
        <v>0.15</v>
      </c>
      <c r="L181" s="663">
        <v>1869.1395289748632</v>
      </c>
      <c r="M181" s="614">
        <v>49179177.884148948</v>
      </c>
      <c r="N181" s="658">
        <v>253.13919642105725</v>
      </c>
    </row>
    <row r="182" spans="1:14" x14ac:dyDescent="0.2">
      <c r="A182" s="260" t="s">
        <v>581</v>
      </c>
      <c r="B182" s="261"/>
      <c r="C182" s="265">
        <f>C178+C180+C181</f>
        <v>104445.2426697216</v>
      </c>
      <c r="D182" s="266"/>
      <c r="E182" s="267"/>
      <c r="F182" s="265"/>
      <c r="G182" s="403">
        <f>G178+G180+G181</f>
        <v>98450.993959981046</v>
      </c>
      <c r="K182" s="383">
        <v>0.2</v>
      </c>
      <c r="L182" s="663">
        <v>1869.1395289748632</v>
      </c>
      <c r="M182" s="614">
        <v>2340498.9475062909</v>
      </c>
      <c r="N182" s="658">
        <v>253.13919642105725</v>
      </c>
    </row>
    <row r="183" spans="1:14" ht="15" x14ac:dyDescent="0.25">
      <c r="A183" s="260" t="s">
        <v>582</v>
      </c>
      <c r="B183" s="261"/>
      <c r="C183" s="271">
        <f>G182/C182</f>
        <v>0.94260869565217387</v>
      </c>
      <c r="D183" s="266"/>
      <c r="E183" s="267"/>
      <c r="F183" s="265"/>
      <c r="G183" s="403"/>
      <c r="K183" s="383">
        <v>0.25</v>
      </c>
      <c r="L183" s="663">
        <v>1869.1395289748632</v>
      </c>
      <c r="M183" s="614">
        <v>-39901898.492763065</v>
      </c>
      <c r="N183" s="658">
        <v>253.13919642105725</v>
      </c>
    </row>
    <row r="184" spans="1:14" ht="15" x14ac:dyDescent="0.25">
      <c r="A184" s="270" t="s">
        <v>578</v>
      </c>
      <c r="B184" s="261"/>
      <c r="C184" s="265"/>
      <c r="D184" s="266"/>
      <c r="E184" s="267"/>
      <c r="F184" s="265"/>
      <c r="G184" s="403"/>
      <c r="K184" s="388">
        <v>0.3</v>
      </c>
      <c r="L184" s="666">
        <v>1869.1395289748632</v>
      </c>
      <c r="M184" s="620">
        <v>-78192921.974308655</v>
      </c>
      <c r="N184" s="661">
        <v>253.13919642105725</v>
      </c>
    </row>
    <row r="185" spans="1:14" ht="15" x14ac:dyDescent="0.25">
      <c r="A185" s="398" t="s">
        <v>780</v>
      </c>
      <c r="B185" s="261"/>
      <c r="C185" s="265">
        <f>C182*D48</f>
        <v>20889.048533944322</v>
      </c>
      <c r="D185" s="266">
        <v>0</v>
      </c>
      <c r="E185" s="267"/>
      <c r="F185" s="265"/>
      <c r="G185" s="403">
        <f>(C185*D185)+F185</f>
        <v>0</v>
      </c>
    </row>
    <row r="186" spans="1:14" x14ac:dyDescent="0.2">
      <c r="A186" s="337" t="s">
        <v>630</v>
      </c>
      <c r="B186" s="261"/>
      <c r="C186" s="265"/>
      <c r="D186" s="266"/>
      <c r="E186" s="267"/>
      <c r="F186" s="265"/>
      <c r="G186" s="403"/>
      <c r="K186" s="549" t="s">
        <v>959</v>
      </c>
    </row>
    <row r="187" spans="1:14" ht="63.75" x14ac:dyDescent="0.2">
      <c r="A187" s="260" t="s">
        <v>584</v>
      </c>
      <c r="B187" s="261"/>
      <c r="C187" s="265">
        <f>$D$22*$D$33</f>
        <v>9834.2769600000011</v>
      </c>
      <c r="D187" s="266">
        <v>1</v>
      </c>
      <c r="E187" s="267">
        <v>1</v>
      </c>
      <c r="F187" s="265"/>
      <c r="G187" s="403">
        <f>(C187*D187)+F187</f>
        <v>9834.2769600000011</v>
      </c>
      <c r="K187" s="359" t="s">
        <v>957</v>
      </c>
      <c r="L187" s="662" t="s">
        <v>812</v>
      </c>
      <c r="M187" s="361" t="s">
        <v>813</v>
      </c>
      <c r="N187" s="657" t="s">
        <v>814</v>
      </c>
    </row>
    <row r="188" spans="1:14" x14ac:dyDescent="0.2">
      <c r="A188" s="260" t="s">
        <v>585</v>
      </c>
      <c r="B188" s="261"/>
      <c r="C188" s="265">
        <f>$D$30*D90*$D$22</f>
        <v>14031.1992744</v>
      </c>
      <c r="D188" s="266">
        <f>$D$32</f>
        <v>1.2</v>
      </c>
      <c r="E188" s="267">
        <v>0.7</v>
      </c>
      <c r="F188" s="265">
        <f>E188*C188*$D$23</f>
        <v>825.03451733472002</v>
      </c>
      <c r="G188" s="403">
        <f>(C188*D188)+F188</f>
        <v>17662.473646614719</v>
      </c>
      <c r="K188" s="362"/>
      <c r="L188" s="669">
        <f>'Rice - Irrigated'!I595</f>
        <v>4562.9858732369848</v>
      </c>
      <c r="M188" s="800">
        <f>'Rice - Irrigated'!J595</f>
        <v>32839707.744934857</v>
      </c>
      <c r="N188" s="800">
        <f>'Rice - Irrigated'!K595</f>
        <v>669.6629132924794</v>
      </c>
    </row>
    <row r="189" spans="1:14" x14ac:dyDescent="0.2">
      <c r="A189" s="337" t="s">
        <v>803</v>
      </c>
      <c r="B189" s="261"/>
      <c r="C189" s="265">
        <f>D34</f>
        <v>6626</v>
      </c>
      <c r="D189" s="266">
        <v>1</v>
      </c>
      <c r="E189" s="267">
        <v>1</v>
      </c>
      <c r="F189" s="265"/>
      <c r="G189" s="403">
        <f>(C189*D189)+F189</f>
        <v>6626</v>
      </c>
      <c r="K189" s="383">
        <v>0</v>
      </c>
      <c r="L189" s="663">
        <f t="dataTable" ref="L189:N195" dt2D="0" dtr="0" r1="D47" ca="1"/>
        <v>4562.9858732369848</v>
      </c>
      <c r="M189" s="614">
        <v>71098364.431206301</v>
      </c>
      <c r="N189" s="658">
        <v>669.6629132924794</v>
      </c>
    </row>
    <row r="190" spans="1:14" x14ac:dyDescent="0.2">
      <c r="A190" s="337" t="s">
        <v>809</v>
      </c>
      <c r="B190" s="261"/>
      <c r="C190" s="265">
        <f>D60</f>
        <v>1000</v>
      </c>
      <c r="D190" s="266">
        <v>1</v>
      </c>
      <c r="E190" s="267">
        <v>1</v>
      </c>
      <c r="F190" s="265"/>
      <c r="G190" s="403">
        <f>(C190*D190)+F190</f>
        <v>1000</v>
      </c>
      <c r="K190" s="384">
        <v>0.05</v>
      </c>
      <c r="L190" s="664">
        <v>4562.9858732369848</v>
      </c>
      <c r="M190" s="616">
        <v>50801269.165811874</v>
      </c>
      <c r="N190" s="659">
        <v>669.6629132924794</v>
      </c>
    </row>
    <row r="191" spans="1:14" x14ac:dyDescent="0.2">
      <c r="A191" s="337" t="s">
        <v>791</v>
      </c>
      <c r="B191" s="261"/>
      <c r="C191" s="265">
        <f>C182+C185+C187+C188+C189+C190</f>
        <v>156825.7674380659</v>
      </c>
      <c r="D191" s="266"/>
      <c r="E191" s="267"/>
      <c r="F191" s="265"/>
      <c r="G191" s="403">
        <f>G182+G185+G187+G188+G189+G190</f>
        <v>133573.74456659576</v>
      </c>
      <c r="K191" s="608">
        <v>0.1</v>
      </c>
      <c r="L191" s="665">
        <v>4562.9858732369848</v>
      </c>
      <c r="M191" s="618">
        <v>32839707.744934857</v>
      </c>
      <c r="N191" s="660">
        <v>669.6629132924794</v>
      </c>
    </row>
    <row r="192" spans="1:14" x14ac:dyDescent="0.2">
      <c r="A192" s="337" t="s">
        <v>794</v>
      </c>
      <c r="B192" s="261"/>
      <c r="C192" s="265">
        <f>C191*(D56)</f>
        <v>39206.441859516475</v>
      </c>
      <c r="D192" s="266">
        <v>1</v>
      </c>
      <c r="E192" s="267">
        <v>1</v>
      </c>
      <c r="F192" s="265"/>
      <c r="G192" s="403">
        <f>(C192*D192)+F192</f>
        <v>39206.441859516475</v>
      </c>
      <c r="K192" s="383">
        <v>0.15</v>
      </c>
      <c r="L192" s="663">
        <v>4562.9858732369848</v>
      </c>
      <c r="M192" s="614">
        <v>16832495.447387971</v>
      </c>
      <c r="N192" s="658">
        <v>669.6629132924794</v>
      </c>
    </row>
    <row r="193" spans="1:14" x14ac:dyDescent="0.2">
      <c r="A193" s="337" t="s">
        <v>792</v>
      </c>
      <c r="B193" s="261"/>
      <c r="C193" s="265">
        <f>C191-C192</f>
        <v>117619.32557854943</v>
      </c>
      <c r="D193" s="266"/>
      <c r="E193" s="267"/>
      <c r="F193" s="265"/>
      <c r="G193" s="403">
        <f>G191-G192</f>
        <v>94367.302707079289</v>
      </c>
      <c r="K193" s="383">
        <v>0.2</v>
      </c>
      <c r="L193" s="663">
        <v>4562.9858732369848</v>
      </c>
      <c r="M193" s="614">
        <v>2477118.9085477553</v>
      </c>
      <c r="N193" s="658">
        <v>669.6629132924794</v>
      </c>
    </row>
    <row r="194" spans="1:14" ht="15" x14ac:dyDescent="0.25">
      <c r="A194" s="270" t="s">
        <v>586</v>
      </c>
      <c r="B194" s="261"/>
      <c r="C194" s="265"/>
      <c r="D194" s="266"/>
      <c r="E194" s="267"/>
      <c r="F194" s="265"/>
      <c r="G194" s="403"/>
      <c r="K194" s="383">
        <v>0.25</v>
      </c>
      <c r="L194" s="663">
        <v>4562.9858732369848</v>
      </c>
      <c r="M194" s="614">
        <v>-10469563.938307881</v>
      </c>
      <c r="N194" s="658">
        <v>669.6629132924794</v>
      </c>
    </row>
    <row r="195" spans="1:14" x14ac:dyDescent="0.2">
      <c r="A195" s="337" t="s">
        <v>795</v>
      </c>
      <c r="B195" s="261"/>
      <c r="C195" s="265"/>
      <c r="D195" s="266"/>
      <c r="E195" s="267"/>
      <c r="F195" s="265"/>
      <c r="G195" s="403"/>
      <c r="K195" s="388">
        <v>0.3</v>
      </c>
      <c r="L195" s="666">
        <v>4562.9858732369848</v>
      </c>
      <c r="M195" s="620">
        <v>-22205207.910647467</v>
      </c>
      <c r="N195" s="661">
        <v>669.6629132924794</v>
      </c>
    </row>
    <row r="196" spans="1:14" x14ac:dyDescent="0.2">
      <c r="A196" s="260" t="s">
        <v>584</v>
      </c>
      <c r="B196" s="261"/>
      <c r="C196" s="265">
        <f>$D$22*$D$33</f>
        <v>9834.2769600000011</v>
      </c>
      <c r="D196" s="266">
        <v>1</v>
      </c>
      <c r="E196" s="267">
        <v>1</v>
      </c>
      <c r="F196" s="265"/>
      <c r="G196" s="403">
        <f>(C196*D196)+F196</f>
        <v>9834.2769600000011</v>
      </c>
    </row>
    <row r="197" spans="1:14" ht="51" x14ac:dyDescent="0.2">
      <c r="A197" s="260" t="s">
        <v>585</v>
      </c>
      <c r="B197" s="261"/>
      <c r="C197" s="265">
        <f>$D$30*D91*$D$22</f>
        <v>748.63008000000013</v>
      </c>
      <c r="D197" s="266">
        <v>1.2</v>
      </c>
      <c r="E197" s="267">
        <v>1</v>
      </c>
      <c r="F197" s="265"/>
      <c r="G197" s="403">
        <f>(C197*D197)+F197</f>
        <v>898.35609600000009</v>
      </c>
      <c r="K197" s="841" t="s">
        <v>1040</v>
      </c>
      <c r="L197" s="842" t="s">
        <v>1041</v>
      </c>
      <c r="M197" s="842" t="s">
        <v>1042</v>
      </c>
    </row>
    <row r="198" spans="1:14" x14ac:dyDescent="0.2">
      <c r="A198" s="337" t="s">
        <v>807</v>
      </c>
      <c r="B198" s="261"/>
      <c r="C198" s="265">
        <f>D59</f>
        <v>31500</v>
      </c>
      <c r="D198" s="266">
        <v>1</v>
      </c>
      <c r="E198" s="267">
        <v>1</v>
      </c>
      <c r="F198" s="265"/>
      <c r="G198" s="403">
        <f>(C198*D198)+F198</f>
        <v>31500</v>
      </c>
      <c r="K198" s="843"/>
      <c r="L198" s="855">
        <f>'Rice - Rainfed'!E568</f>
        <v>101407461.51341608</v>
      </c>
      <c r="M198" s="855">
        <f>'Rice - Irrigated'!J595</f>
        <v>32839707.744934857</v>
      </c>
    </row>
    <row r="199" spans="1:14" x14ac:dyDescent="0.2">
      <c r="A199" s="337" t="s">
        <v>808</v>
      </c>
      <c r="B199" s="261"/>
      <c r="C199" s="265">
        <f>D58</f>
        <v>4500</v>
      </c>
      <c r="D199" s="266">
        <v>1</v>
      </c>
      <c r="E199" s="267">
        <v>1</v>
      </c>
      <c r="F199" s="265"/>
      <c r="G199" s="403">
        <f>(C199*D199)+F199</f>
        <v>4500</v>
      </c>
      <c r="K199" s="844">
        <v>0.14000000000000001</v>
      </c>
      <c r="L199" s="828">
        <f t="dataTable" ref="L199:M205" dt2D="0" dtr="0" r1="D56" ca="1"/>
        <v>162962910.28156346</v>
      </c>
      <c r="M199" s="861">
        <v>51705561.034250244</v>
      </c>
    </row>
    <row r="200" spans="1:14" ht="13.5" thickBot="1" x14ac:dyDescent="0.25">
      <c r="A200" s="404" t="s">
        <v>802</v>
      </c>
      <c r="B200" s="273"/>
      <c r="C200" s="274">
        <f>C193-SUM(C196:C199)</f>
        <v>71036.41853854942</v>
      </c>
      <c r="D200" s="275"/>
      <c r="E200" s="275"/>
      <c r="F200" s="274"/>
      <c r="G200" s="274">
        <f>G193-SUM(G196:G199)</f>
        <v>47634.66965107929</v>
      </c>
      <c r="K200" s="845">
        <v>0.16</v>
      </c>
      <c r="L200" s="862">
        <v>153626144.69308937</v>
      </c>
      <c r="M200" s="863">
        <v>48843977.643763602</v>
      </c>
    </row>
    <row r="201" spans="1:14" ht="13.5" thickBot="1" x14ac:dyDescent="0.25">
      <c r="A201" s="277" t="s">
        <v>644</v>
      </c>
      <c r="B201" s="278"/>
      <c r="C201" s="282">
        <f>G200/C200</f>
        <v>0.67056688148247967</v>
      </c>
      <c r="K201" s="844">
        <v>0.18</v>
      </c>
      <c r="L201" s="828">
        <v>143575236.90416905</v>
      </c>
      <c r="M201" s="861">
        <v>45763520.014668599</v>
      </c>
    </row>
    <row r="202" spans="1:14" ht="13.5" thickBot="1" x14ac:dyDescent="0.25">
      <c r="K202" s="844">
        <v>0.2</v>
      </c>
      <c r="L202" s="828">
        <v>132724994.86014116</v>
      </c>
      <c r="M202" s="861">
        <v>42438078.016394712</v>
      </c>
    </row>
    <row r="203" spans="1:14" ht="15" x14ac:dyDescent="0.25">
      <c r="A203" s="256" t="s">
        <v>847</v>
      </c>
      <c r="B203" s="257"/>
      <c r="C203" s="258" t="s">
        <v>572</v>
      </c>
      <c r="D203" s="258" t="s">
        <v>782</v>
      </c>
      <c r="E203" s="258" t="s">
        <v>573</v>
      </c>
      <c r="F203" s="258" t="s">
        <v>574</v>
      </c>
      <c r="G203" s="259" t="s">
        <v>575</v>
      </c>
      <c r="K203" s="844">
        <v>0.22</v>
      </c>
      <c r="L203" s="828">
        <v>120976114.9677465</v>
      </c>
      <c r="M203" s="861">
        <v>38837216.53622622</v>
      </c>
    </row>
    <row r="204" spans="1:14" x14ac:dyDescent="0.2">
      <c r="A204" s="260" t="s">
        <v>828</v>
      </c>
      <c r="B204" s="261"/>
      <c r="C204" s="262"/>
      <c r="D204" s="263"/>
      <c r="E204" s="262"/>
      <c r="F204" s="262"/>
      <c r="G204" s="264"/>
      <c r="K204" s="850">
        <v>0.25</v>
      </c>
      <c r="L204" s="864">
        <v>101407461.51341608</v>
      </c>
      <c r="M204" s="865">
        <v>32839707.744934857</v>
      </c>
    </row>
    <row r="205" spans="1:14" x14ac:dyDescent="0.2">
      <c r="A205" s="260" t="s">
        <v>576</v>
      </c>
      <c r="B205" s="261"/>
      <c r="C205" s="265">
        <f>(D11+$D$25)*1.01</f>
        <v>476.52607999999998</v>
      </c>
      <c r="D205" s="266"/>
      <c r="E205" s="267"/>
      <c r="F205" s="267"/>
      <c r="G205" s="264"/>
      <c r="K205" s="846">
        <v>0.3</v>
      </c>
      <c r="L205" s="866">
        <v>62318132.795092121</v>
      </c>
      <c r="M205" s="867">
        <v>20859394.782626864</v>
      </c>
    </row>
    <row r="206" spans="1:14" x14ac:dyDescent="0.2">
      <c r="A206" s="268" t="s">
        <v>577</v>
      </c>
      <c r="B206" s="261"/>
      <c r="C206" s="265">
        <f>C205*$D$22</f>
        <v>81077.672134655993</v>
      </c>
      <c r="D206" s="266">
        <v>1</v>
      </c>
      <c r="E206" s="267">
        <v>1</v>
      </c>
      <c r="F206" s="265">
        <f>C206*$D$23</f>
        <v>6810.5244593111038</v>
      </c>
      <c r="G206" s="269">
        <f>(C206*D206)+F206</f>
        <v>87888.196593967092</v>
      </c>
    </row>
    <row r="207" spans="1:14" ht="15" x14ac:dyDescent="0.25">
      <c r="A207" s="270" t="s">
        <v>578</v>
      </c>
      <c r="B207" s="261"/>
      <c r="C207" s="265"/>
      <c r="D207" s="266"/>
      <c r="E207" s="267"/>
      <c r="F207" s="265"/>
      <c r="G207" s="269"/>
      <c r="L207" s="283"/>
      <c r="M207" s="283"/>
      <c r="N207" s="283"/>
    </row>
    <row r="208" spans="1:14" x14ac:dyDescent="0.2">
      <c r="A208" s="260" t="s">
        <v>579</v>
      </c>
      <c r="B208" s="261"/>
      <c r="C208" s="265">
        <f>C206*$D$50</f>
        <v>6648.3691150417917</v>
      </c>
      <c r="D208" s="266"/>
      <c r="E208" s="267"/>
      <c r="F208" s="265"/>
      <c r="G208" s="269"/>
    </row>
    <row r="209" spans="1:14" x14ac:dyDescent="0.2">
      <c r="A209" s="260" t="s">
        <v>580</v>
      </c>
      <c r="B209" s="261"/>
      <c r="C209" s="265">
        <v>0</v>
      </c>
      <c r="D209" s="266"/>
      <c r="E209" s="267"/>
      <c r="F209" s="265"/>
      <c r="G209" s="269"/>
    </row>
    <row r="210" spans="1:14" x14ac:dyDescent="0.2">
      <c r="A210" s="260" t="s">
        <v>581</v>
      </c>
      <c r="B210" s="261"/>
      <c r="C210" s="265">
        <f>C206+C208+C209</f>
        <v>87726.041249697781</v>
      </c>
      <c r="D210" s="266"/>
      <c r="E210" s="267"/>
      <c r="F210" s="265"/>
      <c r="G210" s="269">
        <f>G206</f>
        <v>87888.196593967092</v>
      </c>
    </row>
    <row r="211" spans="1:14" ht="15" x14ac:dyDescent="0.25">
      <c r="A211" s="260" t="s">
        <v>582</v>
      </c>
      <c r="B211" s="261"/>
      <c r="C211" s="271">
        <f>G210/C210</f>
        <v>1.0018484288354899</v>
      </c>
      <c r="D211" s="266"/>
      <c r="E211" s="267"/>
      <c r="F211" s="265"/>
      <c r="G211" s="269"/>
      <c r="L211" s="284"/>
      <c r="M211" s="284"/>
      <c r="N211" s="284"/>
    </row>
    <row r="212" spans="1:14" ht="15" x14ac:dyDescent="0.25">
      <c r="A212" s="270" t="s">
        <v>578</v>
      </c>
      <c r="B212" s="261"/>
      <c r="C212" s="265"/>
      <c r="D212" s="266"/>
      <c r="E212" s="267"/>
      <c r="F212" s="265"/>
      <c r="G212" s="269"/>
      <c r="L212" s="284"/>
      <c r="M212" s="284"/>
      <c r="N212" s="284"/>
    </row>
    <row r="213" spans="1:14" x14ac:dyDescent="0.2">
      <c r="A213" s="260" t="s">
        <v>583</v>
      </c>
      <c r="B213" s="261"/>
      <c r="C213" s="265"/>
      <c r="D213" s="266"/>
      <c r="E213" s="267"/>
      <c r="F213" s="265"/>
      <c r="G213" s="269"/>
      <c r="L213" s="284"/>
      <c r="M213" s="284"/>
      <c r="N213" s="284"/>
    </row>
    <row r="214" spans="1:14" x14ac:dyDescent="0.2">
      <c r="A214" s="260" t="s">
        <v>584</v>
      </c>
      <c r="B214" s="261"/>
      <c r="C214" s="265">
        <f>$D$33*$D$22</f>
        <v>9834.2769600000011</v>
      </c>
      <c r="D214" s="266">
        <v>1</v>
      </c>
      <c r="E214" s="267">
        <v>1</v>
      </c>
      <c r="F214" s="265"/>
      <c r="G214" s="269">
        <f>(C214*D214)+F214</f>
        <v>9834.2769600000011</v>
      </c>
      <c r="L214" s="284"/>
      <c r="M214" s="284"/>
      <c r="N214" s="284"/>
    </row>
    <row r="215" spans="1:14" x14ac:dyDescent="0.2">
      <c r="A215" s="260" t="s">
        <v>585</v>
      </c>
      <c r="B215" s="261"/>
      <c r="C215" s="265">
        <f>$D$30*AVERAGE($D$85:$D$90)*$D$22</f>
        <v>12666.820953600001</v>
      </c>
      <c r="D215" s="266">
        <f>$D$32</f>
        <v>1.2</v>
      </c>
      <c r="E215" s="267">
        <v>0.7</v>
      </c>
      <c r="F215" s="265">
        <f>E215*C215*$D$23</f>
        <v>744.80907207168002</v>
      </c>
      <c r="G215" s="269">
        <f>(C215*D215)+F215</f>
        <v>15944.994216391682</v>
      </c>
      <c r="L215" s="284"/>
      <c r="M215" s="284"/>
      <c r="N215" s="284"/>
    </row>
    <row r="216" spans="1:14" x14ac:dyDescent="0.2">
      <c r="A216" s="285" t="s">
        <v>700</v>
      </c>
      <c r="B216" s="286"/>
      <c r="C216" s="287">
        <f>C210+C214+C215</f>
        <v>110227.13916329779</v>
      </c>
      <c r="D216" s="288"/>
      <c r="E216" s="289"/>
      <c r="F216" s="287"/>
      <c r="G216" s="290">
        <f>G210+G214+G215</f>
        <v>113667.46777035878</v>
      </c>
      <c r="L216" s="284"/>
      <c r="M216" s="284"/>
      <c r="N216" s="284"/>
    </row>
    <row r="217" spans="1:14" ht="13.5" thickBot="1" x14ac:dyDescent="0.25">
      <c r="A217" s="291" t="s">
        <v>701</v>
      </c>
      <c r="B217" s="292"/>
      <c r="C217" s="293">
        <f>D16*$D$22</f>
        <v>103617.20880000001</v>
      </c>
      <c r="D217" s="294"/>
      <c r="E217" s="295"/>
      <c r="F217" s="293"/>
      <c r="G217" s="296"/>
      <c r="L217" s="284"/>
      <c r="M217" s="284"/>
      <c r="N217" s="284"/>
    </row>
    <row r="218" spans="1:14" ht="13.5" thickBot="1" x14ac:dyDescent="0.25">
      <c r="A218" s="277" t="s">
        <v>702</v>
      </c>
      <c r="B218" s="278"/>
      <c r="C218" s="297">
        <f>G216/C217</f>
        <v>1.0969941102134646</v>
      </c>
    </row>
    <row r="219" spans="1:14" ht="13.5" thickBot="1" x14ac:dyDescent="0.25"/>
    <row r="220" spans="1:14" ht="15" x14ac:dyDescent="0.25">
      <c r="A220" s="256" t="s">
        <v>848</v>
      </c>
      <c r="B220" s="257"/>
      <c r="C220" s="258" t="s">
        <v>572</v>
      </c>
      <c r="D220" s="258" t="s">
        <v>782</v>
      </c>
      <c r="E220" s="258" t="s">
        <v>573</v>
      </c>
      <c r="F220" s="258" t="s">
        <v>574</v>
      </c>
      <c r="G220" s="259" t="s">
        <v>575</v>
      </c>
    </row>
    <row r="221" spans="1:14" x14ac:dyDescent="0.2">
      <c r="A221" s="260" t="s">
        <v>829</v>
      </c>
      <c r="B221" s="261"/>
      <c r="C221" s="262"/>
      <c r="D221" s="263"/>
      <c r="E221" s="262"/>
      <c r="F221" s="262"/>
      <c r="G221" s="264"/>
    </row>
    <row r="222" spans="1:14" x14ac:dyDescent="0.2">
      <c r="A222" s="260" t="s">
        <v>576</v>
      </c>
      <c r="B222" s="261"/>
      <c r="C222" s="265">
        <f>(D12+$D$27)*1.01</f>
        <v>374.83927999999997</v>
      </c>
      <c r="D222" s="266"/>
      <c r="E222" s="267"/>
      <c r="F222" s="267"/>
      <c r="G222" s="264"/>
    </row>
    <row r="223" spans="1:14" x14ac:dyDescent="0.2">
      <c r="A223" s="268" t="s">
        <v>577</v>
      </c>
      <c r="B223" s="261"/>
      <c r="C223" s="265">
        <f>C222*$D$22</f>
        <v>63776.354584895998</v>
      </c>
      <c r="D223" s="266">
        <v>1</v>
      </c>
      <c r="E223" s="267">
        <v>1</v>
      </c>
      <c r="F223" s="265">
        <f>C223*$D$23</f>
        <v>5357.2137851312646</v>
      </c>
      <c r="G223" s="269">
        <f>(C223*D223)+F223</f>
        <v>69133.568370027264</v>
      </c>
    </row>
    <row r="224" spans="1:14" ht="15" x14ac:dyDescent="0.25">
      <c r="A224" s="270" t="s">
        <v>578</v>
      </c>
      <c r="B224" s="261"/>
      <c r="C224" s="265"/>
      <c r="D224" s="266"/>
      <c r="E224" s="267"/>
      <c r="F224" s="265"/>
      <c r="G224" s="269"/>
    </row>
    <row r="225" spans="1:7" x14ac:dyDescent="0.2">
      <c r="A225" s="260" t="s">
        <v>579</v>
      </c>
      <c r="B225" s="261"/>
      <c r="C225" s="265">
        <f>C223*$D$50</f>
        <v>5229.6610759614723</v>
      </c>
      <c r="D225" s="266"/>
      <c r="E225" s="267"/>
      <c r="F225" s="265"/>
      <c r="G225" s="269"/>
    </row>
    <row r="226" spans="1:7" x14ac:dyDescent="0.2">
      <c r="A226" s="260" t="s">
        <v>580</v>
      </c>
      <c r="B226" s="261"/>
      <c r="C226" s="265">
        <v>0</v>
      </c>
      <c r="D226" s="266"/>
      <c r="E226" s="267"/>
      <c r="F226" s="265"/>
      <c r="G226" s="269"/>
    </row>
    <row r="227" spans="1:7" x14ac:dyDescent="0.2">
      <c r="A227" s="260" t="s">
        <v>581</v>
      </c>
      <c r="B227" s="261"/>
      <c r="C227" s="265">
        <f>C223+C225+C226</f>
        <v>69006.015660857476</v>
      </c>
      <c r="D227" s="266"/>
      <c r="E227" s="267"/>
      <c r="F227" s="265"/>
      <c r="G227" s="269">
        <f>G223</f>
        <v>69133.568370027264</v>
      </c>
    </row>
    <row r="228" spans="1:7" ht="15" x14ac:dyDescent="0.25">
      <c r="A228" s="260" t="s">
        <v>582</v>
      </c>
      <c r="B228" s="261"/>
      <c r="C228" s="271">
        <f>G227/C227</f>
        <v>1.0018484288354899</v>
      </c>
      <c r="D228" s="266"/>
      <c r="E228" s="267"/>
      <c r="F228" s="265"/>
      <c r="G228" s="269"/>
    </row>
    <row r="229" spans="1:7" ht="15" x14ac:dyDescent="0.25">
      <c r="A229" s="270" t="s">
        <v>578</v>
      </c>
      <c r="B229" s="261"/>
      <c r="C229" s="265"/>
      <c r="D229" s="266"/>
      <c r="E229" s="267"/>
      <c r="F229" s="265"/>
      <c r="G229" s="269"/>
    </row>
    <row r="230" spans="1:7" x14ac:dyDescent="0.2">
      <c r="A230" s="260" t="s">
        <v>583</v>
      </c>
      <c r="B230" s="261"/>
      <c r="C230" s="265"/>
      <c r="D230" s="266"/>
      <c r="E230" s="267"/>
      <c r="F230" s="265"/>
      <c r="G230" s="269"/>
    </row>
    <row r="231" spans="1:7" x14ac:dyDescent="0.2">
      <c r="A231" s="260" t="s">
        <v>584</v>
      </c>
      <c r="B231" s="261"/>
      <c r="C231" s="265">
        <f>$D$33*$D$22</f>
        <v>9834.2769600000011</v>
      </c>
      <c r="D231" s="266">
        <v>1</v>
      </c>
      <c r="E231" s="267">
        <v>0</v>
      </c>
      <c r="F231" s="265"/>
      <c r="G231" s="269">
        <f>(C231*D231)+F231</f>
        <v>9834.2769600000011</v>
      </c>
    </row>
    <row r="232" spans="1:7" x14ac:dyDescent="0.2">
      <c r="A232" s="260" t="s">
        <v>585</v>
      </c>
      <c r="B232" s="261"/>
      <c r="C232" s="265">
        <f>$D$30*D87*$D$22</f>
        <v>14953.885848</v>
      </c>
      <c r="D232" s="266">
        <f>$D$32</f>
        <v>1.2</v>
      </c>
      <c r="E232" s="267">
        <v>0.7</v>
      </c>
      <c r="F232" s="265">
        <f>E232*C232*$D$23</f>
        <v>879.28848786239996</v>
      </c>
      <c r="G232" s="269">
        <f>(C232*D232)+F232</f>
        <v>18823.951505462399</v>
      </c>
    </row>
    <row r="233" spans="1:7" x14ac:dyDescent="0.2">
      <c r="A233" s="285" t="s">
        <v>700</v>
      </c>
      <c r="B233" s="286"/>
      <c r="C233" s="287">
        <f>C227+C231+C232</f>
        <v>93794.178468857484</v>
      </c>
      <c r="D233" s="288"/>
      <c r="E233" s="289"/>
      <c r="F233" s="287"/>
      <c r="G233" s="290">
        <f>G227+G231+G232</f>
        <v>97791.796835489658</v>
      </c>
    </row>
    <row r="234" spans="1:7" ht="13.5" thickBot="1" x14ac:dyDescent="0.25">
      <c r="A234" s="291" t="s">
        <v>701</v>
      </c>
      <c r="B234" s="292"/>
      <c r="C234" s="293">
        <f>D17*$D$22</f>
        <v>84391.027199999997</v>
      </c>
      <c r="D234" s="294"/>
      <c r="E234" s="295"/>
      <c r="F234" s="293"/>
      <c r="G234" s="296"/>
    </row>
    <row r="235" spans="1:7" ht="13.5" thickBot="1" x14ac:dyDescent="0.25">
      <c r="A235" s="277" t="s">
        <v>703</v>
      </c>
      <c r="B235" s="278"/>
      <c r="C235" s="297">
        <f>G233/C234</f>
        <v>1.1587937732258065</v>
      </c>
    </row>
    <row r="236" spans="1:7" ht="13.5" thickBot="1" x14ac:dyDescent="0.25"/>
    <row r="237" spans="1:7" ht="15" x14ac:dyDescent="0.25">
      <c r="A237" s="256" t="s">
        <v>849</v>
      </c>
      <c r="B237" s="257"/>
      <c r="C237" s="258" t="s">
        <v>572</v>
      </c>
      <c r="D237" s="258" t="s">
        <v>782</v>
      </c>
      <c r="E237" s="258" t="s">
        <v>573</v>
      </c>
      <c r="F237" s="258" t="s">
        <v>574</v>
      </c>
      <c r="G237" s="259" t="s">
        <v>575</v>
      </c>
    </row>
    <row r="238" spans="1:7" x14ac:dyDescent="0.2">
      <c r="A238" s="260" t="s">
        <v>830</v>
      </c>
      <c r="B238" s="261"/>
      <c r="C238" s="262"/>
      <c r="D238" s="263"/>
      <c r="E238" s="262"/>
      <c r="F238" s="262"/>
      <c r="G238" s="264"/>
    </row>
    <row r="239" spans="1:7" x14ac:dyDescent="0.2">
      <c r="A239" s="260" t="s">
        <v>576</v>
      </c>
      <c r="B239" s="261"/>
      <c r="C239" s="265">
        <f>(D18+$D$28)*1.01</f>
        <v>706.96363999999994</v>
      </c>
      <c r="D239" s="266"/>
      <c r="E239" s="267"/>
      <c r="F239" s="267"/>
      <c r="G239" s="264"/>
    </row>
    <row r="240" spans="1:7" x14ac:dyDescent="0.2">
      <c r="A240" s="268" t="s">
        <v>577</v>
      </c>
      <c r="B240" s="261"/>
      <c r="C240" s="265">
        <f>C239*$D$22</f>
        <v>120285.055993248</v>
      </c>
      <c r="D240" s="266">
        <v>1</v>
      </c>
      <c r="E240" s="267">
        <v>1</v>
      </c>
      <c r="F240" s="265">
        <f>C240*$D$23</f>
        <v>10103.944703432831</v>
      </c>
      <c r="G240" s="269">
        <f>(C240*D240)+F240</f>
        <v>130389.00069668083</v>
      </c>
    </row>
    <row r="241" spans="1:7" ht="15" x14ac:dyDescent="0.25">
      <c r="A241" s="270" t="s">
        <v>578</v>
      </c>
      <c r="B241" s="261"/>
      <c r="C241" s="265"/>
      <c r="D241" s="266"/>
      <c r="E241" s="267"/>
      <c r="F241" s="265"/>
      <c r="G241" s="269"/>
    </row>
    <row r="242" spans="1:7" x14ac:dyDescent="0.2">
      <c r="A242" s="260" t="s">
        <v>579</v>
      </c>
      <c r="B242" s="261"/>
      <c r="C242" s="265">
        <f>C240*$D$50</f>
        <v>9863.3745914463361</v>
      </c>
      <c r="D242" s="266"/>
      <c r="E242" s="267"/>
      <c r="F242" s="265"/>
      <c r="G242" s="269"/>
    </row>
    <row r="243" spans="1:7" x14ac:dyDescent="0.2">
      <c r="A243" s="260" t="s">
        <v>580</v>
      </c>
      <c r="B243" s="261"/>
      <c r="C243" s="265">
        <v>0</v>
      </c>
      <c r="D243" s="266"/>
      <c r="E243" s="267"/>
      <c r="F243" s="265"/>
      <c r="G243" s="269"/>
    </row>
    <row r="244" spans="1:7" x14ac:dyDescent="0.2">
      <c r="A244" s="260" t="s">
        <v>581</v>
      </c>
      <c r="B244" s="261"/>
      <c r="C244" s="265">
        <f>C240+C242+C243</f>
        <v>130148.43058469433</v>
      </c>
      <c r="D244" s="266"/>
      <c r="E244" s="267"/>
      <c r="F244" s="265"/>
      <c r="G244" s="269">
        <f>G240</f>
        <v>130389.00069668083</v>
      </c>
    </row>
    <row r="245" spans="1:7" ht="15" x14ac:dyDescent="0.25">
      <c r="A245" s="260" t="s">
        <v>582</v>
      </c>
      <c r="B245" s="261"/>
      <c r="C245" s="271">
        <f>G244/C244</f>
        <v>1.0018484288354899</v>
      </c>
      <c r="D245" s="266"/>
      <c r="E245" s="267"/>
      <c r="F245" s="265"/>
      <c r="G245" s="269"/>
    </row>
    <row r="246" spans="1:7" ht="15" x14ac:dyDescent="0.25">
      <c r="A246" s="270" t="s">
        <v>578</v>
      </c>
      <c r="B246" s="261"/>
      <c r="C246" s="265"/>
      <c r="D246" s="266"/>
      <c r="E246" s="267"/>
      <c r="F246" s="265"/>
      <c r="G246" s="269"/>
    </row>
    <row r="247" spans="1:7" x14ac:dyDescent="0.2">
      <c r="A247" s="260" t="s">
        <v>583</v>
      </c>
      <c r="B247" s="261"/>
      <c r="C247" s="265"/>
      <c r="D247" s="266"/>
      <c r="E247" s="267"/>
      <c r="F247" s="265"/>
      <c r="G247" s="269"/>
    </row>
    <row r="248" spans="1:7" x14ac:dyDescent="0.2">
      <c r="A248" s="260" t="s">
        <v>584</v>
      </c>
      <c r="B248" s="261"/>
      <c r="C248" s="265">
        <f>$D$33*$D$22</f>
        <v>9834.2769600000011</v>
      </c>
      <c r="D248" s="266">
        <v>1</v>
      </c>
      <c r="E248" s="267">
        <v>0</v>
      </c>
      <c r="F248" s="265"/>
      <c r="G248" s="269">
        <f>(C248*D248)+F248</f>
        <v>9834.2769600000011</v>
      </c>
    </row>
    <row r="249" spans="1:7" x14ac:dyDescent="0.2">
      <c r="A249" s="260" t="s">
        <v>585</v>
      </c>
      <c r="B249" s="261"/>
      <c r="C249" s="265">
        <f>$D$30*AVERAGE(D85,D87,D88,D89,D90)*$D$22</f>
        <v>14337.014662080001</v>
      </c>
      <c r="D249" s="266">
        <f>$D$32</f>
        <v>1.2</v>
      </c>
      <c r="E249" s="267">
        <v>0.7</v>
      </c>
      <c r="F249" s="265">
        <f>E249*C249*$D$23</f>
        <v>843.01646213030403</v>
      </c>
      <c r="G249" s="269">
        <f>(C249*D249)+F249</f>
        <v>18047.434056626305</v>
      </c>
    </row>
    <row r="250" spans="1:7" x14ac:dyDescent="0.2">
      <c r="A250" s="285" t="s">
        <v>700</v>
      </c>
      <c r="B250" s="286"/>
      <c r="C250" s="287">
        <f>C244+C248+C249</f>
        <v>154319.72220677434</v>
      </c>
      <c r="D250" s="288"/>
      <c r="E250" s="289"/>
      <c r="F250" s="287"/>
      <c r="G250" s="290">
        <f>G244+G248+G249</f>
        <v>158270.71171330713</v>
      </c>
    </row>
    <row r="251" spans="1:7" ht="13.5" thickBot="1" x14ac:dyDescent="0.25">
      <c r="A251" s="291" t="s">
        <v>701</v>
      </c>
      <c r="B251" s="292"/>
      <c r="C251" s="293">
        <f>D18*$D$22</f>
        <v>102766.49280000001</v>
      </c>
      <c r="D251" s="294"/>
      <c r="E251" s="295"/>
      <c r="F251" s="293"/>
      <c r="G251" s="296"/>
    </row>
    <row r="252" spans="1:7" ht="13.5" thickBot="1" x14ac:dyDescent="0.25">
      <c r="A252" s="277" t="s">
        <v>704</v>
      </c>
      <c r="B252" s="278"/>
      <c r="C252" s="297">
        <f>G250/C251</f>
        <v>1.5401003517880794</v>
      </c>
    </row>
  </sheetData>
  <customSheetViews>
    <customSheetView guid="{1474D8E2-8801-474F-99A3-0D3DFA4B5FB3}" topLeftCell="A20">
      <pane ySplit="3" topLeftCell="A237" activePane="bottomLeft"/>
      <selection pane="bottomLeft" activeCell="C260" sqref="C260"/>
      <pageMargins left="0.7" right="0.7" top="0.75" bottom="0.75" header="0.3" footer="0.3"/>
      <pageSetup orientation="portrait" r:id="rId1"/>
    </customSheetView>
    <customSheetView guid="{0270675F-18D5-4C83-B813-43237B4A5065}" scale="85" topLeftCell="A211">
      <selection activeCell="C164" sqref="C164"/>
      <pageMargins left="0.7" right="0.7" top="0.75" bottom="0.75" header="0.3" footer="0.3"/>
      <pageSetup orientation="portrait" r:id="rId2"/>
    </customSheetView>
    <customSheetView guid="{68E4D3DD-37C5-4451-9CB1-FD36A6953DAF}" scale="85" topLeftCell="A11">
      <pane ySplit="19" topLeftCell="A200" activePane="bottomLeft"/>
      <selection pane="bottomLeft" activeCell="C207" sqref="C207"/>
      <pageMargins left="0.7" right="0.7" top="0.75" bottom="0.75" header="0.3" footer="0.3"/>
      <pageSetup orientation="portrait" r:id="rId3"/>
    </customSheetView>
  </customSheetViews>
  <hyperlinks>
    <hyperlink ref="F34" r:id="rId4"/>
  </hyperlinks>
  <pageMargins left="0.7" right="0.7" top="0.75" bottom="0.75" header="0.3" footer="0.3"/>
  <pageSetup orientation="portrait" r:id="rId5"/>
  <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8"/>
  <sheetViews>
    <sheetView topLeftCell="A16" workbookViewId="0">
      <selection activeCell="D4" sqref="D4"/>
    </sheetView>
  </sheetViews>
  <sheetFormatPr defaultRowHeight="12.75" x14ac:dyDescent="0.2"/>
  <cols>
    <col min="1" max="1" width="3" style="241" customWidth="1"/>
    <col min="2" max="2" width="9.140625" style="241"/>
    <col min="3" max="3" width="18.140625" style="241" customWidth="1"/>
    <col min="4" max="4" width="15.5703125" style="241" bestFit="1" customWidth="1"/>
    <col min="5" max="5" width="18.28515625" style="241" customWidth="1"/>
    <col min="6" max="6" width="18.5703125" style="241" customWidth="1"/>
    <col min="7" max="7" width="14.42578125" style="241" customWidth="1"/>
    <col min="8" max="8" width="16.42578125" style="241" customWidth="1"/>
    <col min="9" max="9" width="22" style="241" customWidth="1"/>
    <col min="10" max="10" width="19.42578125" style="241" customWidth="1"/>
    <col min="11" max="11" width="18" style="241" customWidth="1"/>
    <col min="12" max="12" width="16.7109375" style="241" customWidth="1"/>
    <col min="13" max="13" width="16.5703125" style="241" customWidth="1"/>
    <col min="14" max="16384" width="9.140625" style="241"/>
  </cols>
  <sheetData>
    <row r="1" spans="1:26" customFormat="1" ht="45" customHeight="1" x14ac:dyDescent="0.3">
      <c r="A1" s="1"/>
      <c r="B1" s="2"/>
      <c r="C1" s="2"/>
      <c r="D1" s="2"/>
      <c r="E1" s="2"/>
      <c r="F1" s="2"/>
      <c r="G1" s="2"/>
      <c r="H1" s="2"/>
      <c r="I1" s="2"/>
      <c r="J1" s="2"/>
      <c r="K1" s="2"/>
      <c r="L1" s="2"/>
      <c r="M1" s="2"/>
      <c r="N1" s="2"/>
      <c r="O1" s="2"/>
      <c r="P1" s="2"/>
      <c r="Q1" s="2"/>
      <c r="R1" s="2"/>
      <c r="S1" s="2"/>
      <c r="T1" s="2"/>
      <c r="U1" s="2"/>
      <c r="V1" s="2"/>
      <c r="W1" s="2"/>
      <c r="X1" s="2"/>
      <c r="Y1" s="2"/>
      <c r="Z1" s="2"/>
    </row>
    <row r="2" spans="1:26" customFormat="1" ht="28.5" customHeight="1" x14ac:dyDescent="0.2">
      <c r="A2" s="225" t="s">
        <v>978</v>
      </c>
      <c r="B2" s="2"/>
      <c r="C2" s="2"/>
      <c r="D2" s="2"/>
      <c r="E2" s="2"/>
      <c r="F2" s="2"/>
      <c r="G2" s="2"/>
      <c r="H2" s="2"/>
      <c r="I2" s="2"/>
      <c r="J2" s="2"/>
      <c r="K2" s="2"/>
      <c r="L2" s="2"/>
      <c r="M2" s="2"/>
      <c r="N2" s="2"/>
      <c r="O2" s="2"/>
      <c r="P2" s="2"/>
      <c r="Q2" s="2"/>
      <c r="R2" s="2"/>
      <c r="S2" s="2"/>
      <c r="T2" s="2"/>
      <c r="U2" s="2"/>
      <c r="V2" s="2"/>
      <c r="W2" s="2"/>
      <c r="X2" s="2"/>
      <c r="Y2" s="2"/>
      <c r="Z2" s="2"/>
    </row>
    <row r="3" spans="1:26" ht="13.5" thickBot="1" x14ac:dyDescent="0.25"/>
    <row r="4" spans="1:26" ht="13.5" thickTop="1" x14ac:dyDescent="0.2">
      <c r="A4" s="791" t="s">
        <v>979</v>
      </c>
      <c r="B4" s="784"/>
      <c r="C4" s="784"/>
      <c r="D4" s="815" t="s">
        <v>1072</v>
      </c>
      <c r="E4" s="816"/>
      <c r="F4" s="786"/>
      <c r="G4" s="786"/>
      <c r="J4" s="786"/>
    </row>
    <row r="5" spans="1:26" x14ac:dyDescent="0.2">
      <c r="A5" s="784"/>
      <c r="B5" s="784"/>
      <c r="C5" s="784"/>
      <c r="D5" s="817"/>
      <c r="E5" s="818"/>
      <c r="F5" s="786"/>
      <c r="G5" s="786"/>
      <c r="J5" s="786"/>
    </row>
    <row r="6" spans="1:26" ht="25.5" customHeight="1" x14ac:dyDescent="0.2">
      <c r="C6" s="685"/>
      <c r="D6" s="898"/>
      <c r="E6" s="686"/>
      <c r="F6" s="786"/>
      <c r="G6" s="786"/>
      <c r="J6" s="786"/>
    </row>
    <row r="7" spans="1:26" ht="25.5" x14ac:dyDescent="0.2">
      <c r="C7" s="699" t="s">
        <v>611</v>
      </c>
      <c r="D7" s="700" t="s">
        <v>774</v>
      </c>
      <c r="E7" s="701" t="s">
        <v>775</v>
      </c>
      <c r="F7" s="786"/>
      <c r="G7" s="786"/>
      <c r="J7" s="786"/>
    </row>
    <row r="8" spans="1:26" ht="25.5" customHeight="1" x14ac:dyDescent="0.2">
      <c r="C8" s="682" t="s">
        <v>612</v>
      </c>
      <c r="D8" s="683">
        <v>40000</v>
      </c>
      <c r="E8" s="684">
        <f>(D8/$D$16)*$D$18</f>
        <v>3472745.4061461855</v>
      </c>
      <c r="F8" s="786"/>
      <c r="G8" s="786"/>
      <c r="J8" s="786"/>
      <c r="M8" s="690"/>
    </row>
    <row r="9" spans="1:26" ht="25.5" customHeight="1" x14ac:dyDescent="0.2">
      <c r="C9" s="682" t="s">
        <v>613</v>
      </c>
      <c r="D9" s="683">
        <v>264735</v>
      </c>
      <c r="E9" s="899">
        <f>(D9/$D$16)*$D$18</f>
        <v>22983931.37740276</v>
      </c>
      <c r="F9" s="786"/>
      <c r="G9" s="786"/>
      <c r="J9" s="786"/>
      <c r="M9" s="690"/>
    </row>
    <row r="10" spans="1:26" ht="25.5" customHeight="1" x14ac:dyDescent="0.2">
      <c r="C10" s="682" t="s">
        <v>521</v>
      </c>
      <c r="D10" s="683">
        <v>82120</v>
      </c>
      <c r="E10" s="684">
        <f>(D10/$D$16)*$D$18</f>
        <v>7129546.3188181184</v>
      </c>
      <c r="F10" s="786"/>
      <c r="G10" s="786"/>
      <c r="J10" s="786"/>
      <c r="M10" s="690"/>
    </row>
    <row r="11" spans="1:26" ht="25.5" customHeight="1" x14ac:dyDescent="0.2">
      <c r="C11" s="682" t="s">
        <v>598</v>
      </c>
      <c r="D11" s="683">
        <v>64500</v>
      </c>
      <c r="E11" s="684">
        <f>(D11/$D$16)*$D$18</f>
        <v>5599801.9674107246</v>
      </c>
      <c r="F11" s="786"/>
      <c r="G11" s="786"/>
      <c r="J11" s="786"/>
      <c r="M11" s="690"/>
    </row>
    <row r="12" spans="1:26" ht="25.5" customHeight="1" x14ac:dyDescent="0.2">
      <c r="C12" s="682" t="s">
        <v>520</v>
      </c>
      <c r="D12" s="683">
        <v>35000</v>
      </c>
      <c r="E12" s="684">
        <f>(D12/$D$16)*$D$18</f>
        <v>3038652.2303779121</v>
      </c>
      <c r="F12" s="786"/>
      <c r="G12" s="786"/>
      <c r="J12" s="786"/>
      <c r="M12" s="690"/>
    </row>
    <row r="13" spans="1:26" ht="25.5" customHeight="1" x14ac:dyDescent="0.2">
      <c r="C13" s="682" t="s">
        <v>523</v>
      </c>
      <c r="D13" s="683">
        <v>88000</v>
      </c>
      <c r="E13" s="684">
        <f>(D13/$D$16)*$D$18</f>
        <v>7640039.8935216069</v>
      </c>
      <c r="F13" s="786"/>
      <c r="G13" s="786"/>
      <c r="J13" s="786"/>
      <c r="M13" s="690"/>
    </row>
    <row r="14" spans="1:26" ht="25.5" customHeight="1" x14ac:dyDescent="0.2">
      <c r="C14" s="682" t="s">
        <v>517</v>
      </c>
      <c r="D14" s="683">
        <v>92200</v>
      </c>
      <c r="E14" s="684">
        <f>(D14/$D$16)*$D$18</f>
        <v>8004678.1611669566</v>
      </c>
      <c r="F14" s="786"/>
      <c r="G14" s="786"/>
      <c r="J14" s="786"/>
      <c r="M14" s="690"/>
    </row>
    <row r="15" spans="1:26" ht="25.5" customHeight="1" x14ac:dyDescent="0.2">
      <c r="C15" s="682" t="s">
        <v>525</v>
      </c>
      <c r="D15" s="683">
        <v>30300</v>
      </c>
      <c r="E15" s="684">
        <f>(D15/$D$16)*$D$18</f>
        <v>2630604.6451557353</v>
      </c>
      <c r="F15" s="786"/>
      <c r="G15" s="786"/>
      <c r="J15" s="786"/>
      <c r="M15" s="690"/>
    </row>
    <row r="16" spans="1:26" x14ac:dyDescent="0.2">
      <c r="C16" s="691" t="s">
        <v>285</v>
      </c>
      <c r="D16" s="692">
        <f>SUM(D8:D15)</f>
        <v>696855</v>
      </c>
      <c r="E16" s="693">
        <f>SUM(E8:E15)</f>
        <v>60500000</v>
      </c>
      <c r="F16" s="786"/>
      <c r="G16" s="786"/>
      <c r="J16" s="786"/>
      <c r="M16" s="690"/>
    </row>
    <row r="18" spans="1:12" ht="25.5" x14ac:dyDescent="0.2">
      <c r="C18" s="694" t="s">
        <v>938</v>
      </c>
      <c r="D18" s="695">
        <v>60500000</v>
      </c>
    </row>
    <row r="20" spans="1:12" x14ac:dyDescent="0.2">
      <c r="A20" s="791" t="s">
        <v>980</v>
      </c>
      <c r="B20" s="784"/>
      <c r="C20" s="784"/>
      <c r="D20" s="784"/>
      <c r="E20" s="784"/>
      <c r="F20" s="784"/>
      <c r="G20" s="784"/>
      <c r="H20" s="784"/>
      <c r="I20" s="784"/>
      <c r="J20" s="784"/>
      <c r="K20" s="784"/>
    </row>
    <row r="21" spans="1:12" x14ac:dyDescent="0.2">
      <c r="A21" s="786"/>
      <c r="B21" s="791" t="s">
        <v>981</v>
      </c>
      <c r="C21" s="784"/>
      <c r="D21" s="784"/>
      <c r="E21" s="784"/>
      <c r="F21" s="784"/>
      <c r="G21" s="784"/>
      <c r="H21" s="784"/>
      <c r="I21" s="784"/>
      <c r="J21" s="784"/>
      <c r="K21" s="784"/>
    </row>
    <row r="22" spans="1:12" ht="13.5" thickBot="1" x14ac:dyDescent="0.25">
      <c r="B22" s="696"/>
    </row>
    <row r="23" spans="1:12" ht="13.5" thickBot="1" x14ac:dyDescent="0.25">
      <c r="C23" s="787"/>
      <c r="D23" s="788" t="s">
        <v>525</v>
      </c>
      <c r="E23" s="788" t="s">
        <v>520</v>
      </c>
      <c r="F23" s="788" t="s">
        <v>523</v>
      </c>
      <c r="G23" s="788" t="s">
        <v>517</v>
      </c>
      <c r="H23" s="788" t="s">
        <v>596</v>
      </c>
      <c r="I23" s="788" t="s">
        <v>597</v>
      </c>
      <c r="J23" s="788" t="s">
        <v>521</v>
      </c>
      <c r="K23" s="788" t="s">
        <v>598</v>
      </c>
    </row>
    <row r="24" spans="1:12" ht="26.25" thickBot="1" x14ac:dyDescent="0.25">
      <c r="C24" s="789" t="s">
        <v>728</v>
      </c>
      <c r="D24" s="790">
        <f>Aquaculture!F456</f>
        <v>92082894.227609545</v>
      </c>
      <c r="E24" s="790">
        <f>Cassava!F495</f>
        <v>5189508.6187717067</v>
      </c>
      <c r="F24" s="790">
        <f>Cocoa!F481</f>
        <v>247338270.26674476</v>
      </c>
      <c r="G24" s="790">
        <f>Maize!F531</f>
        <v>53094452.597189017</v>
      </c>
      <c r="H24" s="790">
        <f>'Rice - Rainfed'!F492</f>
        <v>101407461.51341608</v>
      </c>
      <c r="I24" s="790">
        <f>'Rice - Irrigated'!F519</f>
        <v>32839707.744934857</v>
      </c>
      <c r="J24" s="790">
        <f>Sorghum!F482</f>
        <v>25845736.340979856</v>
      </c>
      <c r="K24" s="790">
        <f>Soybean!F544</f>
        <v>26681951.535890691</v>
      </c>
      <c r="L24" s="241" t="s">
        <v>976</v>
      </c>
    </row>
    <row r="26" spans="1:12" x14ac:dyDescent="0.2">
      <c r="B26" s="791" t="s">
        <v>977</v>
      </c>
      <c r="C26" s="784"/>
      <c r="D26" s="784"/>
      <c r="E26" s="784"/>
      <c r="F26" s="784"/>
      <c r="G26" s="784"/>
      <c r="H26" s="784"/>
      <c r="I26" s="784"/>
      <c r="J26" s="784"/>
      <c r="K26" s="784"/>
    </row>
    <row r="27" spans="1:12" x14ac:dyDescent="0.2">
      <c r="B27" s="696"/>
    </row>
    <row r="28" spans="1:12" x14ac:dyDescent="0.2">
      <c r="C28" s="687"/>
      <c r="D28" s="688" t="s">
        <v>982</v>
      </c>
      <c r="E28" s="688"/>
      <c r="F28" s="688"/>
      <c r="G28" s="689"/>
      <c r="H28" s="688"/>
      <c r="I28" s="688"/>
      <c r="J28" s="689"/>
      <c r="K28" s="688"/>
      <c r="L28" s="241" t="s">
        <v>976</v>
      </c>
    </row>
    <row r="29" spans="1:12" ht="25.5" x14ac:dyDescent="0.2">
      <c r="C29" s="792" t="s">
        <v>939</v>
      </c>
      <c r="D29" s="793" t="str">
        <f t="shared" ref="D29:K29" si="0">D23</f>
        <v>Aquaculture</v>
      </c>
      <c r="E29" s="793" t="str">
        <f t="shared" si="0"/>
        <v>Cassava</v>
      </c>
      <c r="F29" s="793" t="str">
        <f t="shared" si="0"/>
        <v>Cocoa</v>
      </c>
      <c r="G29" s="793" t="str">
        <f t="shared" si="0"/>
        <v>Maize</v>
      </c>
      <c r="H29" s="793" t="str">
        <f t="shared" si="0"/>
        <v>Rice - Rainfed</v>
      </c>
      <c r="I29" s="793" t="str">
        <f t="shared" si="0"/>
        <v>Rice - Irrigated</v>
      </c>
      <c r="J29" s="793" t="str">
        <f t="shared" si="0"/>
        <v>Sorghum</v>
      </c>
      <c r="K29" s="793" t="str">
        <f t="shared" si="0"/>
        <v>Soybean</v>
      </c>
      <c r="L29" s="241" t="s">
        <v>976</v>
      </c>
    </row>
    <row r="30" spans="1:12" x14ac:dyDescent="0.2">
      <c r="C30" s="794"/>
      <c r="D30" s="809">
        <f>D24</f>
        <v>92082894.227609545</v>
      </c>
      <c r="E30" s="809">
        <f t="shared" ref="E30:K30" si="1">E24</f>
        <v>5189508.6187717067</v>
      </c>
      <c r="F30" s="809">
        <f t="shared" si="1"/>
        <v>247338270.26674476</v>
      </c>
      <c r="G30" s="809">
        <f t="shared" si="1"/>
        <v>53094452.597189017</v>
      </c>
      <c r="H30" s="809">
        <f t="shared" si="1"/>
        <v>101407461.51341608</v>
      </c>
      <c r="I30" s="809">
        <f t="shared" si="1"/>
        <v>32839707.744934857</v>
      </c>
      <c r="J30" s="809">
        <f t="shared" si="1"/>
        <v>25845736.340979856</v>
      </c>
      <c r="K30" s="809">
        <f t="shared" si="1"/>
        <v>26681951.535890691</v>
      </c>
      <c r="L30" s="241" t="s">
        <v>976</v>
      </c>
    </row>
    <row r="31" spans="1:12" x14ac:dyDescent="0.2">
      <c r="C31" s="810">
        <f>C32-3000000</f>
        <v>48500000</v>
      </c>
      <c r="D31" s="811">
        <f t="dataTable" ref="D31:K38" dt2D="0" dtr="0" r1="D18"/>
        <v>92452559.25025633</v>
      </c>
      <c r="E31" s="811">
        <v>5630926.4939911831</v>
      </c>
      <c r="F31" s="811">
        <v>248447911.94481587</v>
      </c>
      <c r="G31" s="812">
        <v>54376476.351659447</v>
      </c>
      <c r="H31" s="812">
        <v>104937736.52983862</v>
      </c>
      <c r="I31" s="812">
        <v>33334352.588190597</v>
      </c>
      <c r="J31" s="812">
        <v>26974817.610769209</v>
      </c>
      <c r="K31" s="812">
        <v>27494910.037384868</v>
      </c>
    </row>
    <row r="32" spans="1:12" x14ac:dyDescent="0.2">
      <c r="C32" s="810">
        <f>C33-3000000</f>
        <v>51500000</v>
      </c>
      <c r="D32" s="811">
        <v>92360142.994594634</v>
      </c>
      <c r="E32" s="811">
        <v>5520572.0251863142</v>
      </c>
      <c r="F32" s="811">
        <v>248170501.52529818</v>
      </c>
      <c r="G32" s="812">
        <v>54055970.41304183</v>
      </c>
      <c r="H32" s="812">
        <v>104055167.77573296</v>
      </c>
      <c r="I32" s="812">
        <v>33210691.377376664</v>
      </c>
      <c r="J32" s="812">
        <v>26692547.29332187</v>
      </c>
      <c r="K32" s="812">
        <v>27291670.412011322</v>
      </c>
      <c r="L32" s="241" t="s">
        <v>976</v>
      </c>
    </row>
    <row r="33" spans="3:12" x14ac:dyDescent="0.2">
      <c r="C33" s="810">
        <f>C34-3000000</f>
        <v>54500000</v>
      </c>
      <c r="D33" s="811">
        <v>92267726.738932922</v>
      </c>
      <c r="E33" s="811">
        <v>5410217.5563814444</v>
      </c>
      <c r="F33" s="811">
        <v>247893091.10578033</v>
      </c>
      <c r="G33" s="812">
        <v>53735464.474424228</v>
      </c>
      <c r="H33" s="812">
        <v>103172599.02162734</v>
      </c>
      <c r="I33" s="812">
        <v>33087030.166562721</v>
      </c>
      <c r="J33" s="812">
        <v>26410276.975874532</v>
      </c>
      <c r="K33" s="812">
        <v>27088430.786637776</v>
      </c>
      <c r="L33" s="241" t="s">
        <v>921</v>
      </c>
    </row>
    <row r="34" spans="3:12" x14ac:dyDescent="0.2">
      <c r="C34" s="810">
        <f>C35-3000000</f>
        <v>57500000</v>
      </c>
      <c r="D34" s="811">
        <v>92175310.483271241</v>
      </c>
      <c r="E34" s="811">
        <v>5299863.0875765756</v>
      </c>
      <c r="F34" s="811">
        <v>247615680.68626258</v>
      </c>
      <c r="G34" s="812">
        <v>53414958.535806634</v>
      </c>
      <c r="H34" s="812">
        <v>102290030.26752169</v>
      </c>
      <c r="I34" s="812">
        <v>32963368.955748789</v>
      </c>
      <c r="J34" s="812">
        <v>26128006.658427197</v>
      </c>
      <c r="K34" s="812">
        <v>26885191.161264237</v>
      </c>
    </row>
    <row r="35" spans="3:12" x14ac:dyDescent="0.2">
      <c r="C35" s="606">
        <v>60500000</v>
      </c>
      <c r="D35" s="697">
        <v>92082894.227609545</v>
      </c>
      <c r="E35" s="697">
        <v>5189508.6187717067</v>
      </c>
      <c r="F35" s="697">
        <v>247338270.26674476</v>
      </c>
      <c r="G35" s="698">
        <v>53094452.597189017</v>
      </c>
      <c r="H35" s="698">
        <v>101407461.51341608</v>
      </c>
      <c r="I35" s="698">
        <v>32839707.744934857</v>
      </c>
      <c r="J35" s="698">
        <v>25845736.340979856</v>
      </c>
      <c r="K35" s="698">
        <v>26681951.535890691</v>
      </c>
    </row>
    <row r="36" spans="3:12" x14ac:dyDescent="0.2">
      <c r="C36" s="795">
        <f>C35+3000000</f>
        <v>63500000</v>
      </c>
      <c r="D36" s="811">
        <v>91990477.971947834</v>
      </c>
      <c r="E36" s="811">
        <v>5079154.1499668378</v>
      </c>
      <c r="F36" s="811">
        <v>247060859.84722701</v>
      </c>
      <c r="G36" s="812">
        <v>52773946.658571407</v>
      </c>
      <c r="H36" s="812">
        <v>100524892.75931042</v>
      </c>
      <c r="I36" s="812">
        <v>32716046.534120917</v>
      </c>
      <c r="J36" s="812">
        <v>25563466.023532521</v>
      </c>
      <c r="K36" s="812">
        <v>26478711.910517149</v>
      </c>
    </row>
    <row r="37" spans="3:12" x14ac:dyDescent="0.2">
      <c r="C37" s="795">
        <f>C36+3000000</f>
        <v>66500000</v>
      </c>
      <c r="D37" s="811">
        <v>91898061.716286153</v>
      </c>
      <c r="E37" s="811">
        <v>4968799.6811619699</v>
      </c>
      <c r="F37" s="811">
        <v>246783449.42770922</v>
      </c>
      <c r="G37" s="812">
        <v>52453440.719953798</v>
      </c>
      <c r="H37" s="812">
        <v>99642324.005204797</v>
      </c>
      <c r="I37" s="812">
        <v>32592385.323306981</v>
      </c>
      <c r="J37" s="812">
        <v>25281195.706085183</v>
      </c>
      <c r="K37" s="812">
        <v>26275472.285143603</v>
      </c>
    </row>
    <row r="38" spans="3:12" x14ac:dyDescent="0.2">
      <c r="C38" s="796">
        <f>C37+3000000</f>
        <v>69500000</v>
      </c>
      <c r="D38" s="813">
        <v>91805645.460624471</v>
      </c>
      <c r="E38" s="813">
        <v>4858445.2123571001</v>
      </c>
      <c r="F38" s="813">
        <v>246506039.00819141</v>
      </c>
      <c r="G38" s="814">
        <v>52132934.781336196</v>
      </c>
      <c r="H38" s="814">
        <v>98759755.251099154</v>
      </c>
      <c r="I38" s="814">
        <v>32468724.112493046</v>
      </c>
      <c r="J38" s="814">
        <v>24998925.388637844</v>
      </c>
      <c r="K38" s="814">
        <v>26072232.659770057</v>
      </c>
    </row>
  </sheetData>
  <customSheetViews>
    <customSheetView guid="{1474D8E2-8801-474F-99A3-0D3DFA4B5FB3}" hiddenRows="1" topLeftCell="A6">
      <selection activeCell="J42" sqref="J42"/>
      <pageMargins left="0.7" right="0.7" top="0.75" bottom="0.75" header="0.3" footer="0.3"/>
      <pageSetup orientation="portrait" r:id="rId1"/>
    </customSheetView>
    <customSheetView guid="{0270675F-18D5-4C83-B813-43237B4A5065}" state="hidden">
      <selection activeCell="K23" sqref="K23"/>
      <pageMargins left="0.7" right="0.7" top="0.75" bottom="0.75" header="0.3" footer="0.3"/>
    </customSheetView>
    <customSheetView guid="{68E4D3DD-37C5-4451-9CB1-FD36A6953DAF}" hiddenRows="1" topLeftCell="A6">
      <selection activeCell="J42" sqref="J42"/>
      <pageMargins left="0.7" right="0.7" top="0.75" bottom="0.75" header="0.3" footer="0.3"/>
      <pageSetup orientation="portrait" r:id="rId2"/>
    </customSheetView>
  </customSheetView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4"/>
  <sheetViews>
    <sheetView zoomScale="90" zoomScaleNormal="90" workbookViewId="0">
      <selection activeCell="A34" sqref="A34"/>
    </sheetView>
  </sheetViews>
  <sheetFormatPr defaultRowHeight="12.75" x14ac:dyDescent="0.2"/>
  <cols>
    <col min="1" max="1" width="21.28515625" style="241" customWidth="1"/>
    <col min="2" max="2" width="15" style="241" customWidth="1"/>
    <col min="3" max="3" width="14.28515625" style="241" customWidth="1"/>
    <col min="4" max="4" width="16.42578125" style="241" customWidth="1"/>
    <col min="5" max="5" width="18.5703125" style="241" customWidth="1"/>
    <col min="6" max="11" width="16.42578125" style="241" customWidth="1"/>
    <col min="12" max="14" width="13" style="241" customWidth="1"/>
    <col min="15" max="15" width="10.28515625" style="241" bestFit="1" customWidth="1"/>
    <col min="16" max="16384" width="9.140625" style="241"/>
  </cols>
  <sheetData>
    <row r="1" spans="1:16384" x14ac:dyDescent="0.2">
      <c r="E1" s="57"/>
    </row>
    <row r="2" spans="1:16384" x14ac:dyDescent="0.2">
      <c r="E2" s="57"/>
    </row>
    <row r="3" spans="1:16384" x14ac:dyDescent="0.2">
      <c r="E3" s="57"/>
    </row>
    <row r="4" spans="1:16384" x14ac:dyDescent="0.2">
      <c r="E4" s="57"/>
    </row>
    <row r="5" spans="1:16384" s="143" customFormat="1" ht="28.5" customHeight="1" x14ac:dyDescent="0.2">
      <c r="A5" s="144" t="s">
        <v>712</v>
      </c>
      <c r="B5" s="119"/>
      <c r="C5" s="119"/>
      <c r="D5" s="119"/>
      <c r="E5" s="119"/>
      <c r="F5" s="241"/>
      <c r="G5" s="241"/>
      <c r="H5" s="241"/>
      <c r="I5" s="241"/>
      <c r="J5" s="241"/>
      <c r="K5" s="241"/>
      <c r="L5" s="241"/>
      <c r="M5" s="241"/>
      <c r="N5" s="241"/>
      <c r="O5" s="241"/>
      <c r="P5" s="241"/>
      <c r="Q5" s="241"/>
      <c r="R5" s="241"/>
      <c r="S5" s="241"/>
      <c r="T5" s="241"/>
      <c r="U5" s="241"/>
      <c r="V5" s="241"/>
      <c r="W5" s="241"/>
      <c r="X5" s="241"/>
      <c r="Y5" s="241"/>
      <c r="Z5" s="241"/>
      <c r="AA5" s="241"/>
      <c r="AB5" s="241"/>
      <c r="AC5" s="241"/>
      <c r="AD5" s="241"/>
      <c r="AE5" s="241"/>
      <c r="AF5" s="241"/>
      <c r="AG5" s="241"/>
      <c r="AH5" s="241"/>
      <c r="AI5" s="241"/>
      <c r="AJ5" s="241"/>
      <c r="AK5" s="241"/>
      <c r="AL5" s="241"/>
      <c r="AM5" s="241"/>
      <c r="AN5" s="241"/>
      <c r="AO5" s="241"/>
      <c r="AP5" s="241"/>
      <c r="AQ5" s="241"/>
      <c r="AR5" s="241"/>
      <c r="AS5" s="241"/>
      <c r="AT5" s="241"/>
      <c r="AU5" s="241"/>
      <c r="AV5" s="241"/>
      <c r="AW5" s="241"/>
      <c r="AX5" s="241"/>
      <c r="AY5" s="241"/>
      <c r="AZ5" s="241"/>
      <c r="BA5" s="241"/>
      <c r="BB5" s="241"/>
      <c r="BC5" s="241"/>
      <c r="BD5" s="241"/>
      <c r="BE5" s="241"/>
      <c r="BF5" s="241"/>
      <c r="BG5" s="241"/>
      <c r="BH5" s="241"/>
      <c r="BI5" s="241"/>
      <c r="BJ5" s="241"/>
      <c r="BK5" s="241"/>
      <c r="BL5" s="241"/>
      <c r="BM5" s="241"/>
      <c r="BN5" s="241"/>
      <c r="BO5" s="241"/>
      <c r="BP5" s="241"/>
      <c r="BQ5" s="241"/>
      <c r="BR5" s="241"/>
      <c r="BS5" s="241"/>
      <c r="BT5" s="241"/>
      <c r="BU5" s="241"/>
      <c r="BV5" s="241"/>
      <c r="BW5" s="241"/>
      <c r="BX5" s="241"/>
      <c r="BY5" s="241"/>
      <c r="BZ5" s="241"/>
      <c r="CA5" s="241"/>
      <c r="CB5" s="241"/>
      <c r="CC5" s="241"/>
      <c r="CD5" s="241"/>
      <c r="CE5" s="241"/>
      <c r="CF5" s="241"/>
      <c r="CG5" s="241"/>
      <c r="CH5" s="241"/>
      <c r="CI5" s="241"/>
      <c r="CJ5" s="241"/>
      <c r="CK5" s="241"/>
      <c r="CL5" s="241"/>
      <c r="CM5" s="241"/>
      <c r="CN5" s="241"/>
      <c r="CO5" s="241"/>
      <c r="CP5" s="241"/>
      <c r="CQ5" s="241"/>
      <c r="CR5" s="241"/>
      <c r="CS5" s="241"/>
      <c r="CT5" s="241"/>
      <c r="CU5" s="241"/>
      <c r="CV5" s="241"/>
      <c r="CW5" s="241"/>
      <c r="CX5" s="241"/>
      <c r="CY5" s="241"/>
      <c r="CZ5" s="241"/>
      <c r="DA5" s="241"/>
      <c r="DB5" s="241"/>
      <c r="DC5" s="241"/>
      <c r="DD5" s="241"/>
      <c r="DE5" s="241"/>
      <c r="DF5" s="241"/>
      <c r="DG5" s="241"/>
      <c r="DH5" s="241"/>
      <c r="DI5" s="241"/>
      <c r="DJ5" s="241"/>
      <c r="DK5" s="241"/>
      <c r="DL5" s="241"/>
      <c r="DM5" s="241"/>
      <c r="DN5" s="241"/>
      <c r="DO5" s="241"/>
      <c r="DP5" s="241"/>
      <c r="DQ5" s="241"/>
      <c r="DR5" s="241"/>
      <c r="DS5" s="241"/>
      <c r="DT5" s="241"/>
      <c r="DU5" s="241"/>
      <c r="DV5" s="241"/>
      <c r="DW5" s="241"/>
      <c r="DX5" s="241"/>
      <c r="DY5" s="241"/>
      <c r="DZ5" s="241"/>
      <c r="EA5" s="241"/>
      <c r="EB5" s="241"/>
      <c r="EC5" s="241"/>
      <c r="ED5" s="241"/>
      <c r="EE5" s="241"/>
      <c r="EF5" s="241"/>
      <c r="EG5" s="241"/>
      <c r="EH5" s="241"/>
      <c r="EI5" s="241"/>
      <c r="EJ5" s="241"/>
      <c r="EK5" s="241"/>
      <c r="EL5" s="241"/>
      <c r="EM5" s="241"/>
      <c r="EN5" s="241"/>
      <c r="EO5" s="241"/>
      <c r="EP5" s="241"/>
      <c r="EQ5" s="241"/>
      <c r="ER5" s="241"/>
      <c r="ES5" s="241"/>
      <c r="ET5" s="241"/>
      <c r="EU5" s="241"/>
      <c r="EV5" s="241"/>
      <c r="EW5" s="241"/>
      <c r="EX5" s="241"/>
      <c r="EY5" s="241"/>
      <c r="EZ5" s="241"/>
      <c r="FA5" s="241"/>
      <c r="FB5" s="241"/>
      <c r="FC5" s="241"/>
      <c r="FD5" s="241"/>
      <c r="FE5" s="241"/>
      <c r="FF5" s="241"/>
      <c r="FG5" s="241"/>
      <c r="FH5" s="241"/>
      <c r="FI5" s="241"/>
      <c r="FJ5" s="241"/>
      <c r="FK5" s="241"/>
      <c r="FL5" s="241"/>
      <c r="FM5" s="241"/>
      <c r="FN5" s="241"/>
      <c r="FO5" s="241"/>
      <c r="FP5" s="241"/>
      <c r="FQ5" s="241"/>
      <c r="FR5" s="241"/>
      <c r="FS5" s="241"/>
      <c r="FT5" s="241"/>
      <c r="FU5" s="241"/>
      <c r="FV5" s="241"/>
      <c r="FW5" s="241"/>
      <c r="FX5" s="241"/>
      <c r="FY5" s="241"/>
      <c r="FZ5" s="241"/>
      <c r="GA5" s="241"/>
      <c r="GB5" s="241"/>
      <c r="GC5" s="241"/>
      <c r="GD5" s="241"/>
      <c r="GE5" s="241"/>
      <c r="GF5" s="241"/>
      <c r="GG5" s="241"/>
      <c r="GH5" s="241"/>
      <c r="GI5" s="241"/>
      <c r="GJ5" s="241"/>
      <c r="GK5" s="241"/>
      <c r="GL5" s="241"/>
      <c r="GM5" s="241"/>
      <c r="GN5" s="241"/>
      <c r="GO5" s="241"/>
      <c r="GP5" s="241"/>
      <c r="GQ5" s="241"/>
      <c r="GR5" s="241"/>
      <c r="GS5" s="241"/>
      <c r="GT5" s="241"/>
      <c r="GU5" s="241"/>
      <c r="GV5" s="241"/>
      <c r="GW5" s="241"/>
      <c r="GX5" s="241"/>
      <c r="GY5" s="241"/>
      <c r="GZ5" s="241"/>
      <c r="HA5" s="241"/>
      <c r="HB5" s="241"/>
      <c r="HC5" s="241"/>
      <c r="HD5" s="241"/>
      <c r="HE5" s="241"/>
      <c r="HF5" s="241"/>
      <c r="HG5" s="241"/>
      <c r="HH5" s="241"/>
      <c r="HI5" s="241"/>
      <c r="HJ5" s="241"/>
      <c r="HK5" s="241"/>
      <c r="HL5" s="241"/>
      <c r="HM5" s="241"/>
      <c r="HN5" s="241"/>
      <c r="HO5" s="241"/>
      <c r="HP5" s="241"/>
      <c r="HQ5" s="241"/>
      <c r="HR5" s="241"/>
      <c r="HS5" s="241"/>
      <c r="HT5" s="241"/>
      <c r="HU5" s="241"/>
      <c r="HV5" s="241"/>
      <c r="HW5" s="241"/>
      <c r="HX5" s="241"/>
      <c r="HY5" s="241"/>
      <c r="HZ5" s="241"/>
      <c r="IA5" s="241"/>
      <c r="IB5" s="241"/>
      <c r="IC5" s="241"/>
      <c r="ID5" s="241"/>
      <c r="IE5" s="241"/>
      <c r="IF5" s="241"/>
      <c r="IG5" s="241"/>
      <c r="IH5" s="241"/>
      <c r="II5" s="241"/>
      <c r="IJ5" s="241"/>
      <c r="IK5" s="241"/>
      <c r="IL5" s="241"/>
      <c r="IM5" s="241"/>
      <c r="IN5" s="241"/>
      <c r="IO5" s="241"/>
      <c r="IP5" s="241"/>
      <c r="IQ5" s="241"/>
      <c r="IR5" s="241"/>
      <c r="IS5" s="241"/>
      <c r="IT5" s="241"/>
      <c r="IU5" s="241"/>
      <c r="IV5" s="241"/>
      <c r="IW5" s="241"/>
      <c r="IX5" s="241"/>
      <c r="IY5" s="241"/>
      <c r="IZ5" s="241"/>
      <c r="JA5" s="241"/>
      <c r="JB5" s="241"/>
      <c r="JC5" s="241"/>
      <c r="JD5" s="241"/>
      <c r="JE5" s="241"/>
      <c r="JF5" s="241"/>
      <c r="JG5" s="241"/>
      <c r="JH5" s="241"/>
      <c r="JI5" s="241"/>
      <c r="JJ5" s="241"/>
      <c r="JK5" s="241"/>
      <c r="JL5" s="241"/>
      <c r="JM5" s="241"/>
      <c r="JN5" s="241"/>
      <c r="JO5" s="241"/>
      <c r="JP5" s="241"/>
      <c r="JQ5" s="241"/>
      <c r="JR5" s="241"/>
      <c r="JS5" s="241"/>
      <c r="JT5" s="241"/>
      <c r="JU5" s="241"/>
      <c r="JV5" s="241"/>
      <c r="JW5" s="241"/>
      <c r="JX5" s="241"/>
      <c r="JY5" s="241"/>
      <c r="JZ5" s="241"/>
      <c r="KA5" s="241"/>
      <c r="KB5" s="241"/>
      <c r="KC5" s="241"/>
      <c r="KD5" s="241"/>
      <c r="KE5" s="241"/>
      <c r="KF5" s="241"/>
      <c r="KG5" s="241"/>
      <c r="KH5" s="241"/>
      <c r="KI5" s="241"/>
      <c r="KJ5" s="241"/>
      <c r="KK5" s="241"/>
      <c r="KL5" s="241"/>
      <c r="KM5" s="241"/>
      <c r="KN5" s="241"/>
      <c r="KO5" s="241"/>
      <c r="KP5" s="241"/>
      <c r="KQ5" s="241"/>
      <c r="KR5" s="241"/>
      <c r="KS5" s="241"/>
      <c r="KT5" s="241"/>
      <c r="KU5" s="241"/>
      <c r="KV5" s="241"/>
      <c r="KW5" s="241"/>
      <c r="KX5" s="241"/>
      <c r="KY5" s="241"/>
      <c r="KZ5" s="241"/>
      <c r="LA5" s="241"/>
      <c r="LB5" s="241"/>
      <c r="LC5" s="241"/>
      <c r="LD5" s="241"/>
      <c r="LE5" s="241"/>
      <c r="LF5" s="241"/>
      <c r="LG5" s="241"/>
      <c r="LH5" s="241"/>
      <c r="LI5" s="241"/>
      <c r="LJ5" s="241"/>
      <c r="LK5" s="241"/>
      <c r="LL5" s="241"/>
      <c r="LM5" s="241"/>
      <c r="LN5" s="241"/>
      <c r="LO5" s="241"/>
      <c r="LP5" s="241"/>
      <c r="LQ5" s="241"/>
      <c r="LR5" s="241"/>
      <c r="LS5" s="241"/>
      <c r="LT5" s="241"/>
      <c r="LU5" s="241"/>
      <c r="LV5" s="241"/>
      <c r="LW5" s="241"/>
      <c r="LX5" s="241"/>
      <c r="LY5" s="241"/>
      <c r="LZ5" s="241"/>
      <c r="MA5" s="241"/>
      <c r="MB5" s="241"/>
      <c r="MC5" s="241"/>
      <c r="MD5" s="241"/>
      <c r="ME5" s="241"/>
      <c r="MF5" s="241"/>
      <c r="MG5" s="241"/>
      <c r="MH5" s="241"/>
      <c r="MI5" s="241"/>
      <c r="MJ5" s="241"/>
      <c r="MK5" s="241"/>
      <c r="ML5" s="241"/>
      <c r="MM5" s="241"/>
      <c r="MN5" s="241"/>
      <c r="MO5" s="241"/>
      <c r="MP5" s="241"/>
      <c r="MQ5" s="241"/>
      <c r="MR5" s="241"/>
      <c r="MS5" s="241"/>
      <c r="MT5" s="241"/>
      <c r="MU5" s="241"/>
      <c r="MV5" s="241"/>
      <c r="MW5" s="241"/>
      <c r="MX5" s="241"/>
      <c r="MY5" s="241"/>
      <c r="MZ5" s="241"/>
      <c r="NA5" s="241"/>
      <c r="NB5" s="241"/>
      <c r="NC5" s="241"/>
      <c r="ND5" s="241"/>
      <c r="NE5" s="241"/>
      <c r="NF5" s="241"/>
      <c r="NG5" s="241"/>
      <c r="NH5" s="241"/>
      <c r="NI5" s="241"/>
      <c r="NJ5" s="241"/>
      <c r="NK5" s="241"/>
      <c r="NL5" s="241"/>
      <c r="NM5" s="241"/>
      <c r="NN5" s="241"/>
      <c r="NO5" s="241"/>
      <c r="NP5" s="241"/>
      <c r="NQ5" s="241"/>
      <c r="NR5" s="241"/>
      <c r="NS5" s="241"/>
      <c r="NT5" s="241"/>
      <c r="NU5" s="241"/>
      <c r="NV5" s="241"/>
      <c r="NW5" s="241"/>
      <c r="NX5" s="241"/>
      <c r="NY5" s="241"/>
      <c r="NZ5" s="241"/>
      <c r="OA5" s="241"/>
      <c r="OB5" s="241"/>
      <c r="OC5" s="241"/>
      <c r="OD5" s="241"/>
      <c r="OE5" s="241"/>
      <c r="OF5" s="241"/>
      <c r="OG5" s="241"/>
      <c r="OH5" s="241"/>
      <c r="OI5" s="241"/>
      <c r="OJ5" s="241"/>
      <c r="OK5" s="241"/>
      <c r="OL5" s="241"/>
      <c r="OM5" s="241"/>
      <c r="ON5" s="241"/>
      <c r="OO5" s="241"/>
      <c r="OP5" s="241"/>
      <c r="OQ5" s="241"/>
      <c r="OR5" s="241"/>
      <c r="OS5" s="241"/>
      <c r="OT5" s="241"/>
      <c r="OU5" s="241"/>
      <c r="OV5" s="241"/>
      <c r="OW5" s="241"/>
      <c r="OX5" s="241"/>
      <c r="OY5" s="241"/>
      <c r="OZ5" s="241"/>
      <c r="PA5" s="241"/>
      <c r="PB5" s="241"/>
      <c r="PC5" s="241"/>
      <c r="PD5" s="241"/>
      <c r="PE5" s="241"/>
      <c r="PF5" s="241"/>
      <c r="PG5" s="241"/>
      <c r="PH5" s="241"/>
      <c r="PI5" s="241"/>
      <c r="PJ5" s="241"/>
      <c r="PK5" s="241"/>
      <c r="PL5" s="241"/>
      <c r="PM5" s="241"/>
      <c r="PN5" s="241"/>
      <c r="PO5" s="241"/>
      <c r="PP5" s="241"/>
      <c r="PQ5" s="241"/>
      <c r="PR5" s="241"/>
      <c r="PS5" s="241"/>
      <c r="PT5" s="241"/>
      <c r="PU5" s="241"/>
      <c r="PV5" s="241"/>
      <c r="PW5" s="241"/>
      <c r="PX5" s="241"/>
      <c r="PY5" s="241"/>
      <c r="PZ5" s="241"/>
      <c r="QA5" s="241"/>
      <c r="QB5" s="241"/>
      <c r="QC5" s="241"/>
      <c r="QD5" s="241"/>
      <c r="QE5" s="241"/>
      <c r="QF5" s="241"/>
      <c r="QG5" s="241"/>
      <c r="QH5" s="241"/>
      <c r="QI5" s="241"/>
      <c r="QJ5" s="241"/>
      <c r="QK5" s="241"/>
      <c r="QL5" s="241"/>
      <c r="QM5" s="241"/>
      <c r="QN5" s="241"/>
      <c r="QO5" s="241"/>
      <c r="QP5" s="241"/>
      <c r="QQ5" s="241"/>
      <c r="QR5" s="241"/>
      <c r="QS5" s="241"/>
      <c r="QT5" s="241"/>
      <c r="QU5" s="241"/>
      <c r="QV5" s="241"/>
      <c r="QW5" s="241"/>
      <c r="QX5" s="241"/>
      <c r="QY5" s="241"/>
      <c r="QZ5" s="241"/>
      <c r="RA5" s="241"/>
      <c r="RB5" s="241"/>
      <c r="RC5" s="241"/>
      <c r="RD5" s="241"/>
      <c r="RE5" s="241"/>
      <c r="RF5" s="241"/>
      <c r="RG5" s="241"/>
      <c r="RH5" s="241"/>
      <c r="RI5" s="241"/>
      <c r="RJ5" s="241"/>
      <c r="RK5" s="241"/>
      <c r="RL5" s="241"/>
      <c r="RM5" s="241"/>
      <c r="RN5" s="241"/>
      <c r="RO5" s="241"/>
      <c r="RP5" s="241"/>
      <c r="RQ5" s="241"/>
      <c r="RR5" s="241"/>
      <c r="RS5" s="241"/>
      <c r="RT5" s="241"/>
      <c r="RU5" s="241"/>
      <c r="RV5" s="241"/>
      <c r="RW5" s="241"/>
      <c r="RX5" s="241"/>
      <c r="RY5" s="241"/>
      <c r="RZ5" s="241"/>
      <c r="SA5" s="241"/>
      <c r="SB5" s="241"/>
      <c r="SC5" s="241"/>
      <c r="SD5" s="241"/>
      <c r="SE5" s="241"/>
      <c r="SF5" s="241"/>
      <c r="SG5" s="241"/>
      <c r="SH5" s="241"/>
      <c r="SI5" s="241"/>
      <c r="SJ5" s="241"/>
      <c r="SK5" s="241"/>
      <c r="SL5" s="241"/>
      <c r="SM5" s="241"/>
      <c r="SN5" s="241"/>
      <c r="SO5" s="241"/>
      <c r="SP5" s="241"/>
      <c r="SQ5" s="241"/>
      <c r="SR5" s="241"/>
      <c r="SS5" s="241"/>
      <c r="ST5" s="241"/>
      <c r="SU5" s="241"/>
      <c r="SV5" s="241"/>
      <c r="SW5" s="241"/>
      <c r="SX5" s="241"/>
      <c r="SY5" s="241"/>
      <c r="SZ5" s="241"/>
      <c r="TA5" s="241"/>
      <c r="TB5" s="241"/>
      <c r="TC5" s="241"/>
      <c r="TD5" s="241"/>
      <c r="TE5" s="241"/>
      <c r="TF5" s="241"/>
      <c r="TG5" s="241"/>
      <c r="TH5" s="241"/>
      <c r="TI5" s="241"/>
      <c r="TJ5" s="241"/>
      <c r="TK5" s="241"/>
      <c r="TL5" s="241"/>
      <c r="TM5" s="241"/>
      <c r="TN5" s="241"/>
      <c r="TO5" s="241"/>
      <c r="TP5" s="241"/>
      <c r="TQ5" s="241"/>
      <c r="TR5" s="241"/>
      <c r="TS5" s="241"/>
      <c r="TT5" s="241"/>
      <c r="TU5" s="241"/>
      <c r="TV5" s="241"/>
      <c r="TW5" s="241"/>
      <c r="TX5" s="241"/>
      <c r="TY5" s="241"/>
      <c r="TZ5" s="241"/>
      <c r="UA5" s="241"/>
      <c r="UB5" s="241"/>
      <c r="UC5" s="241"/>
      <c r="UD5" s="241"/>
      <c r="UE5" s="241"/>
      <c r="UF5" s="241"/>
      <c r="UG5" s="241"/>
      <c r="UH5" s="241"/>
      <c r="UI5" s="241"/>
      <c r="UJ5" s="241"/>
      <c r="UK5" s="241"/>
      <c r="UL5" s="241"/>
      <c r="UM5" s="241"/>
      <c r="UN5" s="241"/>
      <c r="UO5" s="241"/>
      <c r="UP5" s="241"/>
      <c r="UQ5" s="241"/>
      <c r="UR5" s="241"/>
      <c r="US5" s="241"/>
      <c r="UT5" s="241"/>
      <c r="UU5" s="241"/>
      <c r="UV5" s="241"/>
      <c r="UW5" s="241"/>
      <c r="UX5" s="241"/>
      <c r="UY5" s="241"/>
      <c r="UZ5" s="241"/>
      <c r="VA5" s="241"/>
      <c r="VB5" s="241"/>
      <c r="VC5" s="241"/>
      <c r="VD5" s="241"/>
      <c r="VE5" s="241"/>
      <c r="VF5" s="241"/>
      <c r="VG5" s="241"/>
      <c r="VH5" s="241"/>
      <c r="VI5" s="241"/>
      <c r="VJ5" s="241"/>
      <c r="VK5" s="241"/>
      <c r="VL5" s="241"/>
      <c r="VM5" s="241"/>
      <c r="VN5" s="241"/>
      <c r="VO5" s="241"/>
      <c r="VP5" s="241"/>
      <c r="VQ5" s="241"/>
      <c r="VR5" s="241"/>
      <c r="VS5" s="241"/>
      <c r="VT5" s="241"/>
      <c r="VU5" s="241"/>
      <c r="VV5" s="241"/>
      <c r="VW5" s="241"/>
      <c r="VX5" s="241"/>
      <c r="VY5" s="241"/>
      <c r="VZ5" s="241"/>
      <c r="WA5" s="241"/>
      <c r="WB5" s="241"/>
      <c r="WC5" s="241"/>
      <c r="WD5" s="241"/>
      <c r="WE5" s="241"/>
      <c r="WF5" s="241"/>
      <c r="WG5" s="241"/>
      <c r="WH5" s="241"/>
      <c r="WI5" s="241"/>
      <c r="WJ5" s="241"/>
      <c r="WK5" s="241"/>
      <c r="WL5" s="241"/>
      <c r="WM5" s="241"/>
      <c r="WN5" s="241"/>
      <c r="WO5" s="241"/>
      <c r="WP5" s="241"/>
      <c r="WQ5" s="241"/>
      <c r="WR5" s="241"/>
      <c r="WS5" s="241"/>
      <c r="WT5" s="241"/>
      <c r="WU5" s="241"/>
      <c r="WV5" s="241"/>
      <c r="WW5" s="241"/>
      <c r="WX5" s="241"/>
      <c r="WY5" s="241"/>
      <c r="WZ5" s="241"/>
      <c r="XA5" s="241"/>
      <c r="XB5" s="241"/>
      <c r="XC5" s="241"/>
      <c r="XD5" s="241"/>
      <c r="XE5" s="241"/>
      <c r="XF5" s="241"/>
      <c r="XG5" s="241"/>
      <c r="XH5" s="241"/>
      <c r="XI5" s="241"/>
      <c r="XJ5" s="241"/>
      <c r="XK5" s="241"/>
      <c r="XL5" s="241"/>
      <c r="XM5" s="241"/>
      <c r="XN5" s="241"/>
      <c r="XO5" s="241"/>
      <c r="XP5" s="241"/>
      <c r="XQ5" s="241"/>
      <c r="XR5" s="241"/>
      <c r="XS5" s="241"/>
      <c r="XT5" s="241"/>
      <c r="XU5" s="241"/>
      <c r="XV5" s="241"/>
      <c r="XW5" s="241"/>
      <c r="XX5" s="241"/>
      <c r="XY5" s="241"/>
      <c r="XZ5" s="241"/>
      <c r="YA5" s="241"/>
      <c r="YB5" s="241"/>
      <c r="YC5" s="241"/>
      <c r="YD5" s="241"/>
      <c r="YE5" s="241"/>
      <c r="YF5" s="241"/>
      <c r="YG5" s="241"/>
      <c r="YH5" s="241"/>
      <c r="YI5" s="241"/>
      <c r="YJ5" s="241"/>
      <c r="YK5" s="241"/>
      <c r="YL5" s="241"/>
      <c r="YM5" s="241"/>
      <c r="YN5" s="241"/>
      <c r="YO5" s="241"/>
      <c r="YP5" s="241"/>
      <c r="YQ5" s="241"/>
      <c r="YR5" s="241"/>
      <c r="YS5" s="241"/>
      <c r="YT5" s="241"/>
      <c r="YU5" s="241"/>
      <c r="YV5" s="241"/>
      <c r="YW5" s="241"/>
      <c r="YX5" s="241"/>
      <c r="YY5" s="241"/>
      <c r="YZ5" s="241"/>
      <c r="ZA5" s="241"/>
      <c r="ZB5" s="241"/>
      <c r="ZC5" s="241"/>
      <c r="ZD5" s="241"/>
      <c r="ZE5" s="241"/>
      <c r="ZF5" s="241"/>
      <c r="ZG5" s="241"/>
      <c r="ZH5" s="241"/>
      <c r="ZI5" s="241"/>
      <c r="ZJ5" s="241"/>
      <c r="ZK5" s="241"/>
      <c r="ZL5" s="241"/>
      <c r="ZM5" s="241"/>
      <c r="ZN5" s="241"/>
      <c r="ZO5" s="241"/>
      <c r="ZP5" s="241"/>
      <c r="ZQ5" s="241"/>
      <c r="ZR5" s="241"/>
      <c r="ZS5" s="241"/>
      <c r="ZT5" s="241"/>
      <c r="ZU5" s="241"/>
      <c r="ZV5" s="241"/>
      <c r="ZW5" s="241"/>
      <c r="ZX5" s="241"/>
      <c r="ZY5" s="241"/>
      <c r="ZZ5" s="241"/>
      <c r="AAA5" s="241"/>
      <c r="AAB5" s="241"/>
      <c r="AAC5" s="241"/>
      <c r="AAD5" s="241"/>
      <c r="AAE5" s="241"/>
      <c r="AAF5" s="241"/>
      <c r="AAG5" s="241"/>
      <c r="AAH5" s="241"/>
      <c r="AAI5" s="241"/>
      <c r="AAJ5" s="241"/>
      <c r="AAK5" s="241"/>
      <c r="AAL5" s="241"/>
      <c r="AAM5" s="241"/>
      <c r="AAN5" s="241"/>
      <c r="AAO5" s="241"/>
      <c r="AAP5" s="241"/>
      <c r="AAQ5" s="241"/>
      <c r="AAR5" s="241"/>
      <c r="AAS5" s="241"/>
      <c r="AAT5" s="241"/>
      <c r="AAU5" s="241"/>
      <c r="AAV5" s="241"/>
      <c r="AAW5" s="241"/>
      <c r="AAX5" s="241"/>
      <c r="AAY5" s="241"/>
      <c r="AAZ5" s="241"/>
      <c r="ABA5" s="241"/>
      <c r="ABB5" s="241"/>
      <c r="ABC5" s="241"/>
      <c r="ABD5" s="241"/>
      <c r="ABE5" s="241"/>
      <c r="ABF5" s="241"/>
      <c r="ABG5" s="241"/>
      <c r="ABH5" s="241"/>
      <c r="ABI5" s="241"/>
      <c r="ABJ5" s="241"/>
      <c r="ABK5" s="241"/>
      <c r="ABL5" s="241"/>
      <c r="ABM5" s="241"/>
      <c r="ABN5" s="241"/>
      <c r="ABO5" s="241"/>
      <c r="ABP5" s="241"/>
      <c r="ABQ5" s="241"/>
      <c r="ABR5" s="241"/>
      <c r="ABS5" s="241"/>
      <c r="ABT5" s="241"/>
      <c r="ABU5" s="241"/>
      <c r="ABV5" s="241"/>
      <c r="ABW5" s="241"/>
      <c r="ABX5" s="241"/>
      <c r="ABY5" s="241"/>
      <c r="ABZ5" s="241"/>
      <c r="ACA5" s="241"/>
      <c r="ACB5" s="241"/>
      <c r="ACC5" s="241"/>
      <c r="ACD5" s="241"/>
      <c r="ACE5" s="241"/>
      <c r="ACF5" s="241"/>
      <c r="ACG5" s="241"/>
      <c r="ACH5" s="241"/>
      <c r="ACI5" s="241"/>
      <c r="ACJ5" s="241"/>
      <c r="ACK5" s="241"/>
      <c r="ACL5" s="241"/>
      <c r="ACM5" s="241"/>
      <c r="ACN5" s="241"/>
      <c r="ACO5" s="241"/>
      <c r="ACP5" s="241"/>
      <c r="ACQ5" s="241"/>
      <c r="ACR5" s="241"/>
      <c r="ACS5" s="241"/>
      <c r="ACT5" s="241"/>
      <c r="ACU5" s="241"/>
      <c r="ACV5" s="241"/>
      <c r="ACW5" s="241"/>
      <c r="ACX5" s="241"/>
      <c r="ACY5" s="241"/>
      <c r="ACZ5" s="241"/>
      <c r="ADA5" s="241"/>
      <c r="ADB5" s="241"/>
      <c r="ADC5" s="241"/>
      <c r="ADD5" s="241"/>
      <c r="ADE5" s="241"/>
      <c r="ADF5" s="241"/>
      <c r="ADG5" s="241"/>
      <c r="ADH5" s="241"/>
      <c r="ADI5" s="241"/>
      <c r="ADJ5" s="241"/>
      <c r="ADK5" s="241"/>
      <c r="ADL5" s="241"/>
      <c r="ADM5" s="241"/>
      <c r="ADN5" s="241"/>
      <c r="ADO5" s="241"/>
      <c r="ADP5" s="241"/>
      <c r="ADQ5" s="241"/>
      <c r="ADR5" s="241"/>
      <c r="ADS5" s="241"/>
      <c r="ADT5" s="241"/>
      <c r="ADU5" s="241"/>
      <c r="ADV5" s="241"/>
      <c r="ADW5" s="241"/>
      <c r="ADX5" s="241"/>
      <c r="ADY5" s="241"/>
      <c r="ADZ5" s="241"/>
      <c r="AEA5" s="241"/>
      <c r="AEB5" s="241"/>
      <c r="AEC5" s="241"/>
      <c r="AED5" s="241"/>
      <c r="AEE5" s="241"/>
      <c r="AEF5" s="241"/>
      <c r="AEG5" s="241"/>
      <c r="AEH5" s="241"/>
      <c r="AEI5" s="241"/>
      <c r="AEJ5" s="241"/>
      <c r="AEK5" s="241"/>
      <c r="AEL5" s="241"/>
      <c r="AEM5" s="241"/>
      <c r="AEN5" s="241"/>
      <c r="AEO5" s="241"/>
      <c r="AEP5" s="241"/>
      <c r="AEQ5" s="241"/>
      <c r="AER5" s="241"/>
      <c r="AES5" s="241"/>
      <c r="AET5" s="241"/>
      <c r="AEU5" s="241"/>
      <c r="AEV5" s="241"/>
      <c r="AEW5" s="241"/>
      <c r="AEX5" s="241"/>
      <c r="AEY5" s="241"/>
      <c r="AEZ5" s="241"/>
      <c r="AFA5" s="241"/>
      <c r="AFB5" s="241"/>
      <c r="AFC5" s="241"/>
      <c r="AFD5" s="241"/>
      <c r="AFE5" s="241"/>
      <c r="AFF5" s="241"/>
      <c r="AFG5" s="241"/>
      <c r="AFH5" s="241"/>
      <c r="AFI5" s="241"/>
      <c r="AFJ5" s="241"/>
      <c r="AFK5" s="241"/>
      <c r="AFL5" s="241"/>
      <c r="AFM5" s="241"/>
      <c r="AFN5" s="241"/>
      <c r="AFO5" s="241"/>
      <c r="AFP5" s="241"/>
      <c r="AFQ5" s="241"/>
      <c r="AFR5" s="241"/>
      <c r="AFS5" s="241"/>
      <c r="AFT5" s="241"/>
      <c r="AFU5" s="241"/>
      <c r="AFV5" s="241"/>
      <c r="AFW5" s="241"/>
      <c r="AFX5" s="241"/>
      <c r="AFY5" s="241"/>
      <c r="AFZ5" s="241"/>
      <c r="AGA5" s="241"/>
      <c r="AGB5" s="241"/>
      <c r="AGC5" s="241"/>
      <c r="AGD5" s="241"/>
      <c r="AGE5" s="241"/>
      <c r="AGF5" s="241"/>
      <c r="AGG5" s="241"/>
      <c r="AGH5" s="241"/>
      <c r="AGI5" s="241"/>
      <c r="AGJ5" s="241"/>
      <c r="AGK5" s="241"/>
      <c r="AGL5" s="241"/>
      <c r="AGM5" s="241"/>
      <c r="AGN5" s="241"/>
      <c r="AGO5" s="241"/>
      <c r="AGP5" s="241"/>
      <c r="AGQ5" s="241"/>
      <c r="AGR5" s="241"/>
      <c r="AGS5" s="241"/>
      <c r="AGT5" s="241"/>
      <c r="AGU5" s="241"/>
      <c r="AGV5" s="241"/>
      <c r="AGW5" s="241"/>
      <c r="AGX5" s="241"/>
      <c r="AGY5" s="241"/>
      <c r="AGZ5" s="241"/>
      <c r="AHA5" s="241"/>
      <c r="AHB5" s="241"/>
      <c r="AHC5" s="241"/>
      <c r="AHD5" s="241"/>
      <c r="AHE5" s="241"/>
      <c r="AHF5" s="241"/>
      <c r="AHG5" s="241"/>
      <c r="AHH5" s="241"/>
      <c r="AHI5" s="241"/>
      <c r="AHJ5" s="241"/>
      <c r="AHK5" s="241"/>
      <c r="AHL5" s="241"/>
      <c r="AHM5" s="241"/>
      <c r="AHN5" s="241"/>
      <c r="AHO5" s="241"/>
      <c r="AHP5" s="241"/>
      <c r="AHQ5" s="241"/>
      <c r="AHR5" s="241"/>
      <c r="AHS5" s="241"/>
      <c r="AHT5" s="241"/>
      <c r="AHU5" s="241"/>
      <c r="AHV5" s="241"/>
      <c r="AHW5" s="241"/>
      <c r="AHX5" s="241"/>
      <c r="AHY5" s="241"/>
      <c r="AHZ5" s="241"/>
      <c r="AIA5" s="241"/>
      <c r="AIB5" s="241"/>
      <c r="AIC5" s="241"/>
      <c r="AID5" s="241"/>
      <c r="AIE5" s="241"/>
      <c r="AIF5" s="241"/>
      <c r="AIG5" s="241"/>
      <c r="AIH5" s="241"/>
      <c r="AII5" s="241"/>
      <c r="AIJ5" s="241"/>
      <c r="AIK5" s="241"/>
      <c r="AIL5" s="241"/>
      <c r="AIM5" s="241"/>
      <c r="AIN5" s="241"/>
      <c r="AIO5" s="241"/>
      <c r="AIP5" s="241"/>
      <c r="AIQ5" s="241"/>
      <c r="AIR5" s="241"/>
      <c r="AIS5" s="241"/>
      <c r="AIT5" s="241"/>
      <c r="AIU5" s="241"/>
      <c r="AIV5" s="241"/>
      <c r="AIW5" s="241"/>
      <c r="AIX5" s="241"/>
      <c r="AIY5" s="241"/>
      <c r="AIZ5" s="241"/>
      <c r="AJA5" s="241"/>
      <c r="AJB5" s="241"/>
      <c r="AJC5" s="241"/>
      <c r="AJD5" s="241"/>
      <c r="AJE5" s="241"/>
      <c r="AJF5" s="241"/>
      <c r="AJG5" s="241"/>
      <c r="AJH5" s="241"/>
      <c r="AJI5" s="241"/>
      <c r="AJJ5" s="241"/>
      <c r="AJK5" s="241"/>
      <c r="AJL5" s="241"/>
      <c r="AJM5" s="241"/>
      <c r="AJN5" s="241"/>
      <c r="AJO5" s="241"/>
      <c r="AJP5" s="241"/>
      <c r="AJQ5" s="241"/>
      <c r="AJR5" s="241"/>
      <c r="AJS5" s="241"/>
      <c r="AJT5" s="241"/>
      <c r="AJU5" s="241"/>
      <c r="AJV5" s="241"/>
      <c r="AJW5" s="241"/>
      <c r="AJX5" s="241"/>
      <c r="AJY5" s="241"/>
      <c r="AJZ5" s="241"/>
      <c r="AKA5" s="241"/>
      <c r="AKB5" s="241"/>
      <c r="AKC5" s="241"/>
      <c r="AKD5" s="241"/>
      <c r="AKE5" s="241"/>
      <c r="AKF5" s="241"/>
      <c r="AKG5" s="241"/>
      <c r="AKH5" s="241"/>
      <c r="AKI5" s="241"/>
      <c r="AKJ5" s="241"/>
      <c r="AKK5" s="241"/>
      <c r="AKL5" s="241"/>
      <c r="AKM5" s="241"/>
      <c r="AKN5" s="241"/>
      <c r="AKO5" s="241"/>
      <c r="AKP5" s="241"/>
      <c r="AKQ5" s="241"/>
      <c r="AKR5" s="241"/>
      <c r="AKS5" s="241"/>
      <c r="AKT5" s="241"/>
      <c r="AKU5" s="241"/>
      <c r="AKV5" s="241"/>
      <c r="AKW5" s="241"/>
      <c r="AKX5" s="241"/>
      <c r="AKY5" s="241"/>
      <c r="AKZ5" s="241"/>
      <c r="ALA5" s="241"/>
      <c r="ALB5" s="241"/>
      <c r="ALC5" s="241"/>
      <c r="ALD5" s="241"/>
      <c r="ALE5" s="241"/>
      <c r="ALF5" s="241"/>
      <c r="ALG5" s="241"/>
      <c r="ALH5" s="241"/>
      <c r="ALI5" s="241"/>
      <c r="ALJ5" s="241"/>
      <c r="ALK5" s="241"/>
      <c r="ALL5" s="241"/>
      <c r="ALM5" s="241"/>
      <c r="ALN5" s="241"/>
      <c r="ALO5" s="241"/>
      <c r="ALP5" s="241"/>
      <c r="ALQ5" s="241"/>
      <c r="ALR5" s="241"/>
      <c r="ALS5" s="241"/>
      <c r="ALT5" s="241"/>
      <c r="ALU5" s="241"/>
      <c r="ALV5" s="241"/>
      <c r="ALW5" s="241"/>
      <c r="ALX5" s="241"/>
      <c r="ALY5" s="241"/>
      <c r="ALZ5" s="241"/>
      <c r="AMA5" s="241"/>
      <c r="AMB5" s="241"/>
      <c r="AMC5" s="241"/>
      <c r="AMD5" s="241"/>
      <c r="AME5" s="241"/>
      <c r="AMF5" s="241"/>
      <c r="AMG5" s="241"/>
      <c r="AMH5" s="241"/>
      <c r="AMI5" s="241"/>
      <c r="AMJ5" s="241"/>
      <c r="AMK5" s="241"/>
      <c r="AML5" s="241"/>
      <c r="AMM5" s="241"/>
      <c r="AMN5" s="241"/>
      <c r="AMO5" s="241"/>
      <c r="AMP5" s="241"/>
      <c r="AMQ5" s="241"/>
      <c r="AMR5" s="241"/>
      <c r="AMS5" s="241"/>
      <c r="AMT5" s="241"/>
      <c r="AMU5" s="241"/>
      <c r="AMV5" s="241"/>
      <c r="AMW5" s="241"/>
      <c r="AMX5" s="241"/>
      <c r="AMY5" s="241"/>
      <c r="AMZ5" s="241"/>
      <c r="ANA5" s="241"/>
      <c r="ANB5" s="241"/>
      <c r="ANC5" s="241"/>
      <c r="AND5" s="241"/>
      <c r="ANE5" s="241"/>
      <c r="ANF5" s="241"/>
      <c r="ANG5" s="241"/>
      <c r="ANH5" s="241"/>
      <c r="ANI5" s="241"/>
      <c r="ANJ5" s="241"/>
      <c r="ANK5" s="241"/>
      <c r="ANL5" s="241"/>
      <c r="ANM5" s="241"/>
      <c r="ANN5" s="241"/>
      <c r="ANO5" s="241"/>
      <c r="ANP5" s="241"/>
      <c r="ANQ5" s="241"/>
      <c r="ANR5" s="241"/>
      <c r="ANS5" s="241"/>
      <c r="ANT5" s="241"/>
      <c r="ANU5" s="241"/>
      <c r="ANV5" s="241"/>
      <c r="ANW5" s="241"/>
      <c r="ANX5" s="241"/>
      <c r="ANY5" s="241"/>
      <c r="ANZ5" s="241"/>
      <c r="AOA5" s="241"/>
      <c r="AOB5" s="241"/>
      <c r="AOC5" s="241"/>
      <c r="AOD5" s="241"/>
      <c r="AOE5" s="241"/>
      <c r="AOF5" s="241"/>
      <c r="AOG5" s="241"/>
      <c r="AOH5" s="241"/>
      <c r="AOI5" s="241"/>
      <c r="AOJ5" s="241"/>
      <c r="AOK5" s="241"/>
      <c r="AOL5" s="241"/>
      <c r="AOM5" s="241"/>
      <c r="AON5" s="241"/>
      <c r="AOO5" s="241"/>
      <c r="AOP5" s="241"/>
      <c r="AOQ5" s="241"/>
      <c r="AOR5" s="241"/>
      <c r="AOS5" s="241"/>
      <c r="AOT5" s="241"/>
      <c r="AOU5" s="241"/>
      <c r="AOV5" s="241"/>
      <c r="AOW5" s="241"/>
      <c r="AOX5" s="241"/>
      <c r="AOY5" s="241"/>
      <c r="AOZ5" s="241"/>
      <c r="APA5" s="241"/>
      <c r="APB5" s="241"/>
      <c r="APC5" s="241"/>
      <c r="APD5" s="241"/>
      <c r="APE5" s="241"/>
      <c r="APF5" s="241"/>
      <c r="APG5" s="241"/>
      <c r="APH5" s="241"/>
      <c r="API5" s="241"/>
      <c r="APJ5" s="241"/>
      <c r="APK5" s="241"/>
      <c r="APL5" s="241"/>
      <c r="APM5" s="241"/>
      <c r="APN5" s="241"/>
      <c r="APO5" s="241"/>
      <c r="APP5" s="241"/>
      <c r="APQ5" s="241"/>
      <c r="APR5" s="241"/>
      <c r="APS5" s="241"/>
      <c r="APT5" s="241"/>
      <c r="APU5" s="241"/>
      <c r="APV5" s="241"/>
      <c r="APW5" s="241"/>
      <c r="APX5" s="241"/>
      <c r="APY5" s="241"/>
      <c r="APZ5" s="241"/>
      <c r="AQA5" s="241"/>
      <c r="AQB5" s="241"/>
      <c r="AQC5" s="241"/>
      <c r="AQD5" s="241"/>
      <c r="AQE5" s="241"/>
      <c r="AQF5" s="241"/>
      <c r="AQG5" s="241"/>
      <c r="AQH5" s="241"/>
      <c r="AQI5" s="241"/>
      <c r="AQJ5" s="241"/>
      <c r="AQK5" s="241"/>
      <c r="AQL5" s="241"/>
      <c r="AQM5" s="241"/>
      <c r="AQN5" s="241"/>
      <c r="AQO5" s="241"/>
      <c r="AQP5" s="241"/>
      <c r="AQQ5" s="241"/>
      <c r="AQR5" s="241"/>
      <c r="AQS5" s="241"/>
      <c r="AQT5" s="241"/>
      <c r="AQU5" s="241"/>
      <c r="AQV5" s="241"/>
      <c r="AQW5" s="241"/>
      <c r="AQX5" s="241"/>
      <c r="AQY5" s="241"/>
      <c r="AQZ5" s="241"/>
      <c r="ARA5" s="241"/>
      <c r="ARB5" s="241"/>
      <c r="ARC5" s="241"/>
      <c r="ARD5" s="241"/>
      <c r="ARE5" s="241"/>
      <c r="ARF5" s="241"/>
      <c r="ARG5" s="241"/>
      <c r="ARH5" s="241"/>
      <c r="ARI5" s="241"/>
      <c r="ARJ5" s="241"/>
      <c r="ARK5" s="241"/>
      <c r="ARL5" s="241"/>
      <c r="ARM5" s="241"/>
      <c r="ARN5" s="241"/>
      <c r="ARO5" s="241"/>
      <c r="ARP5" s="241"/>
      <c r="ARQ5" s="241"/>
      <c r="ARR5" s="241"/>
      <c r="ARS5" s="241"/>
      <c r="ART5" s="241"/>
      <c r="ARU5" s="241"/>
      <c r="ARV5" s="241"/>
      <c r="ARW5" s="241"/>
      <c r="ARX5" s="241"/>
      <c r="ARY5" s="241"/>
      <c r="ARZ5" s="241"/>
      <c r="ASA5" s="241"/>
      <c r="ASB5" s="241"/>
      <c r="ASC5" s="241"/>
      <c r="ASD5" s="241"/>
      <c r="ASE5" s="241"/>
      <c r="ASF5" s="241"/>
      <c r="ASG5" s="241"/>
      <c r="ASH5" s="241"/>
      <c r="ASI5" s="241"/>
      <c r="ASJ5" s="241"/>
      <c r="ASK5" s="241"/>
      <c r="ASL5" s="241"/>
      <c r="ASM5" s="241"/>
      <c r="ASN5" s="241"/>
      <c r="ASO5" s="241"/>
      <c r="ASP5" s="241"/>
      <c r="ASQ5" s="241"/>
      <c r="ASR5" s="241"/>
      <c r="ASS5" s="241"/>
      <c r="AST5" s="241"/>
      <c r="ASU5" s="241"/>
      <c r="ASV5" s="241"/>
      <c r="ASW5" s="241"/>
      <c r="ASX5" s="241"/>
      <c r="ASY5" s="241"/>
      <c r="ASZ5" s="241"/>
      <c r="ATA5" s="241"/>
      <c r="ATB5" s="241"/>
      <c r="ATC5" s="241"/>
      <c r="ATD5" s="241"/>
      <c r="ATE5" s="241"/>
      <c r="ATF5" s="241"/>
      <c r="ATG5" s="241"/>
      <c r="ATH5" s="241"/>
      <c r="ATI5" s="241"/>
      <c r="ATJ5" s="241"/>
      <c r="ATK5" s="241"/>
      <c r="ATL5" s="241"/>
      <c r="ATM5" s="241"/>
      <c r="ATN5" s="241"/>
      <c r="ATO5" s="241"/>
      <c r="ATP5" s="241"/>
      <c r="ATQ5" s="241"/>
      <c r="ATR5" s="241"/>
      <c r="ATS5" s="241"/>
      <c r="ATT5" s="241"/>
      <c r="ATU5" s="241"/>
      <c r="ATV5" s="241"/>
      <c r="ATW5" s="241"/>
      <c r="ATX5" s="241"/>
      <c r="ATY5" s="241"/>
      <c r="ATZ5" s="241"/>
      <c r="AUA5" s="241"/>
      <c r="AUB5" s="241"/>
      <c r="AUC5" s="241"/>
      <c r="AUD5" s="241"/>
      <c r="AUE5" s="241"/>
      <c r="AUF5" s="241"/>
      <c r="AUG5" s="241"/>
      <c r="AUH5" s="241"/>
      <c r="AUI5" s="241"/>
      <c r="AUJ5" s="241"/>
      <c r="AUK5" s="241"/>
      <c r="AUL5" s="241"/>
      <c r="AUM5" s="241"/>
      <c r="AUN5" s="241"/>
      <c r="AUO5" s="241"/>
      <c r="AUP5" s="241"/>
      <c r="AUQ5" s="241"/>
      <c r="AUR5" s="241"/>
      <c r="AUS5" s="241"/>
      <c r="AUT5" s="241"/>
      <c r="AUU5" s="241"/>
      <c r="AUV5" s="241"/>
      <c r="AUW5" s="241"/>
      <c r="AUX5" s="241"/>
      <c r="AUY5" s="241"/>
      <c r="AUZ5" s="241"/>
      <c r="AVA5" s="241"/>
      <c r="AVB5" s="241"/>
      <c r="AVC5" s="241"/>
      <c r="AVD5" s="241"/>
      <c r="AVE5" s="241"/>
      <c r="AVF5" s="241"/>
      <c r="AVG5" s="241"/>
      <c r="AVH5" s="241"/>
      <c r="AVI5" s="241"/>
      <c r="AVJ5" s="241"/>
      <c r="AVK5" s="241"/>
      <c r="AVL5" s="241"/>
      <c r="AVM5" s="241"/>
      <c r="AVN5" s="241"/>
      <c r="AVO5" s="241"/>
      <c r="AVP5" s="241"/>
      <c r="AVQ5" s="241"/>
      <c r="AVR5" s="241"/>
      <c r="AVS5" s="241"/>
      <c r="AVT5" s="241"/>
      <c r="AVU5" s="241"/>
      <c r="AVV5" s="241"/>
      <c r="AVW5" s="241"/>
      <c r="AVX5" s="241"/>
      <c r="AVY5" s="241"/>
      <c r="AVZ5" s="241"/>
      <c r="AWA5" s="241"/>
      <c r="AWB5" s="241"/>
      <c r="AWC5" s="241"/>
      <c r="AWD5" s="241"/>
      <c r="AWE5" s="241"/>
      <c r="AWF5" s="241"/>
      <c r="AWG5" s="241"/>
      <c r="AWH5" s="241"/>
      <c r="AWI5" s="241"/>
      <c r="AWJ5" s="241"/>
      <c r="AWK5" s="241"/>
      <c r="AWL5" s="241"/>
      <c r="AWM5" s="241"/>
      <c r="AWN5" s="241"/>
      <c r="AWO5" s="241"/>
      <c r="AWP5" s="241"/>
      <c r="AWQ5" s="241"/>
      <c r="AWR5" s="241"/>
      <c r="AWS5" s="241"/>
      <c r="AWT5" s="241"/>
      <c r="AWU5" s="241"/>
      <c r="AWV5" s="241"/>
      <c r="AWW5" s="241"/>
      <c r="AWX5" s="241"/>
      <c r="AWY5" s="241"/>
      <c r="AWZ5" s="241"/>
      <c r="AXA5" s="241"/>
      <c r="AXB5" s="241"/>
      <c r="AXC5" s="241"/>
      <c r="AXD5" s="241"/>
      <c r="AXE5" s="241"/>
      <c r="AXF5" s="241"/>
      <c r="AXG5" s="241"/>
      <c r="AXH5" s="241"/>
      <c r="AXI5" s="241"/>
      <c r="AXJ5" s="241"/>
      <c r="AXK5" s="241"/>
      <c r="AXL5" s="241"/>
      <c r="AXM5" s="241"/>
      <c r="AXN5" s="241"/>
      <c r="AXO5" s="241"/>
      <c r="AXP5" s="241"/>
      <c r="AXQ5" s="241"/>
      <c r="AXR5" s="241"/>
      <c r="AXS5" s="241"/>
      <c r="AXT5" s="241"/>
      <c r="AXU5" s="241"/>
      <c r="AXV5" s="241"/>
      <c r="AXW5" s="241"/>
      <c r="AXX5" s="241"/>
      <c r="AXY5" s="241"/>
      <c r="AXZ5" s="241"/>
      <c r="AYA5" s="241"/>
      <c r="AYB5" s="241"/>
      <c r="AYC5" s="241"/>
      <c r="AYD5" s="241"/>
      <c r="AYE5" s="241"/>
      <c r="AYF5" s="241"/>
      <c r="AYG5" s="241"/>
      <c r="AYH5" s="241"/>
      <c r="AYI5" s="241"/>
      <c r="AYJ5" s="241"/>
      <c r="AYK5" s="241"/>
      <c r="AYL5" s="241"/>
      <c r="AYM5" s="241"/>
      <c r="AYN5" s="241"/>
      <c r="AYO5" s="241"/>
      <c r="AYP5" s="241"/>
      <c r="AYQ5" s="241"/>
      <c r="AYR5" s="241"/>
      <c r="AYS5" s="241"/>
      <c r="AYT5" s="241"/>
      <c r="AYU5" s="241"/>
      <c r="AYV5" s="241"/>
      <c r="AYW5" s="241"/>
      <c r="AYX5" s="241"/>
      <c r="AYY5" s="241"/>
      <c r="AYZ5" s="241"/>
      <c r="AZA5" s="241"/>
      <c r="AZB5" s="241"/>
      <c r="AZC5" s="241"/>
      <c r="AZD5" s="241"/>
      <c r="AZE5" s="241"/>
      <c r="AZF5" s="241"/>
      <c r="AZG5" s="241"/>
      <c r="AZH5" s="241"/>
      <c r="AZI5" s="241"/>
      <c r="AZJ5" s="241"/>
      <c r="AZK5" s="241"/>
      <c r="AZL5" s="241"/>
      <c r="AZM5" s="241"/>
      <c r="AZN5" s="241"/>
      <c r="AZO5" s="241"/>
      <c r="AZP5" s="241"/>
      <c r="AZQ5" s="241"/>
      <c r="AZR5" s="241"/>
      <c r="AZS5" s="241"/>
      <c r="AZT5" s="241"/>
      <c r="AZU5" s="241"/>
      <c r="AZV5" s="241"/>
      <c r="AZW5" s="241"/>
      <c r="AZX5" s="241"/>
      <c r="AZY5" s="241"/>
      <c r="AZZ5" s="241"/>
      <c r="BAA5" s="241"/>
      <c r="BAB5" s="241"/>
      <c r="BAC5" s="241"/>
      <c r="BAD5" s="241"/>
      <c r="BAE5" s="241"/>
      <c r="BAF5" s="241"/>
      <c r="BAG5" s="241"/>
      <c r="BAH5" s="241"/>
      <c r="BAI5" s="241"/>
      <c r="BAJ5" s="241"/>
      <c r="BAK5" s="241"/>
      <c r="BAL5" s="241"/>
      <c r="BAM5" s="241"/>
      <c r="BAN5" s="241"/>
      <c r="BAO5" s="241"/>
      <c r="BAP5" s="241"/>
      <c r="BAQ5" s="241"/>
      <c r="BAR5" s="241"/>
      <c r="BAS5" s="241"/>
      <c r="BAT5" s="241"/>
      <c r="BAU5" s="241"/>
      <c r="BAV5" s="241"/>
      <c r="BAW5" s="241"/>
      <c r="BAX5" s="241"/>
      <c r="BAY5" s="241"/>
      <c r="BAZ5" s="241"/>
      <c r="BBA5" s="241"/>
      <c r="BBB5" s="241"/>
      <c r="BBC5" s="241"/>
      <c r="BBD5" s="241"/>
      <c r="BBE5" s="241"/>
      <c r="BBF5" s="241"/>
      <c r="BBG5" s="241"/>
      <c r="BBH5" s="241"/>
      <c r="BBI5" s="241"/>
      <c r="BBJ5" s="241"/>
      <c r="BBK5" s="241"/>
      <c r="BBL5" s="241"/>
      <c r="BBM5" s="241"/>
      <c r="BBN5" s="241"/>
      <c r="BBO5" s="241"/>
      <c r="BBP5" s="241"/>
      <c r="BBQ5" s="241"/>
      <c r="BBR5" s="241"/>
      <c r="BBS5" s="241"/>
      <c r="BBT5" s="241"/>
      <c r="BBU5" s="241"/>
      <c r="BBV5" s="241"/>
      <c r="BBW5" s="241"/>
      <c r="BBX5" s="241"/>
      <c r="BBY5" s="241"/>
      <c r="BBZ5" s="241"/>
      <c r="BCA5" s="241"/>
      <c r="BCB5" s="241"/>
      <c r="BCC5" s="241"/>
      <c r="BCD5" s="241"/>
      <c r="BCE5" s="241"/>
      <c r="BCF5" s="241"/>
      <c r="BCG5" s="241"/>
      <c r="BCH5" s="241"/>
      <c r="BCI5" s="241"/>
      <c r="BCJ5" s="241"/>
      <c r="BCK5" s="241"/>
      <c r="BCL5" s="241"/>
      <c r="BCM5" s="241"/>
      <c r="BCN5" s="241"/>
      <c r="BCO5" s="241"/>
      <c r="BCP5" s="241"/>
      <c r="BCQ5" s="241"/>
      <c r="BCR5" s="241"/>
      <c r="BCS5" s="241"/>
      <c r="BCT5" s="241"/>
      <c r="BCU5" s="241"/>
      <c r="BCV5" s="241"/>
      <c r="BCW5" s="241"/>
      <c r="BCX5" s="241"/>
      <c r="BCY5" s="241"/>
      <c r="BCZ5" s="241"/>
      <c r="BDA5" s="241"/>
      <c r="BDB5" s="241"/>
      <c r="BDC5" s="241"/>
      <c r="BDD5" s="241"/>
      <c r="BDE5" s="241"/>
      <c r="BDF5" s="241"/>
      <c r="BDG5" s="241"/>
      <c r="BDH5" s="241"/>
      <c r="BDI5" s="241"/>
      <c r="BDJ5" s="241"/>
      <c r="BDK5" s="241"/>
      <c r="BDL5" s="241"/>
      <c r="BDM5" s="241"/>
      <c r="BDN5" s="241"/>
      <c r="BDO5" s="241"/>
      <c r="BDP5" s="241"/>
      <c r="BDQ5" s="241"/>
      <c r="BDR5" s="241"/>
      <c r="BDS5" s="241"/>
      <c r="BDT5" s="241"/>
      <c r="BDU5" s="241"/>
      <c r="BDV5" s="241"/>
      <c r="BDW5" s="241"/>
      <c r="BDX5" s="241"/>
      <c r="BDY5" s="241"/>
      <c r="BDZ5" s="241"/>
      <c r="BEA5" s="241"/>
      <c r="BEB5" s="241"/>
      <c r="BEC5" s="241"/>
      <c r="BED5" s="241"/>
      <c r="BEE5" s="241"/>
      <c r="BEF5" s="241"/>
      <c r="BEG5" s="241"/>
      <c r="BEH5" s="241"/>
      <c r="BEI5" s="241"/>
      <c r="BEJ5" s="241"/>
      <c r="BEK5" s="241"/>
      <c r="BEL5" s="241"/>
      <c r="BEM5" s="241"/>
      <c r="BEN5" s="241"/>
      <c r="BEO5" s="241"/>
      <c r="BEP5" s="241"/>
      <c r="BEQ5" s="241"/>
      <c r="BER5" s="241"/>
      <c r="BES5" s="241"/>
      <c r="BET5" s="241"/>
      <c r="BEU5" s="241"/>
      <c r="BEV5" s="241"/>
      <c r="BEW5" s="241"/>
      <c r="BEX5" s="241"/>
      <c r="BEY5" s="241"/>
      <c r="BEZ5" s="241"/>
      <c r="BFA5" s="241"/>
      <c r="BFB5" s="241"/>
      <c r="BFC5" s="241"/>
      <c r="BFD5" s="241"/>
      <c r="BFE5" s="241"/>
      <c r="BFF5" s="241"/>
      <c r="BFG5" s="241"/>
      <c r="BFH5" s="241"/>
      <c r="BFI5" s="241"/>
      <c r="BFJ5" s="241"/>
      <c r="BFK5" s="241"/>
      <c r="BFL5" s="241"/>
      <c r="BFM5" s="241"/>
      <c r="BFN5" s="241"/>
      <c r="BFO5" s="241"/>
      <c r="BFP5" s="241"/>
      <c r="BFQ5" s="241"/>
      <c r="BFR5" s="241"/>
      <c r="BFS5" s="241"/>
      <c r="BFT5" s="241"/>
      <c r="BFU5" s="241"/>
      <c r="BFV5" s="241"/>
      <c r="BFW5" s="241"/>
      <c r="BFX5" s="241"/>
      <c r="BFY5" s="241"/>
      <c r="BFZ5" s="241"/>
      <c r="BGA5" s="241"/>
      <c r="BGB5" s="241"/>
      <c r="BGC5" s="241"/>
      <c r="BGD5" s="241"/>
      <c r="BGE5" s="241"/>
      <c r="BGF5" s="241"/>
      <c r="BGG5" s="241"/>
      <c r="BGH5" s="241"/>
      <c r="BGI5" s="241"/>
      <c r="BGJ5" s="241"/>
      <c r="BGK5" s="241"/>
      <c r="BGL5" s="241"/>
      <c r="BGM5" s="241"/>
      <c r="BGN5" s="241"/>
      <c r="BGO5" s="241"/>
      <c r="BGP5" s="241"/>
      <c r="BGQ5" s="241"/>
      <c r="BGR5" s="241"/>
      <c r="BGS5" s="241"/>
      <c r="BGT5" s="241"/>
      <c r="BGU5" s="241"/>
      <c r="BGV5" s="241"/>
      <c r="BGW5" s="241"/>
      <c r="BGX5" s="241"/>
      <c r="BGY5" s="241"/>
      <c r="BGZ5" s="241"/>
      <c r="BHA5" s="241"/>
      <c r="BHB5" s="241"/>
      <c r="BHC5" s="241"/>
      <c r="BHD5" s="241"/>
      <c r="BHE5" s="241"/>
      <c r="BHF5" s="241"/>
      <c r="BHG5" s="241"/>
      <c r="BHH5" s="241"/>
      <c r="BHI5" s="241"/>
      <c r="BHJ5" s="241"/>
      <c r="BHK5" s="241"/>
      <c r="BHL5" s="241"/>
      <c r="BHM5" s="241"/>
      <c r="BHN5" s="241"/>
      <c r="BHO5" s="241"/>
      <c r="BHP5" s="241"/>
      <c r="BHQ5" s="241"/>
      <c r="BHR5" s="241"/>
      <c r="BHS5" s="241"/>
      <c r="BHT5" s="241"/>
      <c r="BHU5" s="241"/>
      <c r="BHV5" s="241"/>
      <c r="BHW5" s="241"/>
      <c r="BHX5" s="241"/>
      <c r="BHY5" s="241"/>
      <c r="BHZ5" s="241"/>
      <c r="BIA5" s="241"/>
      <c r="BIB5" s="241"/>
      <c r="BIC5" s="241"/>
      <c r="BID5" s="241"/>
      <c r="BIE5" s="241"/>
      <c r="BIF5" s="241"/>
      <c r="BIG5" s="241"/>
      <c r="BIH5" s="241"/>
      <c r="BII5" s="241"/>
      <c r="BIJ5" s="241"/>
      <c r="BIK5" s="241"/>
      <c r="BIL5" s="241"/>
      <c r="BIM5" s="241"/>
      <c r="BIN5" s="241"/>
      <c r="BIO5" s="241"/>
      <c r="BIP5" s="241"/>
      <c r="BIQ5" s="241"/>
      <c r="BIR5" s="241"/>
      <c r="BIS5" s="241"/>
      <c r="BIT5" s="241"/>
      <c r="BIU5" s="241"/>
      <c r="BIV5" s="241"/>
      <c r="BIW5" s="241"/>
      <c r="BIX5" s="241"/>
      <c r="BIY5" s="241"/>
      <c r="BIZ5" s="241"/>
      <c r="BJA5" s="241"/>
      <c r="BJB5" s="241"/>
      <c r="BJC5" s="241"/>
      <c r="BJD5" s="241"/>
      <c r="BJE5" s="241"/>
      <c r="BJF5" s="241"/>
      <c r="BJG5" s="241"/>
      <c r="BJH5" s="241"/>
      <c r="BJI5" s="241"/>
      <c r="BJJ5" s="241"/>
      <c r="BJK5" s="241"/>
      <c r="BJL5" s="241"/>
      <c r="BJM5" s="241"/>
      <c r="BJN5" s="241"/>
      <c r="BJO5" s="241"/>
      <c r="BJP5" s="241"/>
      <c r="BJQ5" s="241"/>
      <c r="BJR5" s="241"/>
      <c r="BJS5" s="241"/>
      <c r="BJT5" s="241"/>
      <c r="BJU5" s="241"/>
      <c r="BJV5" s="241"/>
      <c r="BJW5" s="241"/>
      <c r="BJX5" s="241"/>
      <c r="BJY5" s="241"/>
      <c r="BJZ5" s="241"/>
      <c r="BKA5" s="241"/>
      <c r="BKB5" s="241"/>
      <c r="BKC5" s="241"/>
      <c r="BKD5" s="241"/>
      <c r="BKE5" s="241"/>
      <c r="BKF5" s="241"/>
      <c r="BKG5" s="241"/>
      <c r="BKH5" s="241"/>
      <c r="BKI5" s="241"/>
      <c r="BKJ5" s="241"/>
      <c r="BKK5" s="241"/>
      <c r="BKL5" s="241"/>
      <c r="BKM5" s="241"/>
      <c r="BKN5" s="241"/>
      <c r="BKO5" s="241"/>
      <c r="BKP5" s="241"/>
      <c r="BKQ5" s="241"/>
      <c r="BKR5" s="241"/>
      <c r="BKS5" s="241"/>
      <c r="BKT5" s="241"/>
      <c r="BKU5" s="241"/>
      <c r="BKV5" s="241"/>
      <c r="BKW5" s="241"/>
      <c r="BKX5" s="241"/>
      <c r="BKY5" s="241"/>
      <c r="BKZ5" s="241"/>
      <c r="BLA5" s="241"/>
      <c r="BLB5" s="241"/>
      <c r="BLC5" s="241"/>
      <c r="BLD5" s="241"/>
      <c r="BLE5" s="241"/>
      <c r="BLF5" s="241"/>
      <c r="BLG5" s="241"/>
      <c r="BLH5" s="241"/>
      <c r="BLI5" s="241"/>
      <c r="BLJ5" s="241"/>
      <c r="BLK5" s="241"/>
      <c r="BLL5" s="241"/>
      <c r="BLM5" s="241"/>
      <c r="BLN5" s="241"/>
      <c r="BLO5" s="241"/>
      <c r="BLP5" s="241"/>
      <c r="BLQ5" s="241"/>
      <c r="BLR5" s="241"/>
      <c r="BLS5" s="241"/>
      <c r="BLT5" s="241"/>
      <c r="BLU5" s="241"/>
      <c r="BLV5" s="241"/>
      <c r="BLW5" s="241"/>
      <c r="BLX5" s="241"/>
      <c r="BLY5" s="241"/>
      <c r="BLZ5" s="241"/>
      <c r="BMA5" s="241"/>
      <c r="BMB5" s="241"/>
      <c r="BMC5" s="241"/>
      <c r="BMD5" s="241"/>
      <c r="BME5" s="241"/>
      <c r="BMF5" s="241"/>
      <c r="BMG5" s="241"/>
      <c r="BMH5" s="241"/>
      <c r="BMI5" s="241"/>
      <c r="BMJ5" s="241"/>
      <c r="BMK5" s="241"/>
      <c r="BML5" s="241"/>
      <c r="BMM5" s="241"/>
      <c r="BMN5" s="241"/>
      <c r="BMO5" s="241"/>
      <c r="BMP5" s="241"/>
      <c r="BMQ5" s="241"/>
      <c r="BMR5" s="241"/>
      <c r="BMS5" s="241"/>
      <c r="BMT5" s="241"/>
      <c r="BMU5" s="241"/>
      <c r="BMV5" s="241"/>
      <c r="BMW5" s="241"/>
      <c r="BMX5" s="241"/>
      <c r="BMY5" s="241"/>
      <c r="BMZ5" s="241"/>
      <c r="BNA5" s="241"/>
      <c r="BNB5" s="241"/>
      <c r="BNC5" s="241"/>
      <c r="BND5" s="241"/>
      <c r="BNE5" s="241"/>
      <c r="BNF5" s="241"/>
      <c r="BNG5" s="241"/>
      <c r="BNH5" s="241"/>
      <c r="BNI5" s="241"/>
      <c r="BNJ5" s="241"/>
      <c r="BNK5" s="241"/>
      <c r="BNL5" s="241"/>
      <c r="BNM5" s="241"/>
      <c r="BNN5" s="241"/>
      <c r="BNO5" s="241"/>
      <c r="BNP5" s="241"/>
      <c r="BNQ5" s="241"/>
      <c r="BNR5" s="241"/>
      <c r="BNS5" s="241"/>
      <c r="BNT5" s="241"/>
      <c r="BNU5" s="241"/>
      <c r="BNV5" s="241"/>
      <c r="BNW5" s="241"/>
      <c r="BNX5" s="241"/>
      <c r="BNY5" s="241"/>
      <c r="BNZ5" s="241"/>
      <c r="BOA5" s="241"/>
      <c r="BOB5" s="241"/>
      <c r="BOC5" s="241"/>
      <c r="BOD5" s="241"/>
      <c r="BOE5" s="241"/>
      <c r="BOF5" s="241"/>
      <c r="BOG5" s="241"/>
      <c r="BOH5" s="241"/>
      <c r="BOI5" s="241"/>
      <c r="BOJ5" s="241"/>
      <c r="BOK5" s="241"/>
      <c r="BOL5" s="241"/>
      <c r="BOM5" s="241"/>
      <c r="BON5" s="241"/>
      <c r="BOO5" s="241"/>
      <c r="BOP5" s="241"/>
      <c r="BOQ5" s="241"/>
      <c r="BOR5" s="241"/>
      <c r="BOS5" s="241"/>
      <c r="BOT5" s="241"/>
      <c r="BOU5" s="241"/>
      <c r="BOV5" s="241"/>
      <c r="BOW5" s="241"/>
      <c r="BOX5" s="241"/>
      <c r="BOY5" s="241"/>
      <c r="BOZ5" s="241"/>
      <c r="BPA5" s="241"/>
      <c r="BPB5" s="241"/>
      <c r="BPC5" s="241"/>
      <c r="BPD5" s="241"/>
      <c r="BPE5" s="241"/>
      <c r="BPF5" s="241"/>
      <c r="BPG5" s="241"/>
      <c r="BPH5" s="241"/>
      <c r="BPI5" s="241"/>
      <c r="BPJ5" s="241"/>
      <c r="BPK5" s="241"/>
      <c r="BPL5" s="241"/>
      <c r="BPM5" s="241"/>
      <c r="BPN5" s="241"/>
      <c r="BPO5" s="241"/>
      <c r="BPP5" s="241"/>
      <c r="BPQ5" s="241"/>
      <c r="BPR5" s="241"/>
      <c r="BPS5" s="241"/>
      <c r="BPT5" s="241"/>
      <c r="BPU5" s="241"/>
      <c r="BPV5" s="241"/>
      <c r="BPW5" s="241"/>
      <c r="BPX5" s="241"/>
      <c r="BPY5" s="241"/>
      <c r="BPZ5" s="241"/>
      <c r="BQA5" s="241"/>
      <c r="BQB5" s="241"/>
      <c r="BQC5" s="241"/>
      <c r="BQD5" s="241"/>
      <c r="BQE5" s="241"/>
      <c r="BQF5" s="241"/>
      <c r="BQG5" s="241"/>
      <c r="BQH5" s="241"/>
      <c r="BQI5" s="241"/>
      <c r="BQJ5" s="241"/>
      <c r="BQK5" s="241"/>
      <c r="BQL5" s="241"/>
      <c r="BQM5" s="241"/>
      <c r="BQN5" s="241"/>
      <c r="BQO5" s="241"/>
      <c r="BQP5" s="241"/>
      <c r="BQQ5" s="241"/>
      <c r="BQR5" s="241"/>
      <c r="BQS5" s="241"/>
      <c r="BQT5" s="241"/>
      <c r="BQU5" s="241"/>
      <c r="BQV5" s="241"/>
      <c r="BQW5" s="241"/>
      <c r="BQX5" s="241"/>
      <c r="BQY5" s="241"/>
      <c r="BQZ5" s="241"/>
      <c r="BRA5" s="241"/>
      <c r="BRB5" s="241"/>
      <c r="BRC5" s="241"/>
      <c r="BRD5" s="241"/>
      <c r="BRE5" s="241"/>
      <c r="BRF5" s="241"/>
      <c r="BRG5" s="241"/>
      <c r="BRH5" s="241"/>
      <c r="BRI5" s="241"/>
      <c r="BRJ5" s="241"/>
      <c r="BRK5" s="241"/>
      <c r="BRL5" s="241"/>
      <c r="BRM5" s="241"/>
      <c r="BRN5" s="241"/>
      <c r="BRO5" s="241"/>
      <c r="BRP5" s="241"/>
      <c r="BRQ5" s="241"/>
      <c r="BRR5" s="241"/>
      <c r="BRS5" s="241"/>
      <c r="BRT5" s="241"/>
      <c r="BRU5" s="241"/>
      <c r="BRV5" s="241"/>
      <c r="BRW5" s="241"/>
      <c r="BRX5" s="241"/>
      <c r="BRY5" s="241"/>
      <c r="BRZ5" s="241"/>
      <c r="BSA5" s="241"/>
      <c r="BSB5" s="241"/>
      <c r="BSC5" s="241"/>
      <c r="BSD5" s="241"/>
      <c r="BSE5" s="241"/>
      <c r="BSF5" s="241"/>
      <c r="BSG5" s="241"/>
      <c r="BSH5" s="241"/>
      <c r="BSI5" s="241"/>
      <c r="BSJ5" s="241"/>
      <c r="BSK5" s="241"/>
      <c r="BSL5" s="241"/>
      <c r="BSM5" s="241"/>
      <c r="BSN5" s="241"/>
      <c r="BSO5" s="241"/>
      <c r="BSP5" s="241"/>
      <c r="BSQ5" s="241"/>
      <c r="BSR5" s="241"/>
      <c r="BSS5" s="241"/>
      <c r="BST5" s="241"/>
      <c r="BSU5" s="241"/>
      <c r="BSV5" s="241"/>
      <c r="BSW5" s="241"/>
      <c r="BSX5" s="241"/>
      <c r="BSY5" s="241"/>
      <c r="BSZ5" s="241"/>
      <c r="BTA5" s="241"/>
      <c r="BTB5" s="241"/>
      <c r="BTC5" s="241"/>
      <c r="BTD5" s="241"/>
      <c r="BTE5" s="241"/>
      <c r="BTF5" s="241"/>
      <c r="BTG5" s="241"/>
      <c r="BTH5" s="241"/>
      <c r="BTI5" s="241"/>
      <c r="BTJ5" s="241"/>
      <c r="BTK5" s="241"/>
      <c r="BTL5" s="241"/>
      <c r="BTM5" s="241"/>
      <c r="BTN5" s="241"/>
      <c r="BTO5" s="241"/>
      <c r="BTP5" s="241"/>
      <c r="BTQ5" s="241"/>
      <c r="BTR5" s="241"/>
      <c r="BTS5" s="241"/>
      <c r="BTT5" s="241"/>
      <c r="BTU5" s="241"/>
      <c r="BTV5" s="241"/>
      <c r="BTW5" s="241"/>
      <c r="BTX5" s="241"/>
      <c r="BTY5" s="241"/>
      <c r="BTZ5" s="241"/>
      <c r="BUA5" s="241"/>
      <c r="BUB5" s="241"/>
      <c r="BUC5" s="241"/>
      <c r="BUD5" s="241"/>
      <c r="BUE5" s="241"/>
      <c r="BUF5" s="241"/>
      <c r="BUG5" s="241"/>
      <c r="BUH5" s="241"/>
      <c r="BUI5" s="241"/>
      <c r="BUJ5" s="241"/>
      <c r="BUK5" s="241"/>
      <c r="BUL5" s="241"/>
      <c r="BUM5" s="241"/>
      <c r="BUN5" s="241"/>
      <c r="BUO5" s="241"/>
      <c r="BUP5" s="241"/>
      <c r="BUQ5" s="241"/>
      <c r="BUR5" s="241"/>
      <c r="BUS5" s="241"/>
      <c r="BUT5" s="241"/>
      <c r="BUU5" s="241"/>
      <c r="BUV5" s="241"/>
      <c r="BUW5" s="241"/>
      <c r="BUX5" s="241"/>
      <c r="BUY5" s="241"/>
      <c r="BUZ5" s="241"/>
      <c r="BVA5" s="241"/>
      <c r="BVB5" s="241"/>
      <c r="BVC5" s="241"/>
      <c r="BVD5" s="241"/>
      <c r="BVE5" s="241"/>
      <c r="BVF5" s="241"/>
      <c r="BVG5" s="241"/>
      <c r="BVH5" s="241"/>
      <c r="BVI5" s="241"/>
      <c r="BVJ5" s="241"/>
      <c r="BVK5" s="241"/>
      <c r="BVL5" s="241"/>
      <c r="BVM5" s="241"/>
      <c r="BVN5" s="241"/>
      <c r="BVO5" s="241"/>
      <c r="BVP5" s="241"/>
      <c r="BVQ5" s="241"/>
      <c r="BVR5" s="241"/>
      <c r="BVS5" s="241"/>
      <c r="BVT5" s="241"/>
      <c r="BVU5" s="241"/>
      <c r="BVV5" s="241"/>
      <c r="BVW5" s="241"/>
      <c r="BVX5" s="241"/>
      <c r="BVY5" s="241"/>
      <c r="BVZ5" s="241"/>
      <c r="BWA5" s="241"/>
      <c r="BWB5" s="241"/>
      <c r="BWC5" s="241"/>
      <c r="BWD5" s="241"/>
      <c r="BWE5" s="241"/>
      <c r="BWF5" s="241"/>
      <c r="BWG5" s="241"/>
      <c r="BWH5" s="241"/>
      <c r="BWI5" s="241"/>
      <c r="BWJ5" s="241"/>
      <c r="BWK5" s="241"/>
      <c r="BWL5" s="241"/>
      <c r="BWM5" s="241"/>
      <c r="BWN5" s="241"/>
      <c r="BWO5" s="241"/>
      <c r="BWP5" s="241"/>
      <c r="BWQ5" s="241"/>
      <c r="BWR5" s="241"/>
      <c r="BWS5" s="241"/>
      <c r="BWT5" s="241"/>
      <c r="BWU5" s="241"/>
      <c r="BWV5" s="241"/>
      <c r="BWW5" s="241"/>
      <c r="BWX5" s="241"/>
      <c r="BWY5" s="241"/>
      <c r="BWZ5" s="241"/>
      <c r="BXA5" s="241"/>
      <c r="BXB5" s="241"/>
      <c r="BXC5" s="241"/>
      <c r="BXD5" s="241"/>
      <c r="BXE5" s="241"/>
      <c r="BXF5" s="241"/>
      <c r="BXG5" s="241"/>
      <c r="BXH5" s="241"/>
      <c r="BXI5" s="241"/>
      <c r="BXJ5" s="241"/>
      <c r="BXK5" s="241"/>
      <c r="BXL5" s="241"/>
      <c r="BXM5" s="241"/>
      <c r="BXN5" s="241"/>
      <c r="BXO5" s="241"/>
      <c r="BXP5" s="241"/>
      <c r="BXQ5" s="241"/>
      <c r="BXR5" s="241"/>
      <c r="BXS5" s="241"/>
      <c r="BXT5" s="241"/>
      <c r="BXU5" s="241"/>
      <c r="BXV5" s="241"/>
      <c r="BXW5" s="241"/>
      <c r="BXX5" s="241"/>
      <c r="BXY5" s="241"/>
      <c r="BXZ5" s="241"/>
      <c r="BYA5" s="241"/>
      <c r="BYB5" s="241"/>
      <c r="BYC5" s="241"/>
      <c r="BYD5" s="241"/>
      <c r="BYE5" s="241"/>
      <c r="BYF5" s="241"/>
      <c r="BYG5" s="241"/>
      <c r="BYH5" s="241"/>
      <c r="BYI5" s="241"/>
      <c r="BYJ5" s="241"/>
      <c r="BYK5" s="241"/>
      <c r="BYL5" s="241"/>
      <c r="BYM5" s="241"/>
      <c r="BYN5" s="241"/>
      <c r="BYO5" s="241"/>
      <c r="BYP5" s="241"/>
      <c r="BYQ5" s="241"/>
      <c r="BYR5" s="241"/>
      <c r="BYS5" s="241"/>
      <c r="BYT5" s="241"/>
      <c r="BYU5" s="241"/>
      <c r="BYV5" s="241"/>
      <c r="BYW5" s="241"/>
      <c r="BYX5" s="241"/>
      <c r="BYY5" s="241"/>
      <c r="BYZ5" s="241"/>
      <c r="BZA5" s="241"/>
      <c r="BZB5" s="241"/>
      <c r="BZC5" s="241"/>
      <c r="BZD5" s="241"/>
      <c r="BZE5" s="241"/>
      <c r="BZF5" s="241"/>
      <c r="BZG5" s="241"/>
      <c r="BZH5" s="241"/>
      <c r="BZI5" s="241"/>
      <c r="BZJ5" s="241"/>
      <c r="BZK5" s="241"/>
      <c r="BZL5" s="241"/>
      <c r="BZM5" s="241"/>
      <c r="BZN5" s="241"/>
      <c r="BZO5" s="241"/>
      <c r="BZP5" s="241"/>
      <c r="BZQ5" s="241"/>
      <c r="BZR5" s="241"/>
      <c r="BZS5" s="241"/>
      <c r="BZT5" s="241"/>
      <c r="BZU5" s="241"/>
      <c r="BZV5" s="241"/>
      <c r="BZW5" s="241"/>
      <c r="BZX5" s="241"/>
      <c r="BZY5" s="241"/>
      <c r="BZZ5" s="241"/>
      <c r="CAA5" s="241"/>
      <c r="CAB5" s="241"/>
      <c r="CAC5" s="241"/>
      <c r="CAD5" s="241"/>
      <c r="CAE5" s="241"/>
      <c r="CAF5" s="241"/>
      <c r="CAG5" s="241"/>
      <c r="CAH5" s="241"/>
      <c r="CAI5" s="241"/>
      <c r="CAJ5" s="241"/>
      <c r="CAK5" s="241"/>
      <c r="CAL5" s="241"/>
      <c r="CAM5" s="241"/>
      <c r="CAN5" s="241"/>
      <c r="CAO5" s="241"/>
      <c r="CAP5" s="241"/>
      <c r="CAQ5" s="241"/>
      <c r="CAR5" s="241"/>
      <c r="CAS5" s="241"/>
      <c r="CAT5" s="241"/>
      <c r="CAU5" s="241"/>
      <c r="CAV5" s="241"/>
      <c r="CAW5" s="241"/>
      <c r="CAX5" s="241"/>
      <c r="CAY5" s="241"/>
      <c r="CAZ5" s="241"/>
      <c r="CBA5" s="241"/>
      <c r="CBB5" s="241"/>
      <c r="CBC5" s="241"/>
      <c r="CBD5" s="241"/>
      <c r="CBE5" s="241"/>
      <c r="CBF5" s="241"/>
      <c r="CBG5" s="241"/>
      <c r="CBH5" s="241"/>
      <c r="CBI5" s="241"/>
      <c r="CBJ5" s="241"/>
      <c r="CBK5" s="241"/>
      <c r="CBL5" s="241"/>
      <c r="CBM5" s="241"/>
      <c r="CBN5" s="241"/>
      <c r="CBO5" s="241"/>
      <c r="CBP5" s="241"/>
      <c r="CBQ5" s="241"/>
      <c r="CBR5" s="241"/>
      <c r="CBS5" s="241"/>
      <c r="CBT5" s="241"/>
      <c r="CBU5" s="241"/>
      <c r="CBV5" s="241"/>
      <c r="CBW5" s="241"/>
      <c r="CBX5" s="241"/>
      <c r="CBY5" s="241"/>
      <c r="CBZ5" s="241"/>
      <c r="CCA5" s="241"/>
      <c r="CCB5" s="241"/>
      <c r="CCC5" s="241"/>
      <c r="CCD5" s="241"/>
      <c r="CCE5" s="241"/>
      <c r="CCF5" s="241"/>
      <c r="CCG5" s="241"/>
      <c r="CCH5" s="241"/>
      <c r="CCI5" s="241"/>
      <c r="CCJ5" s="241"/>
      <c r="CCK5" s="241"/>
      <c r="CCL5" s="241"/>
      <c r="CCM5" s="241"/>
      <c r="CCN5" s="241"/>
      <c r="CCO5" s="241"/>
      <c r="CCP5" s="241"/>
      <c r="CCQ5" s="241"/>
      <c r="CCR5" s="241"/>
      <c r="CCS5" s="241"/>
      <c r="CCT5" s="241"/>
      <c r="CCU5" s="241"/>
      <c r="CCV5" s="241"/>
      <c r="CCW5" s="241"/>
      <c r="CCX5" s="241"/>
      <c r="CCY5" s="241"/>
      <c r="CCZ5" s="241"/>
      <c r="CDA5" s="241"/>
      <c r="CDB5" s="241"/>
      <c r="CDC5" s="241"/>
      <c r="CDD5" s="241"/>
      <c r="CDE5" s="241"/>
      <c r="CDF5" s="241"/>
      <c r="CDG5" s="241"/>
      <c r="CDH5" s="241"/>
      <c r="CDI5" s="241"/>
      <c r="CDJ5" s="241"/>
      <c r="CDK5" s="241"/>
      <c r="CDL5" s="241"/>
      <c r="CDM5" s="241"/>
      <c r="CDN5" s="241"/>
      <c r="CDO5" s="241"/>
      <c r="CDP5" s="241"/>
      <c r="CDQ5" s="241"/>
      <c r="CDR5" s="241"/>
      <c r="CDS5" s="241"/>
      <c r="CDT5" s="241"/>
      <c r="CDU5" s="241"/>
      <c r="CDV5" s="241"/>
      <c r="CDW5" s="241"/>
      <c r="CDX5" s="241"/>
      <c r="CDY5" s="241"/>
      <c r="CDZ5" s="241"/>
      <c r="CEA5" s="241"/>
      <c r="CEB5" s="241"/>
      <c r="CEC5" s="241"/>
      <c r="CED5" s="241"/>
      <c r="CEE5" s="241"/>
      <c r="CEF5" s="241"/>
      <c r="CEG5" s="241"/>
      <c r="CEH5" s="241"/>
      <c r="CEI5" s="241"/>
      <c r="CEJ5" s="241"/>
      <c r="CEK5" s="241"/>
      <c r="CEL5" s="241"/>
      <c r="CEM5" s="241"/>
      <c r="CEN5" s="241"/>
      <c r="CEO5" s="241"/>
      <c r="CEP5" s="241"/>
      <c r="CEQ5" s="241"/>
      <c r="CER5" s="241"/>
      <c r="CES5" s="241"/>
      <c r="CET5" s="241"/>
      <c r="CEU5" s="241"/>
      <c r="CEV5" s="241"/>
      <c r="CEW5" s="241"/>
      <c r="CEX5" s="241"/>
      <c r="CEY5" s="241"/>
      <c r="CEZ5" s="241"/>
      <c r="CFA5" s="241"/>
      <c r="CFB5" s="241"/>
      <c r="CFC5" s="241"/>
      <c r="CFD5" s="241"/>
      <c r="CFE5" s="241"/>
      <c r="CFF5" s="241"/>
      <c r="CFG5" s="241"/>
      <c r="CFH5" s="241"/>
      <c r="CFI5" s="241"/>
      <c r="CFJ5" s="241"/>
      <c r="CFK5" s="241"/>
      <c r="CFL5" s="241"/>
      <c r="CFM5" s="241"/>
      <c r="CFN5" s="241"/>
      <c r="CFO5" s="241"/>
      <c r="CFP5" s="241"/>
      <c r="CFQ5" s="241"/>
      <c r="CFR5" s="241"/>
      <c r="CFS5" s="241"/>
      <c r="CFT5" s="241"/>
      <c r="CFU5" s="241"/>
      <c r="CFV5" s="241"/>
      <c r="CFW5" s="241"/>
      <c r="CFX5" s="241"/>
      <c r="CFY5" s="241"/>
      <c r="CFZ5" s="241"/>
      <c r="CGA5" s="241"/>
      <c r="CGB5" s="241"/>
      <c r="CGC5" s="241"/>
      <c r="CGD5" s="241"/>
      <c r="CGE5" s="241"/>
      <c r="CGF5" s="241"/>
      <c r="CGG5" s="241"/>
      <c r="CGH5" s="241"/>
      <c r="CGI5" s="241"/>
      <c r="CGJ5" s="241"/>
      <c r="CGK5" s="241"/>
      <c r="CGL5" s="241"/>
      <c r="CGM5" s="241"/>
      <c r="CGN5" s="241"/>
      <c r="CGO5" s="241"/>
      <c r="CGP5" s="241"/>
      <c r="CGQ5" s="241"/>
      <c r="CGR5" s="241"/>
      <c r="CGS5" s="241"/>
      <c r="CGT5" s="241"/>
      <c r="CGU5" s="241"/>
      <c r="CGV5" s="241"/>
      <c r="CGW5" s="241"/>
      <c r="CGX5" s="241"/>
      <c r="CGY5" s="241"/>
      <c r="CGZ5" s="241"/>
      <c r="CHA5" s="241"/>
      <c r="CHB5" s="241"/>
      <c r="CHC5" s="241"/>
      <c r="CHD5" s="241"/>
      <c r="CHE5" s="241"/>
      <c r="CHF5" s="241"/>
      <c r="CHG5" s="241"/>
      <c r="CHH5" s="241"/>
      <c r="CHI5" s="241"/>
      <c r="CHJ5" s="241"/>
      <c r="CHK5" s="241"/>
      <c r="CHL5" s="241"/>
      <c r="CHM5" s="241"/>
      <c r="CHN5" s="241"/>
      <c r="CHO5" s="241"/>
      <c r="CHP5" s="241"/>
      <c r="CHQ5" s="241"/>
      <c r="CHR5" s="241"/>
      <c r="CHS5" s="241"/>
      <c r="CHT5" s="241"/>
      <c r="CHU5" s="241"/>
      <c r="CHV5" s="241"/>
      <c r="CHW5" s="241"/>
      <c r="CHX5" s="241"/>
      <c r="CHY5" s="241"/>
      <c r="CHZ5" s="241"/>
      <c r="CIA5" s="241"/>
      <c r="CIB5" s="241"/>
      <c r="CIC5" s="241"/>
      <c r="CID5" s="241"/>
      <c r="CIE5" s="241"/>
      <c r="CIF5" s="241"/>
      <c r="CIG5" s="241"/>
      <c r="CIH5" s="241"/>
      <c r="CII5" s="241"/>
      <c r="CIJ5" s="241"/>
      <c r="CIK5" s="241"/>
      <c r="CIL5" s="241"/>
      <c r="CIM5" s="241"/>
      <c r="CIN5" s="241"/>
      <c r="CIO5" s="241"/>
      <c r="CIP5" s="241"/>
      <c r="CIQ5" s="241"/>
      <c r="CIR5" s="241"/>
      <c r="CIS5" s="241"/>
      <c r="CIT5" s="241"/>
      <c r="CIU5" s="241"/>
      <c r="CIV5" s="241"/>
      <c r="CIW5" s="241"/>
      <c r="CIX5" s="241"/>
      <c r="CIY5" s="241"/>
      <c r="CIZ5" s="241"/>
      <c r="CJA5" s="241"/>
      <c r="CJB5" s="241"/>
      <c r="CJC5" s="241"/>
      <c r="CJD5" s="241"/>
      <c r="CJE5" s="241"/>
      <c r="CJF5" s="241"/>
      <c r="CJG5" s="241"/>
      <c r="CJH5" s="241"/>
      <c r="CJI5" s="241"/>
      <c r="CJJ5" s="241"/>
      <c r="CJK5" s="241"/>
      <c r="CJL5" s="241"/>
      <c r="CJM5" s="241"/>
      <c r="CJN5" s="241"/>
      <c r="CJO5" s="241"/>
      <c r="CJP5" s="241"/>
      <c r="CJQ5" s="241"/>
      <c r="CJR5" s="241"/>
      <c r="CJS5" s="241"/>
      <c r="CJT5" s="241"/>
      <c r="CJU5" s="241"/>
      <c r="CJV5" s="241"/>
      <c r="CJW5" s="241"/>
      <c r="CJX5" s="241"/>
      <c r="CJY5" s="241"/>
      <c r="CJZ5" s="241"/>
      <c r="CKA5" s="241"/>
      <c r="CKB5" s="241"/>
      <c r="CKC5" s="241"/>
      <c r="CKD5" s="241"/>
      <c r="CKE5" s="241"/>
      <c r="CKF5" s="241"/>
      <c r="CKG5" s="241"/>
      <c r="CKH5" s="241"/>
      <c r="CKI5" s="241"/>
      <c r="CKJ5" s="241"/>
      <c r="CKK5" s="241"/>
      <c r="CKL5" s="241"/>
      <c r="CKM5" s="241"/>
      <c r="CKN5" s="241"/>
      <c r="CKO5" s="241"/>
      <c r="CKP5" s="241"/>
      <c r="CKQ5" s="241"/>
      <c r="CKR5" s="241"/>
      <c r="CKS5" s="241"/>
      <c r="CKT5" s="241"/>
      <c r="CKU5" s="241"/>
      <c r="CKV5" s="241"/>
      <c r="CKW5" s="241"/>
      <c r="CKX5" s="241"/>
      <c r="CKY5" s="241"/>
      <c r="CKZ5" s="241"/>
      <c r="CLA5" s="241"/>
      <c r="CLB5" s="241"/>
      <c r="CLC5" s="241"/>
      <c r="CLD5" s="241"/>
      <c r="CLE5" s="241"/>
      <c r="CLF5" s="241"/>
      <c r="CLG5" s="241"/>
      <c r="CLH5" s="241"/>
      <c r="CLI5" s="241"/>
      <c r="CLJ5" s="241"/>
      <c r="CLK5" s="241"/>
      <c r="CLL5" s="241"/>
      <c r="CLM5" s="241"/>
      <c r="CLN5" s="241"/>
      <c r="CLO5" s="241"/>
      <c r="CLP5" s="241"/>
      <c r="CLQ5" s="241"/>
      <c r="CLR5" s="241"/>
      <c r="CLS5" s="241"/>
      <c r="CLT5" s="241"/>
      <c r="CLU5" s="241"/>
      <c r="CLV5" s="241"/>
      <c r="CLW5" s="241"/>
      <c r="CLX5" s="241"/>
      <c r="CLY5" s="241"/>
      <c r="CLZ5" s="241"/>
      <c r="CMA5" s="241"/>
      <c r="CMB5" s="241"/>
      <c r="CMC5" s="241"/>
      <c r="CMD5" s="241"/>
      <c r="CME5" s="241"/>
      <c r="CMF5" s="241"/>
      <c r="CMG5" s="241"/>
      <c r="CMH5" s="241"/>
      <c r="CMI5" s="241"/>
      <c r="CMJ5" s="241"/>
      <c r="CMK5" s="241"/>
      <c r="CML5" s="241"/>
      <c r="CMM5" s="241"/>
      <c r="CMN5" s="241"/>
      <c r="CMO5" s="241"/>
      <c r="CMP5" s="241"/>
      <c r="CMQ5" s="241"/>
      <c r="CMR5" s="241"/>
      <c r="CMS5" s="241"/>
      <c r="CMT5" s="241"/>
      <c r="CMU5" s="241"/>
      <c r="CMV5" s="241"/>
      <c r="CMW5" s="241"/>
      <c r="CMX5" s="241"/>
      <c r="CMY5" s="241"/>
      <c r="CMZ5" s="241"/>
      <c r="CNA5" s="241"/>
      <c r="CNB5" s="241"/>
      <c r="CNC5" s="241"/>
      <c r="CND5" s="241"/>
      <c r="CNE5" s="241"/>
      <c r="CNF5" s="241"/>
      <c r="CNG5" s="241"/>
      <c r="CNH5" s="241"/>
      <c r="CNI5" s="241"/>
      <c r="CNJ5" s="241"/>
      <c r="CNK5" s="241"/>
      <c r="CNL5" s="241"/>
      <c r="CNM5" s="241"/>
      <c r="CNN5" s="241"/>
      <c r="CNO5" s="241"/>
      <c r="CNP5" s="241"/>
      <c r="CNQ5" s="241"/>
      <c r="CNR5" s="241"/>
      <c r="CNS5" s="241"/>
      <c r="CNT5" s="241"/>
      <c r="CNU5" s="241"/>
      <c r="CNV5" s="241"/>
      <c r="CNW5" s="241"/>
      <c r="CNX5" s="241"/>
      <c r="CNY5" s="241"/>
      <c r="CNZ5" s="241"/>
      <c r="COA5" s="241"/>
      <c r="COB5" s="241"/>
      <c r="COC5" s="241"/>
      <c r="COD5" s="241"/>
      <c r="COE5" s="241"/>
      <c r="COF5" s="241"/>
      <c r="COG5" s="241"/>
      <c r="COH5" s="241"/>
      <c r="COI5" s="241"/>
      <c r="COJ5" s="241"/>
      <c r="COK5" s="241"/>
      <c r="COL5" s="241"/>
      <c r="COM5" s="241"/>
      <c r="CON5" s="241"/>
      <c r="COO5" s="241"/>
      <c r="COP5" s="241"/>
      <c r="COQ5" s="241"/>
      <c r="COR5" s="241"/>
      <c r="COS5" s="241"/>
      <c r="COT5" s="241"/>
      <c r="COU5" s="241"/>
      <c r="COV5" s="241"/>
      <c r="COW5" s="241"/>
      <c r="COX5" s="241"/>
      <c r="COY5" s="241"/>
      <c r="COZ5" s="241"/>
      <c r="CPA5" s="241"/>
      <c r="CPB5" s="241"/>
      <c r="CPC5" s="241"/>
      <c r="CPD5" s="241"/>
      <c r="CPE5" s="241"/>
      <c r="CPF5" s="241"/>
      <c r="CPG5" s="241"/>
      <c r="CPH5" s="241"/>
      <c r="CPI5" s="241"/>
      <c r="CPJ5" s="241"/>
      <c r="CPK5" s="241"/>
      <c r="CPL5" s="241"/>
      <c r="CPM5" s="241"/>
      <c r="CPN5" s="241"/>
      <c r="CPO5" s="241"/>
      <c r="CPP5" s="241"/>
      <c r="CPQ5" s="241"/>
      <c r="CPR5" s="241"/>
      <c r="CPS5" s="241"/>
      <c r="CPT5" s="241"/>
      <c r="CPU5" s="241"/>
      <c r="CPV5" s="241"/>
      <c r="CPW5" s="241"/>
      <c r="CPX5" s="241"/>
      <c r="CPY5" s="241"/>
      <c r="CPZ5" s="241"/>
      <c r="CQA5" s="241"/>
      <c r="CQB5" s="241"/>
      <c r="CQC5" s="241"/>
      <c r="CQD5" s="241"/>
      <c r="CQE5" s="241"/>
      <c r="CQF5" s="241"/>
      <c r="CQG5" s="241"/>
      <c r="CQH5" s="241"/>
      <c r="CQI5" s="241"/>
      <c r="CQJ5" s="241"/>
      <c r="CQK5" s="241"/>
      <c r="CQL5" s="241"/>
      <c r="CQM5" s="241"/>
      <c r="CQN5" s="241"/>
      <c r="CQO5" s="241"/>
      <c r="CQP5" s="241"/>
      <c r="CQQ5" s="241"/>
      <c r="CQR5" s="241"/>
      <c r="CQS5" s="241"/>
      <c r="CQT5" s="241"/>
      <c r="CQU5" s="241"/>
      <c r="CQV5" s="241"/>
      <c r="CQW5" s="241"/>
      <c r="CQX5" s="241"/>
      <c r="CQY5" s="241"/>
      <c r="CQZ5" s="241"/>
      <c r="CRA5" s="241"/>
      <c r="CRB5" s="241"/>
      <c r="CRC5" s="241"/>
      <c r="CRD5" s="241"/>
      <c r="CRE5" s="241"/>
      <c r="CRF5" s="241"/>
      <c r="CRG5" s="241"/>
      <c r="CRH5" s="241"/>
      <c r="CRI5" s="241"/>
      <c r="CRJ5" s="241"/>
      <c r="CRK5" s="241"/>
      <c r="CRL5" s="241"/>
      <c r="CRM5" s="241"/>
      <c r="CRN5" s="241"/>
      <c r="CRO5" s="241"/>
      <c r="CRP5" s="241"/>
      <c r="CRQ5" s="241"/>
      <c r="CRR5" s="241"/>
      <c r="CRS5" s="241"/>
      <c r="CRT5" s="241"/>
      <c r="CRU5" s="241"/>
      <c r="CRV5" s="241"/>
      <c r="CRW5" s="241"/>
      <c r="CRX5" s="241"/>
      <c r="CRY5" s="241"/>
      <c r="CRZ5" s="241"/>
      <c r="CSA5" s="241"/>
      <c r="CSB5" s="241"/>
      <c r="CSC5" s="241"/>
      <c r="CSD5" s="241"/>
      <c r="CSE5" s="241"/>
      <c r="CSF5" s="241"/>
      <c r="CSG5" s="241"/>
      <c r="CSH5" s="241"/>
      <c r="CSI5" s="241"/>
      <c r="CSJ5" s="241"/>
      <c r="CSK5" s="241"/>
      <c r="CSL5" s="241"/>
      <c r="CSM5" s="241"/>
      <c r="CSN5" s="241"/>
      <c r="CSO5" s="241"/>
      <c r="CSP5" s="241"/>
      <c r="CSQ5" s="241"/>
      <c r="CSR5" s="241"/>
      <c r="CSS5" s="241"/>
      <c r="CST5" s="241"/>
      <c r="CSU5" s="241"/>
      <c r="CSV5" s="241"/>
      <c r="CSW5" s="241"/>
      <c r="CSX5" s="241"/>
      <c r="CSY5" s="241"/>
      <c r="CSZ5" s="241"/>
      <c r="CTA5" s="241"/>
      <c r="CTB5" s="241"/>
      <c r="CTC5" s="241"/>
      <c r="CTD5" s="241"/>
      <c r="CTE5" s="241"/>
      <c r="CTF5" s="241"/>
      <c r="CTG5" s="241"/>
      <c r="CTH5" s="241"/>
      <c r="CTI5" s="241"/>
      <c r="CTJ5" s="241"/>
      <c r="CTK5" s="241"/>
      <c r="CTL5" s="241"/>
      <c r="CTM5" s="241"/>
      <c r="CTN5" s="241"/>
      <c r="CTO5" s="241"/>
      <c r="CTP5" s="241"/>
      <c r="CTQ5" s="241"/>
      <c r="CTR5" s="241"/>
      <c r="CTS5" s="241"/>
      <c r="CTT5" s="241"/>
      <c r="CTU5" s="241"/>
      <c r="CTV5" s="241"/>
      <c r="CTW5" s="241"/>
      <c r="CTX5" s="241"/>
      <c r="CTY5" s="241"/>
      <c r="CTZ5" s="241"/>
      <c r="CUA5" s="241"/>
      <c r="CUB5" s="241"/>
      <c r="CUC5" s="241"/>
      <c r="CUD5" s="241"/>
      <c r="CUE5" s="241"/>
      <c r="CUF5" s="241"/>
      <c r="CUG5" s="241"/>
      <c r="CUH5" s="241"/>
      <c r="CUI5" s="241"/>
      <c r="CUJ5" s="241"/>
      <c r="CUK5" s="241"/>
      <c r="CUL5" s="241"/>
      <c r="CUM5" s="241"/>
      <c r="CUN5" s="241"/>
      <c r="CUO5" s="241"/>
      <c r="CUP5" s="241"/>
      <c r="CUQ5" s="241"/>
      <c r="CUR5" s="241"/>
      <c r="CUS5" s="241"/>
      <c r="CUT5" s="241"/>
      <c r="CUU5" s="241"/>
      <c r="CUV5" s="241"/>
      <c r="CUW5" s="241"/>
      <c r="CUX5" s="241"/>
      <c r="CUY5" s="241"/>
      <c r="CUZ5" s="241"/>
      <c r="CVA5" s="241"/>
      <c r="CVB5" s="241"/>
      <c r="CVC5" s="241"/>
      <c r="CVD5" s="241"/>
      <c r="CVE5" s="241"/>
      <c r="CVF5" s="241"/>
      <c r="CVG5" s="241"/>
      <c r="CVH5" s="241"/>
      <c r="CVI5" s="241"/>
      <c r="CVJ5" s="241"/>
      <c r="CVK5" s="241"/>
      <c r="CVL5" s="241"/>
      <c r="CVM5" s="241"/>
      <c r="CVN5" s="241"/>
      <c r="CVO5" s="241"/>
      <c r="CVP5" s="241"/>
      <c r="CVQ5" s="241"/>
      <c r="CVR5" s="241"/>
      <c r="CVS5" s="241"/>
      <c r="CVT5" s="241"/>
      <c r="CVU5" s="241"/>
      <c r="CVV5" s="241"/>
      <c r="CVW5" s="241"/>
      <c r="CVX5" s="241"/>
      <c r="CVY5" s="241"/>
      <c r="CVZ5" s="241"/>
      <c r="CWA5" s="241"/>
      <c r="CWB5" s="241"/>
      <c r="CWC5" s="241"/>
      <c r="CWD5" s="241"/>
      <c r="CWE5" s="241"/>
      <c r="CWF5" s="241"/>
      <c r="CWG5" s="241"/>
      <c r="CWH5" s="241"/>
      <c r="CWI5" s="241"/>
      <c r="CWJ5" s="241"/>
      <c r="CWK5" s="241"/>
      <c r="CWL5" s="241"/>
      <c r="CWM5" s="241"/>
      <c r="CWN5" s="241"/>
      <c r="CWO5" s="241"/>
      <c r="CWP5" s="241"/>
      <c r="CWQ5" s="241"/>
      <c r="CWR5" s="241"/>
      <c r="CWS5" s="241"/>
      <c r="CWT5" s="241"/>
      <c r="CWU5" s="241"/>
      <c r="CWV5" s="241"/>
      <c r="CWW5" s="241"/>
      <c r="CWX5" s="241"/>
      <c r="CWY5" s="241"/>
      <c r="CWZ5" s="241"/>
      <c r="CXA5" s="241"/>
      <c r="CXB5" s="241"/>
      <c r="CXC5" s="241"/>
      <c r="CXD5" s="241"/>
      <c r="CXE5" s="241"/>
      <c r="CXF5" s="241"/>
      <c r="CXG5" s="241"/>
      <c r="CXH5" s="241"/>
      <c r="CXI5" s="241"/>
      <c r="CXJ5" s="241"/>
      <c r="CXK5" s="241"/>
      <c r="CXL5" s="241"/>
      <c r="CXM5" s="241"/>
      <c r="CXN5" s="241"/>
      <c r="CXO5" s="241"/>
      <c r="CXP5" s="241"/>
      <c r="CXQ5" s="241"/>
      <c r="CXR5" s="241"/>
      <c r="CXS5" s="241"/>
      <c r="CXT5" s="241"/>
      <c r="CXU5" s="241"/>
      <c r="CXV5" s="241"/>
      <c r="CXW5" s="241"/>
      <c r="CXX5" s="241"/>
      <c r="CXY5" s="241"/>
      <c r="CXZ5" s="241"/>
      <c r="CYA5" s="241"/>
      <c r="CYB5" s="241"/>
      <c r="CYC5" s="241"/>
      <c r="CYD5" s="241"/>
      <c r="CYE5" s="241"/>
      <c r="CYF5" s="241"/>
      <c r="CYG5" s="241"/>
      <c r="CYH5" s="241"/>
      <c r="CYI5" s="241"/>
      <c r="CYJ5" s="241"/>
      <c r="CYK5" s="241"/>
      <c r="CYL5" s="241"/>
      <c r="CYM5" s="241"/>
      <c r="CYN5" s="241"/>
      <c r="CYO5" s="241"/>
      <c r="CYP5" s="241"/>
      <c r="CYQ5" s="241"/>
      <c r="CYR5" s="241"/>
      <c r="CYS5" s="241"/>
      <c r="CYT5" s="241"/>
      <c r="CYU5" s="241"/>
      <c r="CYV5" s="241"/>
      <c r="CYW5" s="241"/>
      <c r="CYX5" s="241"/>
      <c r="CYY5" s="241"/>
      <c r="CYZ5" s="241"/>
      <c r="CZA5" s="241"/>
      <c r="CZB5" s="241"/>
      <c r="CZC5" s="241"/>
      <c r="CZD5" s="241"/>
      <c r="CZE5" s="241"/>
      <c r="CZF5" s="241"/>
      <c r="CZG5" s="241"/>
      <c r="CZH5" s="241"/>
      <c r="CZI5" s="241"/>
      <c r="CZJ5" s="241"/>
      <c r="CZK5" s="241"/>
      <c r="CZL5" s="241"/>
      <c r="CZM5" s="241"/>
      <c r="CZN5" s="241"/>
      <c r="CZO5" s="241"/>
      <c r="CZP5" s="241"/>
      <c r="CZQ5" s="241"/>
      <c r="CZR5" s="241"/>
      <c r="CZS5" s="241"/>
      <c r="CZT5" s="241"/>
      <c r="CZU5" s="241"/>
      <c r="CZV5" s="241"/>
      <c r="CZW5" s="241"/>
      <c r="CZX5" s="241"/>
      <c r="CZY5" s="241"/>
      <c r="CZZ5" s="241"/>
      <c r="DAA5" s="241"/>
      <c r="DAB5" s="241"/>
      <c r="DAC5" s="241"/>
      <c r="DAD5" s="241"/>
      <c r="DAE5" s="241"/>
      <c r="DAF5" s="241"/>
      <c r="DAG5" s="241"/>
      <c r="DAH5" s="241"/>
      <c r="DAI5" s="241"/>
      <c r="DAJ5" s="241"/>
      <c r="DAK5" s="241"/>
      <c r="DAL5" s="241"/>
      <c r="DAM5" s="241"/>
      <c r="DAN5" s="241"/>
      <c r="DAO5" s="241"/>
      <c r="DAP5" s="241"/>
      <c r="DAQ5" s="241"/>
      <c r="DAR5" s="241"/>
      <c r="DAS5" s="241"/>
      <c r="DAT5" s="241"/>
      <c r="DAU5" s="241"/>
      <c r="DAV5" s="241"/>
      <c r="DAW5" s="241"/>
      <c r="DAX5" s="241"/>
      <c r="DAY5" s="241"/>
      <c r="DAZ5" s="241"/>
      <c r="DBA5" s="241"/>
      <c r="DBB5" s="241"/>
      <c r="DBC5" s="241"/>
      <c r="DBD5" s="241"/>
      <c r="DBE5" s="241"/>
      <c r="DBF5" s="241"/>
      <c r="DBG5" s="241"/>
      <c r="DBH5" s="241"/>
      <c r="DBI5" s="241"/>
      <c r="DBJ5" s="241"/>
      <c r="DBK5" s="241"/>
      <c r="DBL5" s="241"/>
      <c r="DBM5" s="241"/>
      <c r="DBN5" s="241"/>
      <c r="DBO5" s="241"/>
      <c r="DBP5" s="241"/>
      <c r="DBQ5" s="241"/>
      <c r="DBR5" s="241"/>
      <c r="DBS5" s="241"/>
      <c r="DBT5" s="241"/>
      <c r="DBU5" s="241"/>
      <c r="DBV5" s="241"/>
      <c r="DBW5" s="241"/>
      <c r="DBX5" s="241"/>
      <c r="DBY5" s="241"/>
      <c r="DBZ5" s="241"/>
      <c r="DCA5" s="241"/>
      <c r="DCB5" s="241"/>
      <c r="DCC5" s="241"/>
      <c r="DCD5" s="241"/>
      <c r="DCE5" s="241"/>
      <c r="DCF5" s="241"/>
      <c r="DCG5" s="241"/>
      <c r="DCH5" s="241"/>
      <c r="DCI5" s="241"/>
      <c r="DCJ5" s="241"/>
      <c r="DCK5" s="241"/>
      <c r="DCL5" s="241"/>
      <c r="DCM5" s="241"/>
      <c r="DCN5" s="241"/>
      <c r="DCO5" s="241"/>
      <c r="DCP5" s="241"/>
      <c r="DCQ5" s="241"/>
      <c r="DCR5" s="241"/>
      <c r="DCS5" s="241"/>
      <c r="DCT5" s="241"/>
      <c r="DCU5" s="241"/>
      <c r="DCV5" s="241"/>
      <c r="DCW5" s="241"/>
      <c r="DCX5" s="241"/>
      <c r="DCY5" s="241"/>
      <c r="DCZ5" s="241"/>
      <c r="DDA5" s="241"/>
      <c r="DDB5" s="241"/>
      <c r="DDC5" s="241"/>
      <c r="DDD5" s="241"/>
      <c r="DDE5" s="241"/>
      <c r="DDF5" s="241"/>
      <c r="DDG5" s="241"/>
      <c r="DDH5" s="241"/>
      <c r="DDI5" s="241"/>
      <c r="DDJ5" s="241"/>
      <c r="DDK5" s="241"/>
      <c r="DDL5" s="241"/>
      <c r="DDM5" s="241"/>
      <c r="DDN5" s="241"/>
      <c r="DDO5" s="241"/>
      <c r="DDP5" s="241"/>
      <c r="DDQ5" s="241"/>
      <c r="DDR5" s="241"/>
      <c r="DDS5" s="241"/>
      <c r="DDT5" s="241"/>
      <c r="DDU5" s="241"/>
      <c r="DDV5" s="241"/>
      <c r="DDW5" s="241"/>
      <c r="DDX5" s="241"/>
      <c r="DDY5" s="241"/>
      <c r="DDZ5" s="241"/>
      <c r="DEA5" s="241"/>
      <c r="DEB5" s="241"/>
      <c r="DEC5" s="241"/>
      <c r="DED5" s="241"/>
      <c r="DEE5" s="241"/>
      <c r="DEF5" s="241"/>
      <c r="DEG5" s="241"/>
      <c r="DEH5" s="241"/>
      <c r="DEI5" s="241"/>
      <c r="DEJ5" s="241"/>
      <c r="DEK5" s="241"/>
      <c r="DEL5" s="241"/>
      <c r="DEM5" s="241"/>
      <c r="DEN5" s="241"/>
      <c r="DEO5" s="241"/>
      <c r="DEP5" s="241"/>
      <c r="DEQ5" s="241"/>
      <c r="DER5" s="241"/>
      <c r="DES5" s="241"/>
      <c r="DET5" s="241"/>
      <c r="DEU5" s="241"/>
      <c r="DEV5" s="241"/>
      <c r="DEW5" s="241"/>
      <c r="DEX5" s="241"/>
      <c r="DEY5" s="241"/>
      <c r="DEZ5" s="241"/>
      <c r="DFA5" s="241"/>
      <c r="DFB5" s="241"/>
      <c r="DFC5" s="241"/>
      <c r="DFD5" s="241"/>
      <c r="DFE5" s="241"/>
      <c r="DFF5" s="241"/>
      <c r="DFG5" s="241"/>
      <c r="DFH5" s="241"/>
      <c r="DFI5" s="241"/>
      <c r="DFJ5" s="241"/>
      <c r="DFK5" s="241"/>
      <c r="DFL5" s="241"/>
      <c r="DFM5" s="241"/>
      <c r="DFN5" s="241"/>
      <c r="DFO5" s="241"/>
      <c r="DFP5" s="241"/>
      <c r="DFQ5" s="241"/>
      <c r="DFR5" s="241"/>
      <c r="DFS5" s="241"/>
      <c r="DFT5" s="241"/>
      <c r="DFU5" s="241"/>
      <c r="DFV5" s="241"/>
      <c r="DFW5" s="241"/>
      <c r="DFX5" s="241"/>
      <c r="DFY5" s="241"/>
      <c r="DFZ5" s="241"/>
      <c r="DGA5" s="241"/>
      <c r="DGB5" s="241"/>
      <c r="DGC5" s="241"/>
      <c r="DGD5" s="241"/>
      <c r="DGE5" s="241"/>
      <c r="DGF5" s="241"/>
      <c r="DGG5" s="241"/>
      <c r="DGH5" s="241"/>
      <c r="DGI5" s="241"/>
      <c r="DGJ5" s="241"/>
      <c r="DGK5" s="241"/>
      <c r="DGL5" s="241"/>
      <c r="DGM5" s="241"/>
      <c r="DGN5" s="241"/>
      <c r="DGO5" s="241"/>
      <c r="DGP5" s="241"/>
      <c r="DGQ5" s="241"/>
      <c r="DGR5" s="241"/>
      <c r="DGS5" s="241"/>
      <c r="DGT5" s="241"/>
      <c r="DGU5" s="241"/>
      <c r="DGV5" s="241"/>
      <c r="DGW5" s="241"/>
      <c r="DGX5" s="241"/>
      <c r="DGY5" s="241"/>
      <c r="DGZ5" s="241"/>
      <c r="DHA5" s="241"/>
      <c r="DHB5" s="241"/>
      <c r="DHC5" s="241"/>
      <c r="DHD5" s="241"/>
      <c r="DHE5" s="241"/>
      <c r="DHF5" s="241"/>
      <c r="DHG5" s="241"/>
      <c r="DHH5" s="241"/>
      <c r="DHI5" s="241"/>
      <c r="DHJ5" s="241"/>
      <c r="DHK5" s="241"/>
      <c r="DHL5" s="241"/>
      <c r="DHM5" s="241"/>
      <c r="DHN5" s="241"/>
      <c r="DHO5" s="241"/>
      <c r="DHP5" s="241"/>
      <c r="DHQ5" s="241"/>
      <c r="DHR5" s="241"/>
      <c r="DHS5" s="241"/>
      <c r="DHT5" s="241"/>
      <c r="DHU5" s="241"/>
      <c r="DHV5" s="241"/>
      <c r="DHW5" s="241"/>
      <c r="DHX5" s="241"/>
      <c r="DHY5" s="241"/>
      <c r="DHZ5" s="241"/>
      <c r="DIA5" s="241"/>
      <c r="DIB5" s="241"/>
      <c r="DIC5" s="241"/>
      <c r="DID5" s="241"/>
      <c r="DIE5" s="241"/>
      <c r="DIF5" s="241"/>
      <c r="DIG5" s="241"/>
      <c r="DIH5" s="241"/>
      <c r="DII5" s="241"/>
      <c r="DIJ5" s="241"/>
      <c r="DIK5" s="241"/>
      <c r="DIL5" s="241"/>
      <c r="DIM5" s="241"/>
      <c r="DIN5" s="241"/>
      <c r="DIO5" s="241"/>
      <c r="DIP5" s="241"/>
      <c r="DIQ5" s="241"/>
      <c r="DIR5" s="241"/>
      <c r="DIS5" s="241"/>
      <c r="DIT5" s="241"/>
      <c r="DIU5" s="241"/>
      <c r="DIV5" s="241"/>
      <c r="DIW5" s="241"/>
      <c r="DIX5" s="241"/>
      <c r="DIY5" s="241"/>
      <c r="DIZ5" s="241"/>
      <c r="DJA5" s="241"/>
      <c r="DJB5" s="241"/>
      <c r="DJC5" s="241"/>
      <c r="DJD5" s="241"/>
      <c r="DJE5" s="241"/>
      <c r="DJF5" s="241"/>
      <c r="DJG5" s="241"/>
      <c r="DJH5" s="241"/>
      <c r="DJI5" s="241"/>
      <c r="DJJ5" s="241"/>
      <c r="DJK5" s="241"/>
      <c r="DJL5" s="241"/>
      <c r="DJM5" s="241"/>
      <c r="DJN5" s="241"/>
      <c r="DJO5" s="241"/>
      <c r="DJP5" s="241"/>
      <c r="DJQ5" s="241"/>
      <c r="DJR5" s="241"/>
      <c r="DJS5" s="241"/>
      <c r="DJT5" s="241"/>
      <c r="DJU5" s="241"/>
      <c r="DJV5" s="241"/>
      <c r="DJW5" s="241"/>
      <c r="DJX5" s="241"/>
      <c r="DJY5" s="241"/>
      <c r="DJZ5" s="241"/>
      <c r="DKA5" s="241"/>
      <c r="DKB5" s="241"/>
      <c r="DKC5" s="241"/>
      <c r="DKD5" s="241"/>
      <c r="DKE5" s="241"/>
      <c r="DKF5" s="241"/>
      <c r="DKG5" s="241"/>
      <c r="DKH5" s="241"/>
      <c r="DKI5" s="241"/>
      <c r="DKJ5" s="241"/>
      <c r="DKK5" s="241"/>
      <c r="DKL5" s="241"/>
      <c r="DKM5" s="241"/>
      <c r="DKN5" s="241"/>
      <c r="DKO5" s="241"/>
      <c r="DKP5" s="241"/>
      <c r="DKQ5" s="241"/>
      <c r="DKR5" s="241"/>
      <c r="DKS5" s="241"/>
      <c r="DKT5" s="241"/>
      <c r="DKU5" s="241"/>
      <c r="DKV5" s="241"/>
      <c r="DKW5" s="241"/>
      <c r="DKX5" s="241"/>
      <c r="DKY5" s="241"/>
      <c r="DKZ5" s="241"/>
      <c r="DLA5" s="241"/>
      <c r="DLB5" s="241"/>
      <c r="DLC5" s="241"/>
      <c r="DLD5" s="241"/>
      <c r="DLE5" s="241"/>
      <c r="DLF5" s="241"/>
      <c r="DLG5" s="241"/>
      <c r="DLH5" s="241"/>
      <c r="DLI5" s="241"/>
      <c r="DLJ5" s="241"/>
      <c r="DLK5" s="241"/>
      <c r="DLL5" s="241"/>
      <c r="DLM5" s="241"/>
      <c r="DLN5" s="241"/>
      <c r="DLO5" s="241"/>
      <c r="DLP5" s="241"/>
      <c r="DLQ5" s="241"/>
      <c r="DLR5" s="241"/>
      <c r="DLS5" s="241"/>
      <c r="DLT5" s="241"/>
      <c r="DLU5" s="241"/>
      <c r="DLV5" s="241"/>
      <c r="DLW5" s="241"/>
      <c r="DLX5" s="241"/>
      <c r="DLY5" s="241"/>
      <c r="DLZ5" s="241"/>
      <c r="DMA5" s="241"/>
      <c r="DMB5" s="241"/>
      <c r="DMC5" s="241"/>
      <c r="DMD5" s="241"/>
      <c r="DME5" s="241"/>
      <c r="DMF5" s="241"/>
      <c r="DMG5" s="241"/>
      <c r="DMH5" s="241"/>
      <c r="DMI5" s="241"/>
      <c r="DMJ5" s="241"/>
      <c r="DMK5" s="241"/>
      <c r="DML5" s="241"/>
      <c r="DMM5" s="241"/>
      <c r="DMN5" s="241"/>
      <c r="DMO5" s="241"/>
      <c r="DMP5" s="241"/>
      <c r="DMQ5" s="241"/>
      <c r="DMR5" s="241"/>
      <c r="DMS5" s="241"/>
      <c r="DMT5" s="241"/>
      <c r="DMU5" s="241"/>
      <c r="DMV5" s="241"/>
      <c r="DMW5" s="241"/>
      <c r="DMX5" s="241"/>
      <c r="DMY5" s="241"/>
      <c r="DMZ5" s="241"/>
      <c r="DNA5" s="241"/>
      <c r="DNB5" s="241"/>
      <c r="DNC5" s="241"/>
      <c r="DND5" s="241"/>
      <c r="DNE5" s="241"/>
      <c r="DNF5" s="241"/>
      <c r="DNG5" s="241"/>
      <c r="DNH5" s="241"/>
      <c r="DNI5" s="241"/>
      <c r="DNJ5" s="241"/>
      <c r="DNK5" s="241"/>
      <c r="DNL5" s="241"/>
      <c r="DNM5" s="241"/>
      <c r="DNN5" s="241"/>
      <c r="DNO5" s="241"/>
      <c r="DNP5" s="241"/>
      <c r="DNQ5" s="241"/>
      <c r="DNR5" s="241"/>
      <c r="DNS5" s="241"/>
      <c r="DNT5" s="241"/>
      <c r="DNU5" s="241"/>
      <c r="DNV5" s="241"/>
      <c r="DNW5" s="241"/>
      <c r="DNX5" s="241"/>
      <c r="DNY5" s="241"/>
      <c r="DNZ5" s="241"/>
      <c r="DOA5" s="241"/>
      <c r="DOB5" s="241"/>
      <c r="DOC5" s="241"/>
      <c r="DOD5" s="241"/>
      <c r="DOE5" s="241"/>
      <c r="DOF5" s="241"/>
      <c r="DOG5" s="241"/>
      <c r="DOH5" s="241"/>
      <c r="DOI5" s="241"/>
      <c r="DOJ5" s="241"/>
      <c r="DOK5" s="241"/>
      <c r="DOL5" s="241"/>
      <c r="DOM5" s="241"/>
      <c r="DON5" s="241"/>
      <c r="DOO5" s="241"/>
      <c r="DOP5" s="241"/>
      <c r="DOQ5" s="241"/>
      <c r="DOR5" s="241"/>
      <c r="DOS5" s="241"/>
      <c r="DOT5" s="241"/>
      <c r="DOU5" s="241"/>
      <c r="DOV5" s="241"/>
      <c r="DOW5" s="241"/>
      <c r="DOX5" s="241"/>
      <c r="DOY5" s="241"/>
      <c r="DOZ5" s="241"/>
      <c r="DPA5" s="241"/>
      <c r="DPB5" s="241"/>
      <c r="DPC5" s="241"/>
      <c r="DPD5" s="241"/>
      <c r="DPE5" s="241"/>
      <c r="DPF5" s="241"/>
      <c r="DPG5" s="241"/>
      <c r="DPH5" s="241"/>
      <c r="DPI5" s="241"/>
      <c r="DPJ5" s="241"/>
      <c r="DPK5" s="241"/>
      <c r="DPL5" s="241"/>
      <c r="DPM5" s="241"/>
      <c r="DPN5" s="241"/>
      <c r="DPO5" s="241"/>
      <c r="DPP5" s="241"/>
      <c r="DPQ5" s="241"/>
      <c r="DPR5" s="241"/>
      <c r="DPS5" s="241"/>
      <c r="DPT5" s="241"/>
      <c r="DPU5" s="241"/>
      <c r="DPV5" s="241"/>
      <c r="DPW5" s="241"/>
      <c r="DPX5" s="241"/>
      <c r="DPY5" s="241"/>
      <c r="DPZ5" s="241"/>
      <c r="DQA5" s="241"/>
      <c r="DQB5" s="241"/>
      <c r="DQC5" s="241"/>
      <c r="DQD5" s="241"/>
      <c r="DQE5" s="241"/>
      <c r="DQF5" s="241"/>
      <c r="DQG5" s="241"/>
      <c r="DQH5" s="241"/>
      <c r="DQI5" s="241"/>
      <c r="DQJ5" s="241"/>
      <c r="DQK5" s="241"/>
      <c r="DQL5" s="241"/>
      <c r="DQM5" s="241"/>
      <c r="DQN5" s="241"/>
      <c r="DQO5" s="241"/>
      <c r="DQP5" s="241"/>
      <c r="DQQ5" s="241"/>
      <c r="DQR5" s="241"/>
      <c r="DQS5" s="241"/>
      <c r="DQT5" s="241"/>
      <c r="DQU5" s="241"/>
      <c r="DQV5" s="241"/>
      <c r="DQW5" s="241"/>
      <c r="DQX5" s="241"/>
      <c r="DQY5" s="241"/>
      <c r="DQZ5" s="241"/>
      <c r="DRA5" s="241"/>
      <c r="DRB5" s="241"/>
      <c r="DRC5" s="241"/>
      <c r="DRD5" s="241"/>
      <c r="DRE5" s="241"/>
      <c r="DRF5" s="241"/>
      <c r="DRG5" s="241"/>
      <c r="DRH5" s="241"/>
      <c r="DRI5" s="241"/>
      <c r="DRJ5" s="241"/>
      <c r="DRK5" s="241"/>
      <c r="DRL5" s="241"/>
      <c r="DRM5" s="241"/>
      <c r="DRN5" s="241"/>
      <c r="DRO5" s="241"/>
      <c r="DRP5" s="241"/>
      <c r="DRQ5" s="241"/>
      <c r="DRR5" s="241"/>
      <c r="DRS5" s="241"/>
      <c r="DRT5" s="241"/>
      <c r="DRU5" s="241"/>
      <c r="DRV5" s="241"/>
      <c r="DRW5" s="241"/>
      <c r="DRX5" s="241"/>
      <c r="DRY5" s="241"/>
      <c r="DRZ5" s="241"/>
      <c r="DSA5" s="241"/>
      <c r="DSB5" s="241"/>
      <c r="DSC5" s="241"/>
      <c r="DSD5" s="241"/>
      <c r="DSE5" s="241"/>
      <c r="DSF5" s="241"/>
      <c r="DSG5" s="241"/>
      <c r="DSH5" s="241"/>
      <c r="DSI5" s="241"/>
      <c r="DSJ5" s="241"/>
      <c r="DSK5" s="241"/>
      <c r="DSL5" s="241"/>
      <c r="DSM5" s="241"/>
      <c r="DSN5" s="241"/>
      <c r="DSO5" s="241"/>
      <c r="DSP5" s="241"/>
      <c r="DSQ5" s="241"/>
      <c r="DSR5" s="241"/>
      <c r="DSS5" s="241"/>
      <c r="DST5" s="241"/>
      <c r="DSU5" s="241"/>
      <c r="DSV5" s="241"/>
      <c r="DSW5" s="241"/>
      <c r="DSX5" s="241"/>
      <c r="DSY5" s="241"/>
      <c r="DSZ5" s="241"/>
      <c r="DTA5" s="241"/>
      <c r="DTB5" s="241"/>
      <c r="DTC5" s="241"/>
      <c r="DTD5" s="241"/>
      <c r="DTE5" s="241"/>
      <c r="DTF5" s="241"/>
      <c r="DTG5" s="241"/>
      <c r="DTH5" s="241"/>
      <c r="DTI5" s="241"/>
      <c r="DTJ5" s="241"/>
      <c r="DTK5" s="241"/>
      <c r="DTL5" s="241"/>
      <c r="DTM5" s="241"/>
      <c r="DTN5" s="241"/>
      <c r="DTO5" s="241"/>
      <c r="DTP5" s="241"/>
      <c r="DTQ5" s="241"/>
      <c r="DTR5" s="241"/>
      <c r="DTS5" s="241"/>
      <c r="DTT5" s="241"/>
      <c r="DTU5" s="241"/>
      <c r="DTV5" s="241"/>
      <c r="DTW5" s="241"/>
      <c r="DTX5" s="241"/>
      <c r="DTY5" s="241"/>
      <c r="DTZ5" s="241"/>
      <c r="DUA5" s="241"/>
      <c r="DUB5" s="241"/>
      <c r="DUC5" s="241"/>
      <c r="DUD5" s="241"/>
      <c r="DUE5" s="241"/>
      <c r="DUF5" s="241"/>
      <c r="DUG5" s="241"/>
      <c r="DUH5" s="241"/>
      <c r="DUI5" s="241"/>
      <c r="DUJ5" s="241"/>
      <c r="DUK5" s="241"/>
      <c r="DUL5" s="241"/>
      <c r="DUM5" s="241"/>
      <c r="DUN5" s="241"/>
      <c r="DUO5" s="241"/>
      <c r="DUP5" s="241"/>
      <c r="DUQ5" s="241"/>
      <c r="DUR5" s="241"/>
      <c r="DUS5" s="241"/>
      <c r="DUT5" s="241"/>
      <c r="DUU5" s="241"/>
      <c r="DUV5" s="241"/>
      <c r="DUW5" s="241"/>
      <c r="DUX5" s="241"/>
      <c r="DUY5" s="241"/>
      <c r="DUZ5" s="241"/>
      <c r="DVA5" s="241"/>
      <c r="DVB5" s="241"/>
      <c r="DVC5" s="241"/>
      <c r="DVD5" s="241"/>
      <c r="DVE5" s="241"/>
      <c r="DVF5" s="241"/>
      <c r="DVG5" s="241"/>
      <c r="DVH5" s="241"/>
      <c r="DVI5" s="241"/>
      <c r="DVJ5" s="241"/>
      <c r="DVK5" s="241"/>
      <c r="DVL5" s="241"/>
      <c r="DVM5" s="241"/>
      <c r="DVN5" s="241"/>
      <c r="DVO5" s="241"/>
      <c r="DVP5" s="241"/>
      <c r="DVQ5" s="241"/>
      <c r="DVR5" s="241"/>
      <c r="DVS5" s="241"/>
      <c r="DVT5" s="241"/>
      <c r="DVU5" s="241"/>
      <c r="DVV5" s="241"/>
      <c r="DVW5" s="241"/>
      <c r="DVX5" s="241"/>
      <c r="DVY5" s="241"/>
      <c r="DVZ5" s="241"/>
      <c r="DWA5" s="241"/>
      <c r="DWB5" s="241"/>
      <c r="DWC5" s="241"/>
      <c r="DWD5" s="241"/>
      <c r="DWE5" s="241"/>
      <c r="DWF5" s="241"/>
      <c r="DWG5" s="241"/>
      <c r="DWH5" s="241"/>
      <c r="DWI5" s="241"/>
      <c r="DWJ5" s="241"/>
      <c r="DWK5" s="241"/>
      <c r="DWL5" s="241"/>
      <c r="DWM5" s="241"/>
      <c r="DWN5" s="241"/>
      <c r="DWO5" s="241"/>
      <c r="DWP5" s="241"/>
      <c r="DWQ5" s="241"/>
      <c r="DWR5" s="241"/>
      <c r="DWS5" s="241"/>
      <c r="DWT5" s="241"/>
      <c r="DWU5" s="241"/>
      <c r="DWV5" s="241"/>
      <c r="DWW5" s="241"/>
      <c r="DWX5" s="241"/>
      <c r="DWY5" s="241"/>
      <c r="DWZ5" s="241"/>
      <c r="DXA5" s="241"/>
      <c r="DXB5" s="241"/>
      <c r="DXC5" s="241"/>
      <c r="DXD5" s="241"/>
      <c r="DXE5" s="241"/>
      <c r="DXF5" s="241"/>
      <c r="DXG5" s="241"/>
      <c r="DXH5" s="241"/>
      <c r="DXI5" s="241"/>
      <c r="DXJ5" s="241"/>
      <c r="DXK5" s="241"/>
      <c r="DXL5" s="241"/>
      <c r="DXM5" s="241"/>
      <c r="DXN5" s="241"/>
      <c r="DXO5" s="241"/>
      <c r="DXP5" s="241"/>
      <c r="DXQ5" s="241"/>
      <c r="DXR5" s="241"/>
      <c r="DXS5" s="241"/>
      <c r="DXT5" s="241"/>
      <c r="DXU5" s="241"/>
      <c r="DXV5" s="241"/>
      <c r="DXW5" s="241"/>
      <c r="DXX5" s="241"/>
      <c r="DXY5" s="241"/>
      <c r="DXZ5" s="241"/>
      <c r="DYA5" s="241"/>
      <c r="DYB5" s="241"/>
      <c r="DYC5" s="241"/>
      <c r="DYD5" s="241"/>
      <c r="DYE5" s="241"/>
      <c r="DYF5" s="241"/>
      <c r="DYG5" s="241"/>
      <c r="DYH5" s="241"/>
      <c r="DYI5" s="241"/>
      <c r="DYJ5" s="241"/>
      <c r="DYK5" s="241"/>
      <c r="DYL5" s="241"/>
      <c r="DYM5" s="241"/>
      <c r="DYN5" s="241"/>
      <c r="DYO5" s="241"/>
      <c r="DYP5" s="241"/>
      <c r="DYQ5" s="241"/>
      <c r="DYR5" s="241"/>
      <c r="DYS5" s="241"/>
      <c r="DYT5" s="241"/>
      <c r="DYU5" s="241"/>
      <c r="DYV5" s="241"/>
      <c r="DYW5" s="241"/>
      <c r="DYX5" s="241"/>
      <c r="DYY5" s="241"/>
      <c r="DYZ5" s="241"/>
      <c r="DZA5" s="241"/>
      <c r="DZB5" s="241"/>
      <c r="DZC5" s="241"/>
      <c r="DZD5" s="241"/>
      <c r="DZE5" s="241"/>
      <c r="DZF5" s="241"/>
      <c r="DZG5" s="241"/>
      <c r="DZH5" s="241"/>
      <c r="DZI5" s="241"/>
      <c r="DZJ5" s="241"/>
      <c r="DZK5" s="241"/>
      <c r="DZL5" s="241"/>
      <c r="DZM5" s="241"/>
      <c r="DZN5" s="241"/>
      <c r="DZO5" s="241"/>
      <c r="DZP5" s="241"/>
      <c r="DZQ5" s="241"/>
      <c r="DZR5" s="241"/>
      <c r="DZS5" s="241"/>
      <c r="DZT5" s="241"/>
      <c r="DZU5" s="241"/>
      <c r="DZV5" s="241"/>
      <c r="DZW5" s="241"/>
      <c r="DZX5" s="241"/>
      <c r="DZY5" s="241"/>
      <c r="DZZ5" s="241"/>
      <c r="EAA5" s="241"/>
      <c r="EAB5" s="241"/>
      <c r="EAC5" s="241"/>
      <c r="EAD5" s="241"/>
      <c r="EAE5" s="241"/>
      <c r="EAF5" s="241"/>
      <c r="EAG5" s="241"/>
      <c r="EAH5" s="241"/>
      <c r="EAI5" s="241"/>
      <c r="EAJ5" s="241"/>
      <c r="EAK5" s="241"/>
      <c r="EAL5" s="241"/>
      <c r="EAM5" s="241"/>
      <c r="EAN5" s="241"/>
      <c r="EAO5" s="241"/>
      <c r="EAP5" s="241"/>
      <c r="EAQ5" s="241"/>
      <c r="EAR5" s="241"/>
      <c r="EAS5" s="241"/>
      <c r="EAT5" s="241"/>
      <c r="EAU5" s="241"/>
      <c r="EAV5" s="241"/>
      <c r="EAW5" s="241"/>
      <c r="EAX5" s="241"/>
      <c r="EAY5" s="241"/>
      <c r="EAZ5" s="241"/>
      <c r="EBA5" s="241"/>
      <c r="EBB5" s="241"/>
      <c r="EBC5" s="241"/>
      <c r="EBD5" s="241"/>
      <c r="EBE5" s="241"/>
      <c r="EBF5" s="241"/>
      <c r="EBG5" s="241"/>
      <c r="EBH5" s="241"/>
      <c r="EBI5" s="241"/>
      <c r="EBJ5" s="241"/>
      <c r="EBK5" s="241"/>
      <c r="EBL5" s="241"/>
      <c r="EBM5" s="241"/>
      <c r="EBN5" s="241"/>
      <c r="EBO5" s="241"/>
      <c r="EBP5" s="241"/>
      <c r="EBQ5" s="241"/>
      <c r="EBR5" s="241"/>
      <c r="EBS5" s="241"/>
      <c r="EBT5" s="241"/>
      <c r="EBU5" s="241"/>
      <c r="EBV5" s="241"/>
      <c r="EBW5" s="241"/>
      <c r="EBX5" s="241"/>
      <c r="EBY5" s="241"/>
      <c r="EBZ5" s="241"/>
      <c r="ECA5" s="241"/>
      <c r="ECB5" s="241"/>
      <c r="ECC5" s="241"/>
      <c r="ECD5" s="241"/>
      <c r="ECE5" s="241"/>
      <c r="ECF5" s="241"/>
      <c r="ECG5" s="241"/>
      <c r="ECH5" s="241"/>
      <c r="ECI5" s="241"/>
      <c r="ECJ5" s="241"/>
      <c r="ECK5" s="241"/>
      <c r="ECL5" s="241"/>
      <c r="ECM5" s="241"/>
      <c r="ECN5" s="241"/>
      <c r="ECO5" s="241"/>
      <c r="ECP5" s="241"/>
      <c r="ECQ5" s="241"/>
      <c r="ECR5" s="241"/>
      <c r="ECS5" s="241"/>
      <c r="ECT5" s="241"/>
      <c r="ECU5" s="241"/>
      <c r="ECV5" s="241"/>
      <c r="ECW5" s="241"/>
      <c r="ECX5" s="241"/>
      <c r="ECY5" s="241"/>
      <c r="ECZ5" s="241"/>
      <c r="EDA5" s="241"/>
      <c r="EDB5" s="241"/>
      <c r="EDC5" s="241"/>
      <c r="EDD5" s="241"/>
      <c r="EDE5" s="241"/>
      <c r="EDF5" s="241"/>
      <c r="EDG5" s="241"/>
      <c r="EDH5" s="241"/>
      <c r="EDI5" s="241"/>
      <c r="EDJ5" s="241"/>
      <c r="EDK5" s="241"/>
      <c r="EDL5" s="241"/>
      <c r="EDM5" s="241"/>
      <c r="EDN5" s="241"/>
      <c r="EDO5" s="241"/>
      <c r="EDP5" s="241"/>
      <c r="EDQ5" s="241"/>
      <c r="EDR5" s="241"/>
      <c r="EDS5" s="241"/>
      <c r="EDT5" s="241"/>
      <c r="EDU5" s="241"/>
      <c r="EDV5" s="241"/>
      <c r="EDW5" s="241"/>
      <c r="EDX5" s="241"/>
      <c r="EDY5" s="241"/>
      <c r="EDZ5" s="241"/>
      <c r="EEA5" s="241"/>
      <c r="EEB5" s="241"/>
      <c r="EEC5" s="241"/>
      <c r="EED5" s="241"/>
      <c r="EEE5" s="241"/>
      <c r="EEF5" s="241"/>
      <c r="EEG5" s="241"/>
      <c r="EEH5" s="241"/>
      <c r="EEI5" s="241"/>
      <c r="EEJ5" s="241"/>
      <c r="EEK5" s="241"/>
      <c r="EEL5" s="241"/>
      <c r="EEM5" s="241"/>
      <c r="EEN5" s="241"/>
      <c r="EEO5" s="241"/>
      <c r="EEP5" s="241"/>
      <c r="EEQ5" s="241"/>
      <c r="EER5" s="241"/>
      <c r="EES5" s="241"/>
      <c r="EET5" s="241"/>
      <c r="EEU5" s="241"/>
      <c r="EEV5" s="241"/>
      <c r="EEW5" s="241"/>
      <c r="EEX5" s="241"/>
      <c r="EEY5" s="241"/>
      <c r="EEZ5" s="241"/>
      <c r="EFA5" s="241"/>
      <c r="EFB5" s="241"/>
      <c r="EFC5" s="241"/>
      <c r="EFD5" s="241"/>
      <c r="EFE5" s="241"/>
      <c r="EFF5" s="241"/>
      <c r="EFG5" s="241"/>
      <c r="EFH5" s="241"/>
      <c r="EFI5" s="241"/>
      <c r="EFJ5" s="241"/>
      <c r="EFK5" s="241"/>
      <c r="EFL5" s="241"/>
      <c r="EFM5" s="241"/>
      <c r="EFN5" s="241"/>
      <c r="EFO5" s="241"/>
      <c r="EFP5" s="241"/>
      <c r="EFQ5" s="241"/>
      <c r="EFR5" s="241"/>
      <c r="EFS5" s="241"/>
      <c r="EFT5" s="241"/>
      <c r="EFU5" s="241"/>
      <c r="EFV5" s="241"/>
      <c r="EFW5" s="241"/>
      <c r="EFX5" s="241"/>
      <c r="EFY5" s="241"/>
      <c r="EFZ5" s="241"/>
      <c r="EGA5" s="241"/>
      <c r="EGB5" s="241"/>
      <c r="EGC5" s="241"/>
      <c r="EGD5" s="241"/>
      <c r="EGE5" s="241"/>
      <c r="EGF5" s="241"/>
      <c r="EGG5" s="241"/>
      <c r="EGH5" s="241"/>
      <c r="EGI5" s="241"/>
      <c r="EGJ5" s="241"/>
      <c r="EGK5" s="241"/>
      <c r="EGL5" s="241"/>
      <c r="EGM5" s="241"/>
      <c r="EGN5" s="241"/>
      <c r="EGO5" s="241"/>
      <c r="EGP5" s="241"/>
      <c r="EGQ5" s="241"/>
      <c r="EGR5" s="241"/>
      <c r="EGS5" s="241"/>
      <c r="EGT5" s="241"/>
      <c r="EGU5" s="241"/>
      <c r="EGV5" s="241"/>
      <c r="EGW5" s="241"/>
      <c r="EGX5" s="241"/>
      <c r="EGY5" s="241"/>
      <c r="EGZ5" s="241"/>
      <c r="EHA5" s="241"/>
      <c r="EHB5" s="241"/>
      <c r="EHC5" s="241"/>
      <c r="EHD5" s="241"/>
      <c r="EHE5" s="241"/>
      <c r="EHF5" s="241"/>
      <c r="EHG5" s="241"/>
      <c r="EHH5" s="241"/>
      <c r="EHI5" s="241"/>
      <c r="EHJ5" s="241"/>
      <c r="EHK5" s="241"/>
      <c r="EHL5" s="241"/>
      <c r="EHM5" s="241"/>
      <c r="EHN5" s="241"/>
      <c r="EHO5" s="241"/>
      <c r="EHP5" s="241"/>
      <c r="EHQ5" s="241"/>
      <c r="EHR5" s="241"/>
      <c r="EHS5" s="241"/>
      <c r="EHT5" s="241"/>
      <c r="EHU5" s="241"/>
      <c r="EHV5" s="241"/>
      <c r="EHW5" s="241"/>
      <c r="EHX5" s="241"/>
      <c r="EHY5" s="241"/>
      <c r="EHZ5" s="241"/>
      <c r="EIA5" s="241"/>
      <c r="EIB5" s="241"/>
      <c r="EIC5" s="241"/>
      <c r="EID5" s="241"/>
      <c r="EIE5" s="241"/>
      <c r="EIF5" s="241"/>
      <c r="EIG5" s="241"/>
      <c r="EIH5" s="241"/>
      <c r="EII5" s="241"/>
      <c r="EIJ5" s="241"/>
      <c r="EIK5" s="241"/>
      <c r="EIL5" s="241"/>
      <c r="EIM5" s="241"/>
      <c r="EIN5" s="241"/>
      <c r="EIO5" s="241"/>
      <c r="EIP5" s="241"/>
      <c r="EIQ5" s="241"/>
      <c r="EIR5" s="241"/>
      <c r="EIS5" s="241"/>
      <c r="EIT5" s="241"/>
      <c r="EIU5" s="241"/>
      <c r="EIV5" s="241"/>
      <c r="EIW5" s="241"/>
      <c r="EIX5" s="241"/>
      <c r="EIY5" s="241"/>
      <c r="EIZ5" s="241"/>
      <c r="EJA5" s="241"/>
      <c r="EJB5" s="241"/>
      <c r="EJC5" s="241"/>
      <c r="EJD5" s="241"/>
      <c r="EJE5" s="241"/>
      <c r="EJF5" s="241"/>
      <c r="EJG5" s="241"/>
      <c r="EJH5" s="241"/>
      <c r="EJI5" s="241"/>
      <c r="EJJ5" s="241"/>
      <c r="EJK5" s="241"/>
      <c r="EJL5" s="241"/>
      <c r="EJM5" s="241"/>
      <c r="EJN5" s="241"/>
      <c r="EJO5" s="241"/>
      <c r="EJP5" s="241"/>
      <c r="EJQ5" s="241"/>
      <c r="EJR5" s="241"/>
      <c r="EJS5" s="241"/>
      <c r="EJT5" s="241"/>
      <c r="EJU5" s="241"/>
      <c r="EJV5" s="241"/>
      <c r="EJW5" s="241"/>
      <c r="EJX5" s="241"/>
      <c r="EJY5" s="241"/>
      <c r="EJZ5" s="241"/>
      <c r="EKA5" s="241"/>
      <c r="EKB5" s="241"/>
      <c r="EKC5" s="241"/>
      <c r="EKD5" s="241"/>
      <c r="EKE5" s="241"/>
      <c r="EKF5" s="241"/>
      <c r="EKG5" s="241"/>
      <c r="EKH5" s="241"/>
      <c r="EKI5" s="241"/>
      <c r="EKJ5" s="241"/>
      <c r="EKK5" s="241"/>
      <c r="EKL5" s="241"/>
      <c r="EKM5" s="241"/>
      <c r="EKN5" s="241"/>
      <c r="EKO5" s="241"/>
      <c r="EKP5" s="241"/>
      <c r="EKQ5" s="241"/>
      <c r="EKR5" s="241"/>
      <c r="EKS5" s="241"/>
      <c r="EKT5" s="241"/>
      <c r="EKU5" s="241"/>
      <c r="EKV5" s="241"/>
      <c r="EKW5" s="241"/>
      <c r="EKX5" s="241"/>
      <c r="EKY5" s="241"/>
      <c r="EKZ5" s="241"/>
      <c r="ELA5" s="241"/>
      <c r="ELB5" s="241"/>
      <c r="ELC5" s="241"/>
      <c r="ELD5" s="241"/>
      <c r="ELE5" s="241"/>
      <c r="ELF5" s="241"/>
      <c r="ELG5" s="241"/>
      <c r="ELH5" s="241"/>
      <c r="ELI5" s="241"/>
      <c r="ELJ5" s="241"/>
      <c r="ELK5" s="241"/>
      <c r="ELL5" s="241"/>
      <c r="ELM5" s="241"/>
      <c r="ELN5" s="241"/>
      <c r="ELO5" s="241"/>
      <c r="ELP5" s="241"/>
      <c r="ELQ5" s="241"/>
      <c r="ELR5" s="241"/>
      <c r="ELS5" s="241"/>
      <c r="ELT5" s="241"/>
      <c r="ELU5" s="241"/>
      <c r="ELV5" s="241"/>
      <c r="ELW5" s="241"/>
      <c r="ELX5" s="241"/>
      <c r="ELY5" s="241"/>
      <c r="ELZ5" s="241"/>
      <c r="EMA5" s="241"/>
      <c r="EMB5" s="241"/>
      <c r="EMC5" s="241"/>
      <c r="EMD5" s="241"/>
      <c r="EME5" s="241"/>
      <c r="EMF5" s="241"/>
      <c r="EMG5" s="241"/>
      <c r="EMH5" s="241"/>
      <c r="EMI5" s="241"/>
      <c r="EMJ5" s="241"/>
      <c r="EMK5" s="241"/>
      <c r="EML5" s="241"/>
      <c r="EMM5" s="241"/>
      <c r="EMN5" s="241"/>
      <c r="EMO5" s="241"/>
      <c r="EMP5" s="241"/>
      <c r="EMQ5" s="241"/>
      <c r="EMR5" s="241"/>
      <c r="EMS5" s="241"/>
      <c r="EMT5" s="241"/>
      <c r="EMU5" s="241"/>
      <c r="EMV5" s="241"/>
      <c r="EMW5" s="241"/>
      <c r="EMX5" s="241"/>
      <c r="EMY5" s="241"/>
      <c r="EMZ5" s="241"/>
      <c r="ENA5" s="241"/>
      <c r="ENB5" s="241"/>
      <c r="ENC5" s="241"/>
      <c r="END5" s="241"/>
      <c r="ENE5" s="241"/>
      <c r="ENF5" s="241"/>
      <c r="ENG5" s="241"/>
      <c r="ENH5" s="241"/>
      <c r="ENI5" s="241"/>
      <c r="ENJ5" s="241"/>
      <c r="ENK5" s="241"/>
      <c r="ENL5" s="241"/>
      <c r="ENM5" s="241"/>
      <c r="ENN5" s="241"/>
      <c r="ENO5" s="241"/>
      <c r="ENP5" s="241"/>
      <c r="ENQ5" s="241"/>
      <c r="ENR5" s="241"/>
      <c r="ENS5" s="241"/>
      <c r="ENT5" s="241"/>
      <c r="ENU5" s="241"/>
      <c r="ENV5" s="241"/>
      <c r="ENW5" s="241"/>
      <c r="ENX5" s="241"/>
      <c r="ENY5" s="241"/>
      <c r="ENZ5" s="241"/>
      <c r="EOA5" s="241"/>
      <c r="EOB5" s="241"/>
      <c r="EOC5" s="241"/>
      <c r="EOD5" s="241"/>
      <c r="EOE5" s="241"/>
      <c r="EOF5" s="241"/>
      <c r="EOG5" s="241"/>
      <c r="EOH5" s="241"/>
      <c r="EOI5" s="241"/>
      <c r="EOJ5" s="241"/>
      <c r="EOK5" s="241"/>
      <c r="EOL5" s="241"/>
      <c r="EOM5" s="241"/>
      <c r="EON5" s="241"/>
      <c r="EOO5" s="241"/>
      <c r="EOP5" s="241"/>
      <c r="EOQ5" s="241"/>
      <c r="EOR5" s="241"/>
      <c r="EOS5" s="241"/>
      <c r="EOT5" s="241"/>
      <c r="EOU5" s="241"/>
      <c r="EOV5" s="241"/>
      <c r="EOW5" s="241"/>
      <c r="EOX5" s="241"/>
      <c r="EOY5" s="241"/>
      <c r="EOZ5" s="241"/>
      <c r="EPA5" s="241"/>
      <c r="EPB5" s="241"/>
      <c r="EPC5" s="241"/>
      <c r="EPD5" s="241"/>
      <c r="EPE5" s="241"/>
      <c r="EPF5" s="241"/>
      <c r="EPG5" s="241"/>
      <c r="EPH5" s="241"/>
      <c r="EPI5" s="241"/>
      <c r="EPJ5" s="241"/>
      <c r="EPK5" s="241"/>
      <c r="EPL5" s="241"/>
      <c r="EPM5" s="241"/>
      <c r="EPN5" s="241"/>
      <c r="EPO5" s="241"/>
      <c r="EPP5" s="241"/>
      <c r="EPQ5" s="241"/>
      <c r="EPR5" s="241"/>
      <c r="EPS5" s="241"/>
      <c r="EPT5" s="241"/>
      <c r="EPU5" s="241"/>
      <c r="EPV5" s="241"/>
      <c r="EPW5" s="241"/>
      <c r="EPX5" s="241"/>
      <c r="EPY5" s="241"/>
      <c r="EPZ5" s="241"/>
      <c r="EQA5" s="241"/>
      <c r="EQB5" s="241"/>
      <c r="EQC5" s="241"/>
      <c r="EQD5" s="241"/>
      <c r="EQE5" s="241"/>
      <c r="EQF5" s="241"/>
      <c r="EQG5" s="241"/>
      <c r="EQH5" s="241"/>
      <c r="EQI5" s="241"/>
      <c r="EQJ5" s="241"/>
      <c r="EQK5" s="241"/>
      <c r="EQL5" s="241"/>
      <c r="EQM5" s="241"/>
      <c r="EQN5" s="241"/>
      <c r="EQO5" s="241"/>
      <c r="EQP5" s="241"/>
      <c r="EQQ5" s="241"/>
      <c r="EQR5" s="241"/>
      <c r="EQS5" s="241"/>
      <c r="EQT5" s="241"/>
      <c r="EQU5" s="241"/>
      <c r="EQV5" s="241"/>
      <c r="EQW5" s="241"/>
      <c r="EQX5" s="241"/>
      <c r="EQY5" s="241"/>
      <c r="EQZ5" s="241"/>
      <c r="ERA5" s="241"/>
      <c r="ERB5" s="241"/>
      <c r="ERC5" s="241"/>
      <c r="ERD5" s="241"/>
      <c r="ERE5" s="241"/>
      <c r="ERF5" s="241"/>
      <c r="ERG5" s="241"/>
      <c r="ERH5" s="241"/>
      <c r="ERI5" s="241"/>
      <c r="ERJ5" s="241"/>
      <c r="ERK5" s="241"/>
      <c r="ERL5" s="241"/>
      <c r="ERM5" s="241"/>
      <c r="ERN5" s="241"/>
      <c r="ERO5" s="241"/>
      <c r="ERP5" s="241"/>
      <c r="ERQ5" s="241"/>
      <c r="ERR5" s="241"/>
      <c r="ERS5" s="241"/>
      <c r="ERT5" s="241"/>
      <c r="ERU5" s="241"/>
      <c r="ERV5" s="241"/>
      <c r="ERW5" s="241"/>
      <c r="ERX5" s="241"/>
      <c r="ERY5" s="241"/>
      <c r="ERZ5" s="241"/>
      <c r="ESA5" s="241"/>
      <c r="ESB5" s="241"/>
      <c r="ESC5" s="241"/>
      <c r="ESD5" s="241"/>
      <c r="ESE5" s="241"/>
      <c r="ESF5" s="241"/>
      <c r="ESG5" s="241"/>
      <c r="ESH5" s="241"/>
      <c r="ESI5" s="241"/>
      <c r="ESJ5" s="241"/>
      <c r="ESK5" s="241"/>
      <c r="ESL5" s="241"/>
      <c r="ESM5" s="241"/>
      <c r="ESN5" s="241"/>
      <c r="ESO5" s="241"/>
      <c r="ESP5" s="241"/>
      <c r="ESQ5" s="241"/>
      <c r="ESR5" s="241"/>
      <c r="ESS5" s="241"/>
      <c r="EST5" s="241"/>
      <c r="ESU5" s="241"/>
      <c r="ESV5" s="241"/>
      <c r="ESW5" s="241"/>
      <c r="ESX5" s="241"/>
      <c r="ESY5" s="241"/>
      <c r="ESZ5" s="241"/>
      <c r="ETA5" s="241"/>
      <c r="ETB5" s="241"/>
      <c r="ETC5" s="241"/>
      <c r="ETD5" s="241"/>
      <c r="ETE5" s="241"/>
      <c r="ETF5" s="241"/>
      <c r="ETG5" s="241"/>
      <c r="ETH5" s="241"/>
      <c r="ETI5" s="241"/>
      <c r="ETJ5" s="241"/>
      <c r="ETK5" s="241"/>
      <c r="ETL5" s="241"/>
      <c r="ETM5" s="241"/>
      <c r="ETN5" s="241"/>
      <c r="ETO5" s="241"/>
      <c r="ETP5" s="241"/>
      <c r="ETQ5" s="241"/>
      <c r="ETR5" s="241"/>
      <c r="ETS5" s="241"/>
      <c r="ETT5" s="241"/>
      <c r="ETU5" s="241"/>
      <c r="ETV5" s="241"/>
      <c r="ETW5" s="241"/>
      <c r="ETX5" s="241"/>
      <c r="ETY5" s="241"/>
      <c r="ETZ5" s="241"/>
      <c r="EUA5" s="241"/>
      <c r="EUB5" s="241"/>
      <c r="EUC5" s="241"/>
      <c r="EUD5" s="241"/>
      <c r="EUE5" s="241"/>
      <c r="EUF5" s="241"/>
      <c r="EUG5" s="241"/>
      <c r="EUH5" s="241"/>
      <c r="EUI5" s="241"/>
      <c r="EUJ5" s="241"/>
      <c r="EUK5" s="241"/>
      <c r="EUL5" s="241"/>
      <c r="EUM5" s="241"/>
      <c r="EUN5" s="241"/>
      <c r="EUO5" s="241"/>
      <c r="EUP5" s="241"/>
      <c r="EUQ5" s="241"/>
      <c r="EUR5" s="241"/>
      <c r="EUS5" s="241"/>
      <c r="EUT5" s="241"/>
      <c r="EUU5" s="241"/>
      <c r="EUV5" s="241"/>
      <c r="EUW5" s="241"/>
      <c r="EUX5" s="241"/>
      <c r="EUY5" s="241"/>
      <c r="EUZ5" s="241"/>
      <c r="EVA5" s="241"/>
      <c r="EVB5" s="241"/>
      <c r="EVC5" s="241"/>
      <c r="EVD5" s="241"/>
      <c r="EVE5" s="241"/>
      <c r="EVF5" s="241"/>
      <c r="EVG5" s="241"/>
      <c r="EVH5" s="241"/>
      <c r="EVI5" s="241"/>
      <c r="EVJ5" s="241"/>
      <c r="EVK5" s="241"/>
      <c r="EVL5" s="241"/>
      <c r="EVM5" s="241"/>
      <c r="EVN5" s="241"/>
      <c r="EVO5" s="241"/>
      <c r="EVP5" s="241"/>
      <c r="EVQ5" s="241"/>
      <c r="EVR5" s="241"/>
      <c r="EVS5" s="241"/>
      <c r="EVT5" s="241"/>
      <c r="EVU5" s="241"/>
      <c r="EVV5" s="241"/>
      <c r="EVW5" s="241"/>
      <c r="EVX5" s="241"/>
      <c r="EVY5" s="241"/>
      <c r="EVZ5" s="241"/>
      <c r="EWA5" s="241"/>
      <c r="EWB5" s="241"/>
      <c r="EWC5" s="241"/>
      <c r="EWD5" s="241"/>
      <c r="EWE5" s="241"/>
      <c r="EWF5" s="241"/>
      <c r="EWG5" s="241"/>
      <c r="EWH5" s="241"/>
      <c r="EWI5" s="241"/>
      <c r="EWJ5" s="241"/>
      <c r="EWK5" s="241"/>
      <c r="EWL5" s="241"/>
      <c r="EWM5" s="241"/>
      <c r="EWN5" s="241"/>
      <c r="EWO5" s="241"/>
      <c r="EWP5" s="241"/>
      <c r="EWQ5" s="241"/>
      <c r="EWR5" s="241"/>
      <c r="EWS5" s="241"/>
      <c r="EWT5" s="241"/>
      <c r="EWU5" s="241"/>
      <c r="EWV5" s="241"/>
      <c r="EWW5" s="241"/>
      <c r="EWX5" s="241"/>
      <c r="EWY5" s="241"/>
      <c r="EWZ5" s="241"/>
      <c r="EXA5" s="241"/>
      <c r="EXB5" s="241"/>
      <c r="EXC5" s="241"/>
      <c r="EXD5" s="241"/>
      <c r="EXE5" s="241"/>
      <c r="EXF5" s="241"/>
      <c r="EXG5" s="241"/>
      <c r="EXH5" s="241"/>
      <c r="EXI5" s="241"/>
      <c r="EXJ5" s="241"/>
      <c r="EXK5" s="241"/>
      <c r="EXL5" s="241"/>
      <c r="EXM5" s="241"/>
      <c r="EXN5" s="241"/>
      <c r="EXO5" s="241"/>
      <c r="EXP5" s="241"/>
      <c r="EXQ5" s="241"/>
      <c r="EXR5" s="241"/>
      <c r="EXS5" s="241"/>
      <c r="EXT5" s="241"/>
      <c r="EXU5" s="241"/>
      <c r="EXV5" s="241"/>
      <c r="EXW5" s="241"/>
      <c r="EXX5" s="241"/>
      <c r="EXY5" s="241"/>
      <c r="EXZ5" s="241"/>
      <c r="EYA5" s="241"/>
      <c r="EYB5" s="241"/>
      <c r="EYC5" s="241"/>
      <c r="EYD5" s="241"/>
      <c r="EYE5" s="241"/>
      <c r="EYF5" s="241"/>
      <c r="EYG5" s="241"/>
      <c r="EYH5" s="241"/>
      <c r="EYI5" s="241"/>
      <c r="EYJ5" s="241"/>
      <c r="EYK5" s="241"/>
      <c r="EYL5" s="241"/>
      <c r="EYM5" s="241"/>
      <c r="EYN5" s="241"/>
      <c r="EYO5" s="241"/>
      <c r="EYP5" s="241"/>
      <c r="EYQ5" s="241"/>
      <c r="EYR5" s="241"/>
      <c r="EYS5" s="241"/>
      <c r="EYT5" s="241"/>
      <c r="EYU5" s="241"/>
      <c r="EYV5" s="241"/>
      <c r="EYW5" s="241"/>
      <c r="EYX5" s="241"/>
      <c r="EYY5" s="241"/>
      <c r="EYZ5" s="241"/>
      <c r="EZA5" s="241"/>
      <c r="EZB5" s="241"/>
      <c r="EZC5" s="241"/>
      <c r="EZD5" s="241"/>
      <c r="EZE5" s="241"/>
      <c r="EZF5" s="241"/>
      <c r="EZG5" s="241"/>
      <c r="EZH5" s="241"/>
      <c r="EZI5" s="241"/>
      <c r="EZJ5" s="241"/>
      <c r="EZK5" s="241"/>
      <c r="EZL5" s="241"/>
      <c r="EZM5" s="241"/>
      <c r="EZN5" s="241"/>
      <c r="EZO5" s="241"/>
      <c r="EZP5" s="241"/>
      <c r="EZQ5" s="241"/>
      <c r="EZR5" s="241"/>
      <c r="EZS5" s="241"/>
      <c r="EZT5" s="241"/>
      <c r="EZU5" s="241"/>
      <c r="EZV5" s="241"/>
      <c r="EZW5" s="241"/>
      <c r="EZX5" s="241"/>
      <c r="EZY5" s="241"/>
      <c r="EZZ5" s="241"/>
      <c r="FAA5" s="241"/>
      <c r="FAB5" s="241"/>
      <c r="FAC5" s="241"/>
      <c r="FAD5" s="241"/>
      <c r="FAE5" s="241"/>
      <c r="FAF5" s="241"/>
      <c r="FAG5" s="241"/>
      <c r="FAH5" s="241"/>
      <c r="FAI5" s="241"/>
      <c r="FAJ5" s="241"/>
      <c r="FAK5" s="241"/>
      <c r="FAL5" s="241"/>
      <c r="FAM5" s="241"/>
      <c r="FAN5" s="241"/>
      <c r="FAO5" s="241"/>
      <c r="FAP5" s="241"/>
      <c r="FAQ5" s="241"/>
      <c r="FAR5" s="241"/>
      <c r="FAS5" s="241"/>
      <c r="FAT5" s="241"/>
      <c r="FAU5" s="241"/>
      <c r="FAV5" s="241"/>
      <c r="FAW5" s="241"/>
      <c r="FAX5" s="241"/>
      <c r="FAY5" s="241"/>
      <c r="FAZ5" s="241"/>
      <c r="FBA5" s="241"/>
      <c r="FBB5" s="241"/>
      <c r="FBC5" s="241"/>
      <c r="FBD5" s="241"/>
      <c r="FBE5" s="241"/>
      <c r="FBF5" s="241"/>
      <c r="FBG5" s="241"/>
      <c r="FBH5" s="241"/>
      <c r="FBI5" s="241"/>
      <c r="FBJ5" s="241"/>
      <c r="FBK5" s="241"/>
      <c r="FBL5" s="241"/>
      <c r="FBM5" s="241"/>
      <c r="FBN5" s="241"/>
      <c r="FBO5" s="241"/>
      <c r="FBP5" s="241"/>
      <c r="FBQ5" s="241"/>
      <c r="FBR5" s="241"/>
      <c r="FBS5" s="241"/>
      <c r="FBT5" s="241"/>
      <c r="FBU5" s="241"/>
      <c r="FBV5" s="241"/>
      <c r="FBW5" s="241"/>
      <c r="FBX5" s="241"/>
      <c r="FBY5" s="241"/>
      <c r="FBZ5" s="241"/>
      <c r="FCA5" s="241"/>
      <c r="FCB5" s="241"/>
      <c r="FCC5" s="241"/>
      <c r="FCD5" s="241"/>
      <c r="FCE5" s="241"/>
      <c r="FCF5" s="241"/>
      <c r="FCG5" s="241"/>
      <c r="FCH5" s="241"/>
      <c r="FCI5" s="241"/>
      <c r="FCJ5" s="241"/>
      <c r="FCK5" s="241"/>
      <c r="FCL5" s="241"/>
      <c r="FCM5" s="241"/>
      <c r="FCN5" s="241"/>
      <c r="FCO5" s="241"/>
      <c r="FCP5" s="241"/>
      <c r="FCQ5" s="241"/>
      <c r="FCR5" s="241"/>
      <c r="FCS5" s="241"/>
      <c r="FCT5" s="241"/>
      <c r="FCU5" s="241"/>
      <c r="FCV5" s="241"/>
      <c r="FCW5" s="241"/>
      <c r="FCX5" s="241"/>
      <c r="FCY5" s="241"/>
      <c r="FCZ5" s="241"/>
      <c r="FDA5" s="241"/>
      <c r="FDB5" s="241"/>
      <c r="FDC5" s="241"/>
      <c r="FDD5" s="241"/>
      <c r="FDE5" s="241"/>
      <c r="FDF5" s="241"/>
      <c r="FDG5" s="241"/>
      <c r="FDH5" s="241"/>
      <c r="FDI5" s="241"/>
      <c r="FDJ5" s="241"/>
      <c r="FDK5" s="241"/>
      <c r="FDL5" s="241"/>
      <c r="FDM5" s="241"/>
      <c r="FDN5" s="241"/>
      <c r="FDO5" s="241"/>
      <c r="FDP5" s="241"/>
      <c r="FDQ5" s="241"/>
      <c r="FDR5" s="241"/>
      <c r="FDS5" s="241"/>
      <c r="FDT5" s="241"/>
      <c r="FDU5" s="241"/>
      <c r="FDV5" s="241"/>
      <c r="FDW5" s="241"/>
      <c r="FDX5" s="241"/>
      <c r="FDY5" s="241"/>
      <c r="FDZ5" s="241"/>
      <c r="FEA5" s="241"/>
      <c r="FEB5" s="241"/>
      <c r="FEC5" s="241"/>
      <c r="FED5" s="241"/>
      <c r="FEE5" s="241"/>
      <c r="FEF5" s="241"/>
      <c r="FEG5" s="241"/>
      <c r="FEH5" s="241"/>
      <c r="FEI5" s="241"/>
      <c r="FEJ5" s="241"/>
      <c r="FEK5" s="241"/>
      <c r="FEL5" s="241"/>
      <c r="FEM5" s="241"/>
      <c r="FEN5" s="241"/>
      <c r="FEO5" s="241"/>
      <c r="FEP5" s="241"/>
      <c r="FEQ5" s="241"/>
      <c r="FER5" s="241"/>
      <c r="FES5" s="241"/>
      <c r="FET5" s="241"/>
      <c r="FEU5" s="241"/>
      <c r="FEV5" s="241"/>
      <c r="FEW5" s="241"/>
      <c r="FEX5" s="241"/>
      <c r="FEY5" s="241"/>
      <c r="FEZ5" s="241"/>
      <c r="FFA5" s="241"/>
      <c r="FFB5" s="241"/>
      <c r="FFC5" s="241"/>
      <c r="FFD5" s="241"/>
      <c r="FFE5" s="241"/>
      <c r="FFF5" s="241"/>
      <c r="FFG5" s="241"/>
      <c r="FFH5" s="241"/>
      <c r="FFI5" s="241"/>
      <c r="FFJ5" s="241"/>
      <c r="FFK5" s="241"/>
      <c r="FFL5" s="241"/>
      <c r="FFM5" s="241"/>
      <c r="FFN5" s="241"/>
      <c r="FFO5" s="241"/>
      <c r="FFP5" s="241"/>
      <c r="FFQ5" s="241"/>
      <c r="FFR5" s="241"/>
      <c r="FFS5" s="241"/>
      <c r="FFT5" s="241"/>
      <c r="FFU5" s="241"/>
      <c r="FFV5" s="241"/>
      <c r="FFW5" s="241"/>
      <c r="FFX5" s="241"/>
      <c r="FFY5" s="241"/>
      <c r="FFZ5" s="241"/>
      <c r="FGA5" s="241"/>
      <c r="FGB5" s="241"/>
      <c r="FGC5" s="241"/>
      <c r="FGD5" s="241"/>
      <c r="FGE5" s="241"/>
      <c r="FGF5" s="241"/>
      <c r="FGG5" s="241"/>
      <c r="FGH5" s="241"/>
      <c r="FGI5" s="241"/>
      <c r="FGJ5" s="241"/>
      <c r="FGK5" s="241"/>
      <c r="FGL5" s="241"/>
      <c r="FGM5" s="241"/>
      <c r="FGN5" s="241"/>
      <c r="FGO5" s="241"/>
      <c r="FGP5" s="241"/>
      <c r="FGQ5" s="241"/>
      <c r="FGR5" s="241"/>
      <c r="FGS5" s="241"/>
      <c r="FGT5" s="241"/>
      <c r="FGU5" s="241"/>
      <c r="FGV5" s="241"/>
      <c r="FGW5" s="241"/>
      <c r="FGX5" s="241"/>
      <c r="FGY5" s="241"/>
      <c r="FGZ5" s="241"/>
      <c r="FHA5" s="241"/>
      <c r="FHB5" s="241"/>
      <c r="FHC5" s="241"/>
      <c r="FHD5" s="241"/>
      <c r="FHE5" s="241"/>
      <c r="FHF5" s="241"/>
      <c r="FHG5" s="241"/>
      <c r="FHH5" s="241"/>
      <c r="FHI5" s="241"/>
      <c r="FHJ5" s="241"/>
      <c r="FHK5" s="241"/>
      <c r="FHL5" s="241"/>
      <c r="FHM5" s="241"/>
      <c r="FHN5" s="241"/>
      <c r="FHO5" s="241"/>
      <c r="FHP5" s="241"/>
      <c r="FHQ5" s="241"/>
      <c r="FHR5" s="241"/>
      <c r="FHS5" s="241"/>
      <c r="FHT5" s="241"/>
      <c r="FHU5" s="241"/>
      <c r="FHV5" s="241"/>
      <c r="FHW5" s="241"/>
      <c r="FHX5" s="241"/>
      <c r="FHY5" s="241"/>
      <c r="FHZ5" s="241"/>
      <c r="FIA5" s="241"/>
      <c r="FIB5" s="241"/>
      <c r="FIC5" s="241"/>
      <c r="FID5" s="241"/>
      <c r="FIE5" s="241"/>
      <c r="FIF5" s="241"/>
      <c r="FIG5" s="241"/>
      <c r="FIH5" s="241"/>
      <c r="FII5" s="241"/>
      <c r="FIJ5" s="241"/>
      <c r="FIK5" s="241"/>
      <c r="FIL5" s="241"/>
      <c r="FIM5" s="241"/>
      <c r="FIN5" s="241"/>
      <c r="FIO5" s="241"/>
      <c r="FIP5" s="241"/>
      <c r="FIQ5" s="241"/>
      <c r="FIR5" s="241"/>
      <c r="FIS5" s="241"/>
      <c r="FIT5" s="241"/>
      <c r="FIU5" s="241"/>
      <c r="FIV5" s="241"/>
      <c r="FIW5" s="241"/>
      <c r="FIX5" s="241"/>
      <c r="FIY5" s="241"/>
      <c r="FIZ5" s="241"/>
      <c r="FJA5" s="241"/>
      <c r="FJB5" s="241"/>
      <c r="FJC5" s="241"/>
      <c r="FJD5" s="241"/>
      <c r="FJE5" s="241"/>
      <c r="FJF5" s="241"/>
      <c r="FJG5" s="241"/>
      <c r="FJH5" s="241"/>
      <c r="FJI5" s="241"/>
      <c r="FJJ5" s="241"/>
      <c r="FJK5" s="241"/>
      <c r="FJL5" s="241"/>
      <c r="FJM5" s="241"/>
      <c r="FJN5" s="241"/>
      <c r="FJO5" s="241"/>
      <c r="FJP5" s="241"/>
      <c r="FJQ5" s="241"/>
      <c r="FJR5" s="241"/>
      <c r="FJS5" s="241"/>
      <c r="FJT5" s="241"/>
      <c r="FJU5" s="241"/>
      <c r="FJV5" s="241"/>
      <c r="FJW5" s="241"/>
      <c r="FJX5" s="241"/>
      <c r="FJY5" s="241"/>
      <c r="FJZ5" s="241"/>
      <c r="FKA5" s="241"/>
      <c r="FKB5" s="241"/>
      <c r="FKC5" s="241"/>
      <c r="FKD5" s="241"/>
      <c r="FKE5" s="241"/>
      <c r="FKF5" s="241"/>
      <c r="FKG5" s="241"/>
      <c r="FKH5" s="241"/>
      <c r="FKI5" s="241"/>
      <c r="FKJ5" s="241"/>
      <c r="FKK5" s="241"/>
      <c r="FKL5" s="241"/>
      <c r="FKM5" s="241"/>
      <c r="FKN5" s="241"/>
      <c r="FKO5" s="241"/>
      <c r="FKP5" s="241"/>
      <c r="FKQ5" s="241"/>
      <c r="FKR5" s="241"/>
      <c r="FKS5" s="241"/>
      <c r="FKT5" s="241"/>
      <c r="FKU5" s="241"/>
      <c r="FKV5" s="241"/>
      <c r="FKW5" s="241"/>
      <c r="FKX5" s="241"/>
      <c r="FKY5" s="241"/>
      <c r="FKZ5" s="241"/>
      <c r="FLA5" s="241"/>
      <c r="FLB5" s="241"/>
      <c r="FLC5" s="241"/>
      <c r="FLD5" s="241"/>
      <c r="FLE5" s="241"/>
      <c r="FLF5" s="241"/>
      <c r="FLG5" s="241"/>
      <c r="FLH5" s="241"/>
      <c r="FLI5" s="241"/>
      <c r="FLJ5" s="241"/>
      <c r="FLK5" s="241"/>
      <c r="FLL5" s="241"/>
      <c r="FLM5" s="241"/>
      <c r="FLN5" s="241"/>
      <c r="FLO5" s="241"/>
      <c r="FLP5" s="241"/>
      <c r="FLQ5" s="241"/>
      <c r="FLR5" s="241"/>
      <c r="FLS5" s="241"/>
      <c r="FLT5" s="241"/>
      <c r="FLU5" s="241"/>
      <c r="FLV5" s="241"/>
      <c r="FLW5" s="241"/>
      <c r="FLX5" s="241"/>
      <c r="FLY5" s="241"/>
      <c r="FLZ5" s="241"/>
      <c r="FMA5" s="241"/>
      <c r="FMB5" s="241"/>
      <c r="FMC5" s="241"/>
      <c r="FMD5" s="241"/>
      <c r="FME5" s="241"/>
      <c r="FMF5" s="241"/>
      <c r="FMG5" s="241"/>
      <c r="FMH5" s="241"/>
      <c r="FMI5" s="241"/>
      <c r="FMJ5" s="241"/>
      <c r="FMK5" s="241"/>
      <c r="FML5" s="241"/>
      <c r="FMM5" s="241"/>
      <c r="FMN5" s="241"/>
      <c r="FMO5" s="241"/>
      <c r="FMP5" s="241"/>
      <c r="FMQ5" s="241"/>
      <c r="FMR5" s="241"/>
      <c r="FMS5" s="241"/>
      <c r="FMT5" s="241"/>
      <c r="FMU5" s="241"/>
      <c r="FMV5" s="241"/>
      <c r="FMW5" s="241"/>
      <c r="FMX5" s="241"/>
      <c r="FMY5" s="241"/>
      <c r="FMZ5" s="241"/>
      <c r="FNA5" s="241"/>
      <c r="FNB5" s="241"/>
      <c r="FNC5" s="241"/>
      <c r="FND5" s="241"/>
      <c r="FNE5" s="241"/>
      <c r="FNF5" s="241"/>
      <c r="FNG5" s="241"/>
      <c r="FNH5" s="241"/>
      <c r="FNI5" s="241"/>
      <c r="FNJ5" s="241"/>
      <c r="FNK5" s="241"/>
      <c r="FNL5" s="241"/>
      <c r="FNM5" s="241"/>
      <c r="FNN5" s="241"/>
      <c r="FNO5" s="241"/>
      <c r="FNP5" s="241"/>
      <c r="FNQ5" s="241"/>
      <c r="FNR5" s="241"/>
      <c r="FNS5" s="241"/>
      <c r="FNT5" s="241"/>
      <c r="FNU5" s="241"/>
      <c r="FNV5" s="241"/>
      <c r="FNW5" s="241"/>
      <c r="FNX5" s="241"/>
      <c r="FNY5" s="241"/>
      <c r="FNZ5" s="241"/>
      <c r="FOA5" s="241"/>
      <c r="FOB5" s="241"/>
      <c r="FOC5" s="241"/>
      <c r="FOD5" s="241"/>
      <c r="FOE5" s="241"/>
      <c r="FOF5" s="241"/>
      <c r="FOG5" s="241"/>
      <c r="FOH5" s="241"/>
      <c r="FOI5" s="241"/>
      <c r="FOJ5" s="241"/>
      <c r="FOK5" s="241"/>
      <c r="FOL5" s="241"/>
      <c r="FOM5" s="241"/>
      <c r="FON5" s="241"/>
      <c r="FOO5" s="241"/>
      <c r="FOP5" s="241"/>
      <c r="FOQ5" s="241"/>
      <c r="FOR5" s="241"/>
      <c r="FOS5" s="241"/>
      <c r="FOT5" s="241"/>
      <c r="FOU5" s="241"/>
      <c r="FOV5" s="241"/>
      <c r="FOW5" s="241"/>
      <c r="FOX5" s="241"/>
      <c r="FOY5" s="241"/>
      <c r="FOZ5" s="241"/>
      <c r="FPA5" s="241"/>
      <c r="FPB5" s="241"/>
      <c r="FPC5" s="241"/>
      <c r="FPD5" s="241"/>
      <c r="FPE5" s="241"/>
      <c r="FPF5" s="241"/>
      <c r="FPG5" s="241"/>
      <c r="FPH5" s="241"/>
      <c r="FPI5" s="241"/>
      <c r="FPJ5" s="241"/>
      <c r="FPK5" s="241"/>
      <c r="FPL5" s="241"/>
      <c r="FPM5" s="241"/>
      <c r="FPN5" s="241"/>
      <c r="FPO5" s="241"/>
      <c r="FPP5" s="241"/>
      <c r="FPQ5" s="241"/>
      <c r="FPR5" s="241"/>
      <c r="FPS5" s="241"/>
      <c r="FPT5" s="241"/>
      <c r="FPU5" s="241"/>
      <c r="FPV5" s="241"/>
      <c r="FPW5" s="241"/>
      <c r="FPX5" s="241"/>
      <c r="FPY5" s="241"/>
      <c r="FPZ5" s="241"/>
      <c r="FQA5" s="241"/>
      <c r="FQB5" s="241"/>
      <c r="FQC5" s="241"/>
      <c r="FQD5" s="241"/>
      <c r="FQE5" s="241"/>
      <c r="FQF5" s="241"/>
      <c r="FQG5" s="241"/>
      <c r="FQH5" s="241"/>
      <c r="FQI5" s="241"/>
      <c r="FQJ5" s="241"/>
      <c r="FQK5" s="241"/>
      <c r="FQL5" s="241"/>
      <c r="FQM5" s="241"/>
      <c r="FQN5" s="241"/>
      <c r="FQO5" s="241"/>
      <c r="FQP5" s="241"/>
      <c r="FQQ5" s="241"/>
      <c r="FQR5" s="241"/>
      <c r="FQS5" s="241"/>
      <c r="FQT5" s="241"/>
      <c r="FQU5" s="241"/>
      <c r="FQV5" s="241"/>
      <c r="FQW5" s="241"/>
      <c r="FQX5" s="241"/>
      <c r="FQY5" s="241"/>
      <c r="FQZ5" s="241"/>
      <c r="FRA5" s="241"/>
      <c r="FRB5" s="241"/>
      <c r="FRC5" s="241"/>
      <c r="FRD5" s="241"/>
      <c r="FRE5" s="241"/>
      <c r="FRF5" s="241"/>
      <c r="FRG5" s="241"/>
      <c r="FRH5" s="241"/>
      <c r="FRI5" s="241"/>
      <c r="FRJ5" s="241"/>
      <c r="FRK5" s="241"/>
      <c r="FRL5" s="241"/>
      <c r="FRM5" s="241"/>
      <c r="FRN5" s="241"/>
      <c r="FRO5" s="241"/>
      <c r="FRP5" s="241"/>
      <c r="FRQ5" s="241"/>
      <c r="FRR5" s="241"/>
      <c r="FRS5" s="241"/>
      <c r="FRT5" s="241"/>
      <c r="FRU5" s="241"/>
      <c r="FRV5" s="241"/>
      <c r="FRW5" s="241"/>
      <c r="FRX5" s="241"/>
      <c r="FRY5" s="241"/>
      <c r="FRZ5" s="241"/>
      <c r="FSA5" s="241"/>
      <c r="FSB5" s="241"/>
      <c r="FSC5" s="241"/>
      <c r="FSD5" s="241"/>
      <c r="FSE5" s="241"/>
      <c r="FSF5" s="241"/>
      <c r="FSG5" s="241"/>
      <c r="FSH5" s="241"/>
      <c r="FSI5" s="241"/>
      <c r="FSJ5" s="241"/>
      <c r="FSK5" s="241"/>
      <c r="FSL5" s="241"/>
      <c r="FSM5" s="241"/>
      <c r="FSN5" s="241"/>
      <c r="FSO5" s="241"/>
      <c r="FSP5" s="241"/>
      <c r="FSQ5" s="241"/>
      <c r="FSR5" s="241"/>
      <c r="FSS5" s="241"/>
      <c r="FST5" s="241"/>
      <c r="FSU5" s="241"/>
      <c r="FSV5" s="241"/>
      <c r="FSW5" s="241"/>
      <c r="FSX5" s="241"/>
      <c r="FSY5" s="241"/>
      <c r="FSZ5" s="241"/>
      <c r="FTA5" s="241"/>
      <c r="FTB5" s="241"/>
      <c r="FTC5" s="241"/>
      <c r="FTD5" s="241"/>
      <c r="FTE5" s="241"/>
      <c r="FTF5" s="241"/>
      <c r="FTG5" s="241"/>
      <c r="FTH5" s="241"/>
      <c r="FTI5" s="241"/>
      <c r="FTJ5" s="241"/>
      <c r="FTK5" s="241"/>
      <c r="FTL5" s="241"/>
      <c r="FTM5" s="241"/>
      <c r="FTN5" s="241"/>
      <c r="FTO5" s="241"/>
      <c r="FTP5" s="241"/>
      <c r="FTQ5" s="241"/>
      <c r="FTR5" s="241"/>
      <c r="FTS5" s="241"/>
      <c r="FTT5" s="241"/>
      <c r="FTU5" s="241"/>
      <c r="FTV5" s="241"/>
      <c r="FTW5" s="241"/>
      <c r="FTX5" s="241"/>
      <c r="FTY5" s="241"/>
      <c r="FTZ5" s="241"/>
      <c r="FUA5" s="241"/>
      <c r="FUB5" s="241"/>
      <c r="FUC5" s="241"/>
      <c r="FUD5" s="241"/>
      <c r="FUE5" s="241"/>
      <c r="FUF5" s="241"/>
      <c r="FUG5" s="241"/>
      <c r="FUH5" s="241"/>
      <c r="FUI5" s="241"/>
      <c r="FUJ5" s="241"/>
      <c r="FUK5" s="241"/>
      <c r="FUL5" s="241"/>
      <c r="FUM5" s="241"/>
      <c r="FUN5" s="241"/>
      <c r="FUO5" s="241"/>
      <c r="FUP5" s="241"/>
      <c r="FUQ5" s="241"/>
      <c r="FUR5" s="241"/>
      <c r="FUS5" s="241"/>
      <c r="FUT5" s="241"/>
      <c r="FUU5" s="241"/>
      <c r="FUV5" s="241"/>
      <c r="FUW5" s="241"/>
      <c r="FUX5" s="241"/>
      <c r="FUY5" s="241"/>
      <c r="FUZ5" s="241"/>
      <c r="FVA5" s="241"/>
      <c r="FVB5" s="241"/>
      <c r="FVC5" s="241"/>
      <c r="FVD5" s="241"/>
      <c r="FVE5" s="241"/>
      <c r="FVF5" s="241"/>
      <c r="FVG5" s="241"/>
      <c r="FVH5" s="241"/>
      <c r="FVI5" s="241"/>
      <c r="FVJ5" s="241"/>
      <c r="FVK5" s="241"/>
      <c r="FVL5" s="241"/>
      <c r="FVM5" s="241"/>
      <c r="FVN5" s="241"/>
      <c r="FVO5" s="241"/>
      <c r="FVP5" s="241"/>
      <c r="FVQ5" s="241"/>
      <c r="FVR5" s="241"/>
      <c r="FVS5" s="241"/>
      <c r="FVT5" s="241"/>
      <c r="FVU5" s="241"/>
      <c r="FVV5" s="241"/>
      <c r="FVW5" s="241"/>
      <c r="FVX5" s="241"/>
      <c r="FVY5" s="241"/>
      <c r="FVZ5" s="241"/>
      <c r="FWA5" s="241"/>
      <c r="FWB5" s="241"/>
      <c r="FWC5" s="241"/>
      <c r="FWD5" s="241"/>
      <c r="FWE5" s="241"/>
      <c r="FWF5" s="241"/>
      <c r="FWG5" s="241"/>
      <c r="FWH5" s="241"/>
      <c r="FWI5" s="241"/>
      <c r="FWJ5" s="241"/>
      <c r="FWK5" s="241"/>
      <c r="FWL5" s="241"/>
      <c r="FWM5" s="241"/>
      <c r="FWN5" s="241"/>
      <c r="FWO5" s="241"/>
      <c r="FWP5" s="241"/>
      <c r="FWQ5" s="241"/>
      <c r="FWR5" s="241"/>
      <c r="FWS5" s="241"/>
      <c r="FWT5" s="241"/>
      <c r="FWU5" s="241"/>
      <c r="FWV5" s="241"/>
      <c r="FWW5" s="241"/>
      <c r="FWX5" s="241"/>
      <c r="FWY5" s="241"/>
      <c r="FWZ5" s="241"/>
      <c r="FXA5" s="241"/>
      <c r="FXB5" s="241"/>
      <c r="FXC5" s="241"/>
      <c r="FXD5" s="241"/>
      <c r="FXE5" s="241"/>
      <c r="FXF5" s="241"/>
      <c r="FXG5" s="241"/>
      <c r="FXH5" s="241"/>
      <c r="FXI5" s="241"/>
      <c r="FXJ5" s="241"/>
      <c r="FXK5" s="241"/>
      <c r="FXL5" s="241"/>
      <c r="FXM5" s="241"/>
      <c r="FXN5" s="241"/>
      <c r="FXO5" s="241"/>
      <c r="FXP5" s="241"/>
      <c r="FXQ5" s="241"/>
      <c r="FXR5" s="241"/>
      <c r="FXS5" s="241"/>
      <c r="FXT5" s="241"/>
      <c r="FXU5" s="241"/>
      <c r="FXV5" s="241"/>
      <c r="FXW5" s="241"/>
      <c r="FXX5" s="241"/>
      <c r="FXY5" s="241"/>
      <c r="FXZ5" s="241"/>
      <c r="FYA5" s="241"/>
      <c r="FYB5" s="241"/>
      <c r="FYC5" s="241"/>
      <c r="FYD5" s="241"/>
      <c r="FYE5" s="241"/>
      <c r="FYF5" s="241"/>
      <c r="FYG5" s="241"/>
      <c r="FYH5" s="241"/>
      <c r="FYI5" s="241"/>
      <c r="FYJ5" s="241"/>
      <c r="FYK5" s="241"/>
      <c r="FYL5" s="241"/>
      <c r="FYM5" s="241"/>
      <c r="FYN5" s="241"/>
      <c r="FYO5" s="241"/>
      <c r="FYP5" s="241"/>
      <c r="FYQ5" s="241"/>
      <c r="FYR5" s="241"/>
      <c r="FYS5" s="241"/>
      <c r="FYT5" s="241"/>
      <c r="FYU5" s="241"/>
      <c r="FYV5" s="241"/>
      <c r="FYW5" s="241"/>
      <c r="FYX5" s="241"/>
      <c r="FYY5" s="241"/>
      <c r="FYZ5" s="241"/>
      <c r="FZA5" s="241"/>
      <c r="FZB5" s="241"/>
      <c r="FZC5" s="241"/>
      <c r="FZD5" s="241"/>
      <c r="FZE5" s="241"/>
      <c r="FZF5" s="241"/>
      <c r="FZG5" s="241"/>
      <c r="FZH5" s="241"/>
      <c r="FZI5" s="241"/>
      <c r="FZJ5" s="241"/>
      <c r="FZK5" s="241"/>
      <c r="FZL5" s="241"/>
      <c r="FZM5" s="241"/>
      <c r="FZN5" s="241"/>
      <c r="FZO5" s="241"/>
      <c r="FZP5" s="241"/>
      <c r="FZQ5" s="241"/>
      <c r="FZR5" s="241"/>
      <c r="FZS5" s="241"/>
      <c r="FZT5" s="241"/>
      <c r="FZU5" s="241"/>
      <c r="FZV5" s="241"/>
      <c r="FZW5" s="241"/>
      <c r="FZX5" s="241"/>
      <c r="FZY5" s="241"/>
      <c r="FZZ5" s="241"/>
      <c r="GAA5" s="241"/>
      <c r="GAB5" s="241"/>
      <c r="GAC5" s="241"/>
      <c r="GAD5" s="241"/>
      <c r="GAE5" s="241"/>
      <c r="GAF5" s="241"/>
      <c r="GAG5" s="241"/>
      <c r="GAH5" s="241"/>
      <c r="GAI5" s="241"/>
      <c r="GAJ5" s="241"/>
      <c r="GAK5" s="241"/>
      <c r="GAL5" s="241"/>
      <c r="GAM5" s="241"/>
      <c r="GAN5" s="241"/>
      <c r="GAO5" s="241"/>
      <c r="GAP5" s="241"/>
      <c r="GAQ5" s="241"/>
      <c r="GAR5" s="241"/>
      <c r="GAS5" s="241"/>
      <c r="GAT5" s="241"/>
      <c r="GAU5" s="241"/>
      <c r="GAV5" s="241"/>
      <c r="GAW5" s="241"/>
      <c r="GAX5" s="241"/>
      <c r="GAY5" s="241"/>
      <c r="GAZ5" s="241"/>
      <c r="GBA5" s="241"/>
      <c r="GBB5" s="241"/>
      <c r="GBC5" s="241"/>
      <c r="GBD5" s="241"/>
      <c r="GBE5" s="241"/>
      <c r="GBF5" s="241"/>
      <c r="GBG5" s="241"/>
      <c r="GBH5" s="241"/>
      <c r="GBI5" s="241"/>
      <c r="GBJ5" s="241"/>
      <c r="GBK5" s="241"/>
      <c r="GBL5" s="241"/>
      <c r="GBM5" s="241"/>
      <c r="GBN5" s="241"/>
      <c r="GBO5" s="241"/>
      <c r="GBP5" s="241"/>
      <c r="GBQ5" s="241"/>
      <c r="GBR5" s="241"/>
      <c r="GBS5" s="241"/>
      <c r="GBT5" s="241"/>
      <c r="GBU5" s="241"/>
      <c r="GBV5" s="241"/>
      <c r="GBW5" s="241"/>
      <c r="GBX5" s="241"/>
      <c r="GBY5" s="241"/>
      <c r="GBZ5" s="241"/>
      <c r="GCA5" s="241"/>
      <c r="GCB5" s="241"/>
      <c r="GCC5" s="241"/>
      <c r="GCD5" s="241"/>
      <c r="GCE5" s="241"/>
      <c r="GCF5" s="241"/>
      <c r="GCG5" s="241"/>
      <c r="GCH5" s="241"/>
      <c r="GCI5" s="241"/>
      <c r="GCJ5" s="241"/>
      <c r="GCK5" s="241"/>
      <c r="GCL5" s="241"/>
      <c r="GCM5" s="241"/>
      <c r="GCN5" s="241"/>
      <c r="GCO5" s="241"/>
      <c r="GCP5" s="241"/>
      <c r="GCQ5" s="241"/>
      <c r="GCR5" s="241"/>
      <c r="GCS5" s="241"/>
      <c r="GCT5" s="241"/>
      <c r="GCU5" s="241"/>
      <c r="GCV5" s="241"/>
      <c r="GCW5" s="241"/>
      <c r="GCX5" s="241"/>
      <c r="GCY5" s="241"/>
      <c r="GCZ5" s="241"/>
      <c r="GDA5" s="241"/>
      <c r="GDB5" s="241"/>
      <c r="GDC5" s="241"/>
      <c r="GDD5" s="241"/>
      <c r="GDE5" s="241"/>
      <c r="GDF5" s="241"/>
      <c r="GDG5" s="241"/>
      <c r="GDH5" s="241"/>
      <c r="GDI5" s="241"/>
      <c r="GDJ5" s="241"/>
      <c r="GDK5" s="241"/>
      <c r="GDL5" s="241"/>
      <c r="GDM5" s="241"/>
      <c r="GDN5" s="241"/>
      <c r="GDO5" s="241"/>
      <c r="GDP5" s="241"/>
      <c r="GDQ5" s="241"/>
      <c r="GDR5" s="241"/>
      <c r="GDS5" s="241"/>
      <c r="GDT5" s="241"/>
      <c r="GDU5" s="241"/>
      <c r="GDV5" s="241"/>
      <c r="GDW5" s="241"/>
      <c r="GDX5" s="241"/>
      <c r="GDY5" s="241"/>
      <c r="GDZ5" s="241"/>
      <c r="GEA5" s="241"/>
      <c r="GEB5" s="241"/>
      <c r="GEC5" s="241"/>
      <c r="GED5" s="241"/>
      <c r="GEE5" s="241"/>
      <c r="GEF5" s="241"/>
      <c r="GEG5" s="241"/>
      <c r="GEH5" s="241"/>
      <c r="GEI5" s="241"/>
      <c r="GEJ5" s="241"/>
      <c r="GEK5" s="241"/>
      <c r="GEL5" s="241"/>
      <c r="GEM5" s="241"/>
      <c r="GEN5" s="241"/>
      <c r="GEO5" s="241"/>
      <c r="GEP5" s="241"/>
      <c r="GEQ5" s="241"/>
      <c r="GER5" s="241"/>
      <c r="GES5" s="241"/>
      <c r="GET5" s="241"/>
      <c r="GEU5" s="241"/>
      <c r="GEV5" s="241"/>
      <c r="GEW5" s="241"/>
      <c r="GEX5" s="241"/>
      <c r="GEY5" s="241"/>
      <c r="GEZ5" s="241"/>
      <c r="GFA5" s="241"/>
      <c r="GFB5" s="241"/>
      <c r="GFC5" s="241"/>
      <c r="GFD5" s="241"/>
      <c r="GFE5" s="241"/>
      <c r="GFF5" s="241"/>
      <c r="GFG5" s="241"/>
      <c r="GFH5" s="241"/>
      <c r="GFI5" s="241"/>
      <c r="GFJ5" s="241"/>
      <c r="GFK5" s="241"/>
      <c r="GFL5" s="241"/>
      <c r="GFM5" s="241"/>
      <c r="GFN5" s="241"/>
      <c r="GFO5" s="241"/>
      <c r="GFP5" s="241"/>
      <c r="GFQ5" s="241"/>
      <c r="GFR5" s="241"/>
      <c r="GFS5" s="241"/>
      <c r="GFT5" s="241"/>
      <c r="GFU5" s="241"/>
      <c r="GFV5" s="241"/>
      <c r="GFW5" s="241"/>
      <c r="GFX5" s="241"/>
      <c r="GFY5" s="241"/>
      <c r="GFZ5" s="241"/>
      <c r="GGA5" s="241"/>
      <c r="GGB5" s="241"/>
      <c r="GGC5" s="241"/>
      <c r="GGD5" s="241"/>
      <c r="GGE5" s="241"/>
      <c r="GGF5" s="241"/>
      <c r="GGG5" s="241"/>
      <c r="GGH5" s="241"/>
      <c r="GGI5" s="241"/>
      <c r="GGJ5" s="241"/>
      <c r="GGK5" s="241"/>
      <c r="GGL5" s="241"/>
      <c r="GGM5" s="241"/>
      <c r="GGN5" s="241"/>
      <c r="GGO5" s="241"/>
      <c r="GGP5" s="241"/>
      <c r="GGQ5" s="241"/>
      <c r="GGR5" s="241"/>
      <c r="GGS5" s="241"/>
      <c r="GGT5" s="241"/>
      <c r="GGU5" s="241"/>
      <c r="GGV5" s="241"/>
      <c r="GGW5" s="241"/>
      <c r="GGX5" s="241"/>
      <c r="GGY5" s="241"/>
      <c r="GGZ5" s="241"/>
      <c r="GHA5" s="241"/>
      <c r="GHB5" s="241"/>
      <c r="GHC5" s="241"/>
      <c r="GHD5" s="241"/>
      <c r="GHE5" s="241"/>
      <c r="GHF5" s="241"/>
      <c r="GHG5" s="241"/>
      <c r="GHH5" s="241"/>
      <c r="GHI5" s="241"/>
      <c r="GHJ5" s="241"/>
      <c r="GHK5" s="241"/>
      <c r="GHL5" s="241"/>
      <c r="GHM5" s="241"/>
      <c r="GHN5" s="241"/>
      <c r="GHO5" s="241"/>
      <c r="GHP5" s="241"/>
      <c r="GHQ5" s="241"/>
      <c r="GHR5" s="241"/>
      <c r="GHS5" s="241"/>
      <c r="GHT5" s="241"/>
      <c r="GHU5" s="241"/>
      <c r="GHV5" s="241"/>
      <c r="GHW5" s="241"/>
      <c r="GHX5" s="241"/>
      <c r="GHY5" s="241"/>
      <c r="GHZ5" s="241"/>
      <c r="GIA5" s="241"/>
      <c r="GIB5" s="241"/>
      <c r="GIC5" s="241"/>
      <c r="GID5" s="241"/>
      <c r="GIE5" s="241"/>
      <c r="GIF5" s="241"/>
      <c r="GIG5" s="241"/>
      <c r="GIH5" s="241"/>
      <c r="GII5" s="241"/>
      <c r="GIJ5" s="241"/>
      <c r="GIK5" s="241"/>
      <c r="GIL5" s="241"/>
      <c r="GIM5" s="241"/>
      <c r="GIN5" s="241"/>
      <c r="GIO5" s="241"/>
      <c r="GIP5" s="241"/>
      <c r="GIQ5" s="241"/>
      <c r="GIR5" s="241"/>
      <c r="GIS5" s="241"/>
      <c r="GIT5" s="241"/>
      <c r="GIU5" s="241"/>
      <c r="GIV5" s="241"/>
      <c r="GIW5" s="241"/>
      <c r="GIX5" s="241"/>
      <c r="GIY5" s="241"/>
      <c r="GIZ5" s="241"/>
      <c r="GJA5" s="241"/>
      <c r="GJB5" s="241"/>
      <c r="GJC5" s="241"/>
      <c r="GJD5" s="241"/>
      <c r="GJE5" s="241"/>
      <c r="GJF5" s="241"/>
      <c r="GJG5" s="241"/>
      <c r="GJH5" s="241"/>
      <c r="GJI5" s="241"/>
      <c r="GJJ5" s="241"/>
      <c r="GJK5" s="241"/>
      <c r="GJL5" s="241"/>
      <c r="GJM5" s="241"/>
      <c r="GJN5" s="241"/>
      <c r="GJO5" s="241"/>
      <c r="GJP5" s="241"/>
      <c r="GJQ5" s="241"/>
      <c r="GJR5" s="241"/>
      <c r="GJS5" s="241"/>
      <c r="GJT5" s="241"/>
      <c r="GJU5" s="241"/>
      <c r="GJV5" s="241"/>
      <c r="GJW5" s="241"/>
      <c r="GJX5" s="241"/>
      <c r="GJY5" s="241"/>
      <c r="GJZ5" s="241"/>
      <c r="GKA5" s="241"/>
      <c r="GKB5" s="241"/>
      <c r="GKC5" s="241"/>
      <c r="GKD5" s="241"/>
      <c r="GKE5" s="241"/>
      <c r="GKF5" s="241"/>
      <c r="GKG5" s="241"/>
      <c r="GKH5" s="241"/>
      <c r="GKI5" s="241"/>
      <c r="GKJ5" s="241"/>
      <c r="GKK5" s="241"/>
      <c r="GKL5" s="241"/>
      <c r="GKM5" s="241"/>
      <c r="GKN5" s="241"/>
      <c r="GKO5" s="241"/>
      <c r="GKP5" s="241"/>
      <c r="GKQ5" s="241"/>
      <c r="GKR5" s="241"/>
      <c r="GKS5" s="241"/>
      <c r="GKT5" s="241"/>
      <c r="GKU5" s="241"/>
      <c r="GKV5" s="241"/>
      <c r="GKW5" s="241"/>
      <c r="GKX5" s="241"/>
      <c r="GKY5" s="241"/>
      <c r="GKZ5" s="241"/>
      <c r="GLA5" s="241"/>
      <c r="GLB5" s="241"/>
      <c r="GLC5" s="241"/>
      <c r="GLD5" s="241"/>
      <c r="GLE5" s="241"/>
      <c r="GLF5" s="241"/>
      <c r="GLG5" s="241"/>
      <c r="GLH5" s="241"/>
      <c r="GLI5" s="241"/>
      <c r="GLJ5" s="241"/>
      <c r="GLK5" s="241"/>
      <c r="GLL5" s="241"/>
      <c r="GLM5" s="241"/>
      <c r="GLN5" s="241"/>
      <c r="GLO5" s="241"/>
      <c r="GLP5" s="241"/>
      <c r="GLQ5" s="241"/>
      <c r="GLR5" s="241"/>
      <c r="GLS5" s="241"/>
      <c r="GLT5" s="241"/>
      <c r="GLU5" s="241"/>
      <c r="GLV5" s="241"/>
      <c r="GLW5" s="241"/>
      <c r="GLX5" s="241"/>
      <c r="GLY5" s="241"/>
      <c r="GLZ5" s="241"/>
      <c r="GMA5" s="241"/>
      <c r="GMB5" s="241"/>
      <c r="GMC5" s="241"/>
      <c r="GMD5" s="241"/>
      <c r="GME5" s="241"/>
      <c r="GMF5" s="241"/>
      <c r="GMG5" s="241"/>
      <c r="GMH5" s="241"/>
      <c r="GMI5" s="241"/>
      <c r="GMJ5" s="241"/>
      <c r="GMK5" s="241"/>
      <c r="GML5" s="241"/>
      <c r="GMM5" s="241"/>
      <c r="GMN5" s="241"/>
      <c r="GMO5" s="241"/>
      <c r="GMP5" s="241"/>
      <c r="GMQ5" s="241"/>
      <c r="GMR5" s="241"/>
      <c r="GMS5" s="241"/>
      <c r="GMT5" s="241"/>
      <c r="GMU5" s="241"/>
      <c r="GMV5" s="241"/>
      <c r="GMW5" s="241"/>
      <c r="GMX5" s="241"/>
      <c r="GMY5" s="241"/>
      <c r="GMZ5" s="241"/>
      <c r="GNA5" s="241"/>
      <c r="GNB5" s="241"/>
      <c r="GNC5" s="241"/>
      <c r="GND5" s="241"/>
      <c r="GNE5" s="241"/>
      <c r="GNF5" s="241"/>
      <c r="GNG5" s="241"/>
      <c r="GNH5" s="241"/>
      <c r="GNI5" s="241"/>
      <c r="GNJ5" s="241"/>
      <c r="GNK5" s="241"/>
      <c r="GNL5" s="241"/>
      <c r="GNM5" s="241"/>
      <c r="GNN5" s="241"/>
      <c r="GNO5" s="241"/>
      <c r="GNP5" s="241"/>
      <c r="GNQ5" s="241"/>
      <c r="GNR5" s="241"/>
      <c r="GNS5" s="241"/>
      <c r="GNT5" s="241"/>
      <c r="GNU5" s="241"/>
      <c r="GNV5" s="241"/>
      <c r="GNW5" s="241"/>
      <c r="GNX5" s="241"/>
      <c r="GNY5" s="241"/>
      <c r="GNZ5" s="241"/>
      <c r="GOA5" s="241"/>
      <c r="GOB5" s="241"/>
      <c r="GOC5" s="241"/>
      <c r="GOD5" s="241"/>
      <c r="GOE5" s="241"/>
      <c r="GOF5" s="241"/>
      <c r="GOG5" s="241"/>
      <c r="GOH5" s="241"/>
      <c r="GOI5" s="241"/>
      <c r="GOJ5" s="241"/>
      <c r="GOK5" s="241"/>
      <c r="GOL5" s="241"/>
      <c r="GOM5" s="241"/>
      <c r="GON5" s="241"/>
      <c r="GOO5" s="241"/>
      <c r="GOP5" s="241"/>
      <c r="GOQ5" s="241"/>
      <c r="GOR5" s="241"/>
      <c r="GOS5" s="241"/>
      <c r="GOT5" s="241"/>
      <c r="GOU5" s="241"/>
      <c r="GOV5" s="241"/>
      <c r="GOW5" s="241"/>
      <c r="GOX5" s="241"/>
      <c r="GOY5" s="241"/>
      <c r="GOZ5" s="241"/>
      <c r="GPA5" s="241"/>
      <c r="GPB5" s="241"/>
      <c r="GPC5" s="241"/>
      <c r="GPD5" s="241"/>
      <c r="GPE5" s="241"/>
      <c r="GPF5" s="241"/>
      <c r="GPG5" s="241"/>
      <c r="GPH5" s="241"/>
      <c r="GPI5" s="241"/>
      <c r="GPJ5" s="241"/>
      <c r="GPK5" s="241"/>
      <c r="GPL5" s="241"/>
      <c r="GPM5" s="241"/>
      <c r="GPN5" s="241"/>
      <c r="GPO5" s="241"/>
      <c r="GPP5" s="241"/>
      <c r="GPQ5" s="241"/>
      <c r="GPR5" s="241"/>
      <c r="GPS5" s="241"/>
      <c r="GPT5" s="241"/>
      <c r="GPU5" s="241"/>
      <c r="GPV5" s="241"/>
      <c r="GPW5" s="241"/>
      <c r="GPX5" s="241"/>
      <c r="GPY5" s="241"/>
      <c r="GPZ5" s="241"/>
      <c r="GQA5" s="241"/>
      <c r="GQB5" s="241"/>
      <c r="GQC5" s="241"/>
      <c r="GQD5" s="241"/>
      <c r="GQE5" s="241"/>
      <c r="GQF5" s="241"/>
      <c r="GQG5" s="241"/>
      <c r="GQH5" s="241"/>
      <c r="GQI5" s="241"/>
      <c r="GQJ5" s="241"/>
      <c r="GQK5" s="241"/>
      <c r="GQL5" s="241"/>
      <c r="GQM5" s="241"/>
      <c r="GQN5" s="241"/>
      <c r="GQO5" s="241"/>
      <c r="GQP5" s="241"/>
      <c r="GQQ5" s="241"/>
      <c r="GQR5" s="241"/>
      <c r="GQS5" s="241"/>
      <c r="GQT5" s="241"/>
      <c r="GQU5" s="241"/>
      <c r="GQV5" s="241"/>
      <c r="GQW5" s="241"/>
      <c r="GQX5" s="241"/>
      <c r="GQY5" s="241"/>
      <c r="GQZ5" s="241"/>
      <c r="GRA5" s="241"/>
      <c r="GRB5" s="241"/>
      <c r="GRC5" s="241"/>
      <c r="GRD5" s="241"/>
      <c r="GRE5" s="241"/>
      <c r="GRF5" s="241"/>
      <c r="GRG5" s="241"/>
      <c r="GRH5" s="241"/>
      <c r="GRI5" s="241"/>
      <c r="GRJ5" s="241"/>
      <c r="GRK5" s="241"/>
      <c r="GRL5" s="241"/>
      <c r="GRM5" s="241"/>
      <c r="GRN5" s="241"/>
      <c r="GRO5" s="241"/>
      <c r="GRP5" s="241"/>
      <c r="GRQ5" s="241"/>
      <c r="GRR5" s="241"/>
      <c r="GRS5" s="241"/>
      <c r="GRT5" s="241"/>
      <c r="GRU5" s="241"/>
      <c r="GRV5" s="241"/>
      <c r="GRW5" s="241"/>
      <c r="GRX5" s="241"/>
      <c r="GRY5" s="241"/>
      <c r="GRZ5" s="241"/>
      <c r="GSA5" s="241"/>
      <c r="GSB5" s="241"/>
      <c r="GSC5" s="241"/>
      <c r="GSD5" s="241"/>
      <c r="GSE5" s="241"/>
      <c r="GSF5" s="241"/>
      <c r="GSG5" s="241"/>
      <c r="GSH5" s="241"/>
      <c r="GSI5" s="241"/>
      <c r="GSJ5" s="241"/>
      <c r="GSK5" s="241"/>
      <c r="GSL5" s="241"/>
      <c r="GSM5" s="241"/>
      <c r="GSN5" s="241"/>
      <c r="GSO5" s="241"/>
      <c r="GSP5" s="241"/>
      <c r="GSQ5" s="241"/>
      <c r="GSR5" s="241"/>
      <c r="GSS5" s="241"/>
      <c r="GST5" s="241"/>
      <c r="GSU5" s="241"/>
      <c r="GSV5" s="241"/>
      <c r="GSW5" s="241"/>
      <c r="GSX5" s="241"/>
      <c r="GSY5" s="241"/>
      <c r="GSZ5" s="241"/>
      <c r="GTA5" s="241"/>
      <c r="GTB5" s="241"/>
      <c r="GTC5" s="241"/>
      <c r="GTD5" s="241"/>
      <c r="GTE5" s="241"/>
      <c r="GTF5" s="241"/>
      <c r="GTG5" s="241"/>
      <c r="GTH5" s="241"/>
      <c r="GTI5" s="241"/>
      <c r="GTJ5" s="241"/>
      <c r="GTK5" s="241"/>
      <c r="GTL5" s="241"/>
      <c r="GTM5" s="241"/>
      <c r="GTN5" s="241"/>
      <c r="GTO5" s="241"/>
      <c r="GTP5" s="241"/>
      <c r="GTQ5" s="241"/>
      <c r="GTR5" s="241"/>
      <c r="GTS5" s="241"/>
      <c r="GTT5" s="241"/>
      <c r="GTU5" s="241"/>
      <c r="GTV5" s="241"/>
      <c r="GTW5" s="241"/>
      <c r="GTX5" s="241"/>
      <c r="GTY5" s="241"/>
      <c r="GTZ5" s="241"/>
      <c r="GUA5" s="241"/>
      <c r="GUB5" s="241"/>
      <c r="GUC5" s="241"/>
      <c r="GUD5" s="241"/>
      <c r="GUE5" s="241"/>
      <c r="GUF5" s="241"/>
      <c r="GUG5" s="241"/>
      <c r="GUH5" s="241"/>
      <c r="GUI5" s="241"/>
      <c r="GUJ5" s="241"/>
      <c r="GUK5" s="241"/>
      <c r="GUL5" s="241"/>
      <c r="GUM5" s="241"/>
      <c r="GUN5" s="241"/>
      <c r="GUO5" s="241"/>
      <c r="GUP5" s="241"/>
      <c r="GUQ5" s="241"/>
      <c r="GUR5" s="241"/>
      <c r="GUS5" s="241"/>
      <c r="GUT5" s="241"/>
      <c r="GUU5" s="241"/>
      <c r="GUV5" s="241"/>
      <c r="GUW5" s="241"/>
      <c r="GUX5" s="241"/>
      <c r="GUY5" s="241"/>
      <c r="GUZ5" s="241"/>
      <c r="GVA5" s="241"/>
      <c r="GVB5" s="241"/>
      <c r="GVC5" s="241"/>
      <c r="GVD5" s="241"/>
      <c r="GVE5" s="241"/>
      <c r="GVF5" s="241"/>
      <c r="GVG5" s="241"/>
      <c r="GVH5" s="241"/>
      <c r="GVI5" s="241"/>
      <c r="GVJ5" s="241"/>
      <c r="GVK5" s="241"/>
      <c r="GVL5" s="241"/>
      <c r="GVM5" s="241"/>
      <c r="GVN5" s="241"/>
      <c r="GVO5" s="241"/>
      <c r="GVP5" s="241"/>
      <c r="GVQ5" s="241"/>
      <c r="GVR5" s="241"/>
      <c r="GVS5" s="241"/>
      <c r="GVT5" s="241"/>
      <c r="GVU5" s="241"/>
      <c r="GVV5" s="241"/>
      <c r="GVW5" s="241"/>
      <c r="GVX5" s="241"/>
      <c r="GVY5" s="241"/>
      <c r="GVZ5" s="241"/>
      <c r="GWA5" s="241"/>
      <c r="GWB5" s="241"/>
      <c r="GWC5" s="241"/>
      <c r="GWD5" s="241"/>
      <c r="GWE5" s="241"/>
      <c r="GWF5" s="241"/>
      <c r="GWG5" s="241"/>
      <c r="GWH5" s="241"/>
      <c r="GWI5" s="241"/>
      <c r="GWJ5" s="241"/>
      <c r="GWK5" s="241"/>
      <c r="GWL5" s="241"/>
      <c r="GWM5" s="241"/>
      <c r="GWN5" s="241"/>
      <c r="GWO5" s="241"/>
      <c r="GWP5" s="241"/>
      <c r="GWQ5" s="241"/>
      <c r="GWR5" s="241"/>
      <c r="GWS5" s="241"/>
      <c r="GWT5" s="241"/>
      <c r="GWU5" s="241"/>
      <c r="GWV5" s="241"/>
      <c r="GWW5" s="241"/>
      <c r="GWX5" s="241"/>
      <c r="GWY5" s="241"/>
      <c r="GWZ5" s="241"/>
      <c r="GXA5" s="241"/>
      <c r="GXB5" s="241"/>
      <c r="GXC5" s="241"/>
      <c r="GXD5" s="241"/>
      <c r="GXE5" s="241"/>
      <c r="GXF5" s="241"/>
      <c r="GXG5" s="241"/>
      <c r="GXH5" s="241"/>
      <c r="GXI5" s="241"/>
      <c r="GXJ5" s="241"/>
      <c r="GXK5" s="241"/>
      <c r="GXL5" s="241"/>
      <c r="GXM5" s="241"/>
      <c r="GXN5" s="241"/>
      <c r="GXO5" s="241"/>
      <c r="GXP5" s="241"/>
      <c r="GXQ5" s="241"/>
      <c r="GXR5" s="241"/>
      <c r="GXS5" s="241"/>
      <c r="GXT5" s="241"/>
      <c r="GXU5" s="241"/>
      <c r="GXV5" s="241"/>
      <c r="GXW5" s="241"/>
      <c r="GXX5" s="241"/>
      <c r="GXY5" s="241"/>
      <c r="GXZ5" s="241"/>
      <c r="GYA5" s="241"/>
      <c r="GYB5" s="241"/>
      <c r="GYC5" s="241"/>
      <c r="GYD5" s="241"/>
      <c r="GYE5" s="241"/>
      <c r="GYF5" s="241"/>
      <c r="GYG5" s="241"/>
      <c r="GYH5" s="241"/>
      <c r="GYI5" s="241"/>
      <c r="GYJ5" s="241"/>
      <c r="GYK5" s="241"/>
      <c r="GYL5" s="241"/>
      <c r="GYM5" s="241"/>
      <c r="GYN5" s="241"/>
      <c r="GYO5" s="241"/>
      <c r="GYP5" s="241"/>
      <c r="GYQ5" s="241"/>
      <c r="GYR5" s="241"/>
      <c r="GYS5" s="241"/>
      <c r="GYT5" s="241"/>
      <c r="GYU5" s="241"/>
      <c r="GYV5" s="241"/>
      <c r="GYW5" s="241"/>
      <c r="GYX5" s="241"/>
      <c r="GYY5" s="241"/>
      <c r="GYZ5" s="241"/>
      <c r="GZA5" s="241"/>
      <c r="GZB5" s="241"/>
      <c r="GZC5" s="241"/>
      <c r="GZD5" s="241"/>
      <c r="GZE5" s="241"/>
      <c r="GZF5" s="241"/>
      <c r="GZG5" s="241"/>
      <c r="GZH5" s="241"/>
      <c r="GZI5" s="241"/>
      <c r="GZJ5" s="241"/>
      <c r="GZK5" s="241"/>
      <c r="GZL5" s="241"/>
      <c r="GZM5" s="241"/>
      <c r="GZN5" s="241"/>
      <c r="GZO5" s="241"/>
      <c r="GZP5" s="241"/>
      <c r="GZQ5" s="241"/>
      <c r="GZR5" s="241"/>
      <c r="GZS5" s="241"/>
      <c r="GZT5" s="241"/>
      <c r="GZU5" s="241"/>
      <c r="GZV5" s="241"/>
      <c r="GZW5" s="241"/>
      <c r="GZX5" s="241"/>
      <c r="GZY5" s="241"/>
      <c r="GZZ5" s="241"/>
      <c r="HAA5" s="241"/>
      <c r="HAB5" s="241"/>
      <c r="HAC5" s="241"/>
      <c r="HAD5" s="241"/>
      <c r="HAE5" s="241"/>
      <c r="HAF5" s="241"/>
      <c r="HAG5" s="241"/>
      <c r="HAH5" s="241"/>
      <c r="HAI5" s="241"/>
      <c r="HAJ5" s="241"/>
      <c r="HAK5" s="241"/>
      <c r="HAL5" s="241"/>
      <c r="HAM5" s="241"/>
      <c r="HAN5" s="241"/>
      <c r="HAO5" s="241"/>
      <c r="HAP5" s="241"/>
      <c r="HAQ5" s="241"/>
      <c r="HAR5" s="241"/>
      <c r="HAS5" s="241"/>
      <c r="HAT5" s="241"/>
      <c r="HAU5" s="241"/>
      <c r="HAV5" s="241"/>
      <c r="HAW5" s="241"/>
      <c r="HAX5" s="241"/>
      <c r="HAY5" s="241"/>
      <c r="HAZ5" s="241"/>
      <c r="HBA5" s="241"/>
      <c r="HBB5" s="241"/>
      <c r="HBC5" s="241"/>
      <c r="HBD5" s="241"/>
      <c r="HBE5" s="241"/>
      <c r="HBF5" s="241"/>
      <c r="HBG5" s="241"/>
      <c r="HBH5" s="241"/>
      <c r="HBI5" s="241"/>
      <c r="HBJ5" s="241"/>
      <c r="HBK5" s="241"/>
      <c r="HBL5" s="241"/>
      <c r="HBM5" s="241"/>
      <c r="HBN5" s="241"/>
      <c r="HBO5" s="241"/>
      <c r="HBP5" s="241"/>
      <c r="HBQ5" s="241"/>
      <c r="HBR5" s="241"/>
      <c r="HBS5" s="241"/>
      <c r="HBT5" s="241"/>
      <c r="HBU5" s="241"/>
      <c r="HBV5" s="241"/>
      <c r="HBW5" s="241"/>
      <c r="HBX5" s="241"/>
      <c r="HBY5" s="241"/>
      <c r="HBZ5" s="241"/>
      <c r="HCA5" s="241"/>
      <c r="HCB5" s="241"/>
      <c r="HCC5" s="241"/>
      <c r="HCD5" s="241"/>
      <c r="HCE5" s="241"/>
      <c r="HCF5" s="241"/>
      <c r="HCG5" s="241"/>
      <c r="HCH5" s="241"/>
      <c r="HCI5" s="241"/>
      <c r="HCJ5" s="241"/>
      <c r="HCK5" s="241"/>
      <c r="HCL5" s="241"/>
      <c r="HCM5" s="241"/>
      <c r="HCN5" s="241"/>
      <c r="HCO5" s="241"/>
      <c r="HCP5" s="241"/>
      <c r="HCQ5" s="241"/>
      <c r="HCR5" s="241"/>
      <c r="HCS5" s="241"/>
      <c r="HCT5" s="241"/>
      <c r="HCU5" s="241"/>
      <c r="HCV5" s="241"/>
      <c r="HCW5" s="241"/>
      <c r="HCX5" s="241"/>
      <c r="HCY5" s="241"/>
      <c r="HCZ5" s="241"/>
      <c r="HDA5" s="241"/>
      <c r="HDB5" s="241"/>
      <c r="HDC5" s="241"/>
      <c r="HDD5" s="241"/>
      <c r="HDE5" s="241"/>
      <c r="HDF5" s="241"/>
      <c r="HDG5" s="241"/>
      <c r="HDH5" s="241"/>
      <c r="HDI5" s="241"/>
      <c r="HDJ5" s="241"/>
      <c r="HDK5" s="241"/>
      <c r="HDL5" s="241"/>
      <c r="HDM5" s="241"/>
      <c r="HDN5" s="241"/>
      <c r="HDO5" s="241"/>
      <c r="HDP5" s="241"/>
      <c r="HDQ5" s="241"/>
      <c r="HDR5" s="241"/>
      <c r="HDS5" s="241"/>
      <c r="HDT5" s="241"/>
      <c r="HDU5" s="241"/>
      <c r="HDV5" s="241"/>
      <c r="HDW5" s="241"/>
      <c r="HDX5" s="241"/>
      <c r="HDY5" s="241"/>
      <c r="HDZ5" s="241"/>
      <c r="HEA5" s="241"/>
      <c r="HEB5" s="241"/>
      <c r="HEC5" s="241"/>
      <c r="HED5" s="241"/>
      <c r="HEE5" s="241"/>
      <c r="HEF5" s="241"/>
      <c r="HEG5" s="241"/>
      <c r="HEH5" s="241"/>
      <c r="HEI5" s="241"/>
      <c r="HEJ5" s="241"/>
      <c r="HEK5" s="241"/>
      <c r="HEL5" s="241"/>
      <c r="HEM5" s="241"/>
      <c r="HEN5" s="241"/>
      <c r="HEO5" s="241"/>
      <c r="HEP5" s="241"/>
      <c r="HEQ5" s="241"/>
      <c r="HER5" s="241"/>
      <c r="HES5" s="241"/>
      <c r="HET5" s="241"/>
      <c r="HEU5" s="241"/>
      <c r="HEV5" s="241"/>
      <c r="HEW5" s="241"/>
      <c r="HEX5" s="241"/>
      <c r="HEY5" s="241"/>
      <c r="HEZ5" s="241"/>
      <c r="HFA5" s="241"/>
      <c r="HFB5" s="241"/>
      <c r="HFC5" s="241"/>
      <c r="HFD5" s="241"/>
      <c r="HFE5" s="241"/>
      <c r="HFF5" s="241"/>
      <c r="HFG5" s="241"/>
      <c r="HFH5" s="241"/>
      <c r="HFI5" s="241"/>
      <c r="HFJ5" s="241"/>
      <c r="HFK5" s="241"/>
      <c r="HFL5" s="241"/>
      <c r="HFM5" s="241"/>
      <c r="HFN5" s="241"/>
      <c r="HFO5" s="241"/>
      <c r="HFP5" s="241"/>
      <c r="HFQ5" s="241"/>
      <c r="HFR5" s="241"/>
      <c r="HFS5" s="241"/>
      <c r="HFT5" s="241"/>
      <c r="HFU5" s="241"/>
      <c r="HFV5" s="241"/>
      <c r="HFW5" s="241"/>
      <c r="HFX5" s="241"/>
      <c r="HFY5" s="241"/>
      <c r="HFZ5" s="241"/>
      <c r="HGA5" s="241"/>
      <c r="HGB5" s="241"/>
      <c r="HGC5" s="241"/>
      <c r="HGD5" s="241"/>
      <c r="HGE5" s="241"/>
      <c r="HGF5" s="241"/>
      <c r="HGG5" s="241"/>
      <c r="HGH5" s="241"/>
      <c r="HGI5" s="241"/>
      <c r="HGJ5" s="241"/>
      <c r="HGK5" s="241"/>
      <c r="HGL5" s="241"/>
      <c r="HGM5" s="241"/>
      <c r="HGN5" s="241"/>
      <c r="HGO5" s="241"/>
      <c r="HGP5" s="241"/>
      <c r="HGQ5" s="241"/>
      <c r="HGR5" s="241"/>
      <c r="HGS5" s="241"/>
      <c r="HGT5" s="241"/>
      <c r="HGU5" s="241"/>
      <c r="HGV5" s="241"/>
      <c r="HGW5" s="241"/>
      <c r="HGX5" s="241"/>
      <c r="HGY5" s="241"/>
      <c r="HGZ5" s="241"/>
      <c r="HHA5" s="241"/>
      <c r="HHB5" s="241"/>
      <c r="HHC5" s="241"/>
      <c r="HHD5" s="241"/>
      <c r="HHE5" s="241"/>
      <c r="HHF5" s="241"/>
      <c r="HHG5" s="241"/>
      <c r="HHH5" s="241"/>
      <c r="HHI5" s="241"/>
      <c r="HHJ5" s="241"/>
      <c r="HHK5" s="241"/>
      <c r="HHL5" s="241"/>
      <c r="HHM5" s="241"/>
      <c r="HHN5" s="241"/>
      <c r="HHO5" s="241"/>
      <c r="HHP5" s="241"/>
      <c r="HHQ5" s="241"/>
      <c r="HHR5" s="241"/>
      <c r="HHS5" s="241"/>
      <c r="HHT5" s="241"/>
      <c r="HHU5" s="241"/>
      <c r="HHV5" s="241"/>
      <c r="HHW5" s="241"/>
      <c r="HHX5" s="241"/>
      <c r="HHY5" s="241"/>
      <c r="HHZ5" s="241"/>
      <c r="HIA5" s="241"/>
      <c r="HIB5" s="241"/>
      <c r="HIC5" s="241"/>
      <c r="HID5" s="241"/>
      <c r="HIE5" s="241"/>
      <c r="HIF5" s="241"/>
      <c r="HIG5" s="241"/>
      <c r="HIH5" s="241"/>
      <c r="HII5" s="241"/>
      <c r="HIJ5" s="241"/>
      <c r="HIK5" s="241"/>
      <c r="HIL5" s="241"/>
      <c r="HIM5" s="241"/>
      <c r="HIN5" s="241"/>
      <c r="HIO5" s="241"/>
      <c r="HIP5" s="241"/>
      <c r="HIQ5" s="241"/>
      <c r="HIR5" s="241"/>
      <c r="HIS5" s="241"/>
      <c r="HIT5" s="241"/>
      <c r="HIU5" s="241"/>
      <c r="HIV5" s="241"/>
      <c r="HIW5" s="241"/>
      <c r="HIX5" s="241"/>
      <c r="HIY5" s="241"/>
      <c r="HIZ5" s="241"/>
      <c r="HJA5" s="241"/>
      <c r="HJB5" s="241"/>
      <c r="HJC5" s="241"/>
      <c r="HJD5" s="241"/>
      <c r="HJE5" s="241"/>
      <c r="HJF5" s="241"/>
      <c r="HJG5" s="241"/>
      <c r="HJH5" s="241"/>
      <c r="HJI5" s="241"/>
      <c r="HJJ5" s="241"/>
      <c r="HJK5" s="241"/>
      <c r="HJL5" s="241"/>
      <c r="HJM5" s="241"/>
      <c r="HJN5" s="241"/>
      <c r="HJO5" s="241"/>
      <c r="HJP5" s="241"/>
      <c r="HJQ5" s="241"/>
      <c r="HJR5" s="241"/>
      <c r="HJS5" s="241"/>
      <c r="HJT5" s="241"/>
      <c r="HJU5" s="241"/>
      <c r="HJV5" s="241"/>
      <c r="HJW5" s="241"/>
      <c r="HJX5" s="241"/>
      <c r="HJY5" s="241"/>
      <c r="HJZ5" s="241"/>
      <c r="HKA5" s="241"/>
      <c r="HKB5" s="241"/>
      <c r="HKC5" s="241"/>
      <c r="HKD5" s="241"/>
      <c r="HKE5" s="241"/>
      <c r="HKF5" s="241"/>
      <c r="HKG5" s="241"/>
      <c r="HKH5" s="241"/>
      <c r="HKI5" s="241"/>
      <c r="HKJ5" s="241"/>
      <c r="HKK5" s="241"/>
      <c r="HKL5" s="241"/>
      <c r="HKM5" s="241"/>
      <c r="HKN5" s="241"/>
      <c r="HKO5" s="241"/>
      <c r="HKP5" s="241"/>
      <c r="HKQ5" s="241"/>
      <c r="HKR5" s="241"/>
      <c r="HKS5" s="241"/>
      <c r="HKT5" s="241"/>
      <c r="HKU5" s="241"/>
      <c r="HKV5" s="241"/>
      <c r="HKW5" s="241"/>
      <c r="HKX5" s="241"/>
      <c r="HKY5" s="241"/>
      <c r="HKZ5" s="241"/>
      <c r="HLA5" s="241"/>
      <c r="HLB5" s="241"/>
      <c r="HLC5" s="241"/>
      <c r="HLD5" s="241"/>
      <c r="HLE5" s="241"/>
      <c r="HLF5" s="241"/>
      <c r="HLG5" s="241"/>
      <c r="HLH5" s="241"/>
      <c r="HLI5" s="241"/>
      <c r="HLJ5" s="241"/>
      <c r="HLK5" s="241"/>
      <c r="HLL5" s="241"/>
      <c r="HLM5" s="241"/>
      <c r="HLN5" s="241"/>
      <c r="HLO5" s="241"/>
      <c r="HLP5" s="241"/>
      <c r="HLQ5" s="241"/>
      <c r="HLR5" s="241"/>
      <c r="HLS5" s="241"/>
      <c r="HLT5" s="241"/>
      <c r="HLU5" s="241"/>
      <c r="HLV5" s="241"/>
      <c r="HLW5" s="241"/>
      <c r="HLX5" s="241"/>
      <c r="HLY5" s="241"/>
      <c r="HLZ5" s="241"/>
      <c r="HMA5" s="241"/>
      <c r="HMB5" s="241"/>
      <c r="HMC5" s="241"/>
      <c r="HMD5" s="241"/>
      <c r="HME5" s="241"/>
      <c r="HMF5" s="241"/>
      <c r="HMG5" s="241"/>
      <c r="HMH5" s="241"/>
      <c r="HMI5" s="241"/>
      <c r="HMJ5" s="241"/>
      <c r="HMK5" s="241"/>
      <c r="HML5" s="241"/>
      <c r="HMM5" s="241"/>
      <c r="HMN5" s="241"/>
      <c r="HMO5" s="241"/>
      <c r="HMP5" s="241"/>
      <c r="HMQ5" s="241"/>
      <c r="HMR5" s="241"/>
      <c r="HMS5" s="241"/>
      <c r="HMT5" s="241"/>
      <c r="HMU5" s="241"/>
      <c r="HMV5" s="241"/>
      <c r="HMW5" s="241"/>
      <c r="HMX5" s="241"/>
      <c r="HMY5" s="241"/>
      <c r="HMZ5" s="241"/>
      <c r="HNA5" s="241"/>
      <c r="HNB5" s="241"/>
      <c r="HNC5" s="241"/>
      <c r="HND5" s="241"/>
      <c r="HNE5" s="241"/>
      <c r="HNF5" s="241"/>
      <c r="HNG5" s="241"/>
      <c r="HNH5" s="241"/>
      <c r="HNI5" s="241"/>
      <c r="HNJ5" s="241"/>
      <c r="HNK5" s="241"/>
      <c r="HNL5" s="241"/>
      <c r="HNM5" s="241"/>
      <c r="HNN5" s="241"/>
      <c r="HNO5" s="241"/>
      <c r="HNP5" s="241"/>
      <c r="HNQ5" s="241"/>
      <c r="HNR5" s="241"/>
      <c r="HNS5" s="241"/>
      <c r="HNT5" s="241"/>
      <c r="HNU5" s="241"/>
      <c r="HNV5" s="241"/>
      <c r="HNW5" s="241"/>
      <c r="HNX5" s="241"/>
      <c r="HNY5" s="241"/>
      <c r="HNZ5" s="241"/>
      <c r="HOA5" s="241"/>
      <c r="HOB5" s="241"/>
      <c r="HOC5" s="241"/>
      <c r="HOD5" s="241"/>
      <c r="HOE5" s="241"/>
      <c r="HOF5" s="241"/>
      <c r="HOG5" s="241"/>
      <c r="HOH5" s="241"/>
      <c r="HOI5" s="241"/>
      <c r="HOJ5" s="241"/>
      <c r="HOK5" s="241"/>
      <c r="HOL5" s="241"/>
      <c r="HOM5" s="241"/>
      <c r="HON5" s="241"/>
      <c r="HOO5" s="241"/>
      <c r="HOP5" s="241"/>
      <c r="HOQ5" s="241"/>
      <c r="HOR5" s="241"/>
      <c r="HOS5" s="241"/>
      <c r="HOT5" s="241"/>
      <c r="HOU5" s="241"/>
      <c r="HOV5" s="241"/>
      <c r="HOW5" s="241"/>
      <c r="HOX5" s="241"/>
      <c r="HOY5" s="241"/>
      <c r="HOZ5" s="241"/>
      <c r="HPA5" s="241"/>
      <c r="HPB5" s="241"/>
      <c r="HPC5" s="241"/>
      <c r="HPD5" s="241"/>
      <c r="HPE5" s="241"/>
      <c r="HPF5" s="241"/>
      <c r="HPG5" s="241"/>
      <c r="HPH5" s="241"/>
      <c r="HPI5" s="241"/>
      <c r="HPJ5" s="241"/>
      <c r="HPK5" s="241"/>
      <c r="HPL5" s="241"/>
      <c r="HPM5" s="241"/>
      <c r="HPN5" s="241"/>
      <c r="HPO5" s="241"/>
      <c r="HPP5" s="241"/>
      <c r="HPQ5" s="241"/>
      <c r="HPR5" s="241"/>
      <c r="HPS5" s="241"/>
      <c r="HPT5" s="241"/>
      <c r="HPU5" s="241"/>
      <c r="HPV5" s="241"/>
      <c r="HPW5" s="241"/>
      <c r="HPX5" s="241"/>
      <c r="HPY5" s="241"/>
      <c r="HPZ5" s="241"/>
      <c r="HQA5" s="241"/>
      <c r="HQB5" s="241"/>
      <c r="HQC5" s="241"/>
      <c r="HQD5" s="241"/>
      <c r="HQE5" s="241"/>
      <c r="HQF5" s="241"/>
      <c r="HQG5" s="241"/>
      <c r="HQH5" s="241"/>
      <c r="HQI5" s="241"/>
      <c r="HQJ5" s="241"/>
      <c r="HQK5" s="241"/>
      <c r="HQL5" s="241"/>
      <c r="HQM5" s="241"/>
      <c r="HQN5" s="241"/>
      <c r="HQO5" s="241"/>
      <c r="HQP5" s="241"/>
      <c r="HQQ5" s="241"/>
      <c r="HQR5" s="241"/>
      <c r="HQS5" s="241"/>
      <c r="HQT5" s="241"/>
      <c r="HQU5" s="241"/>
      <c r="HQV5" s="241"/>
      <c r="HQW5" s="241"/>
      <c r="HQX5" s="241"/>
      <c r="HQY5" s="241"/>
      <c r="HQZ5" s="241"/>
      <c r="HRA5" s="241"/>
      <c r="HRB5" s="241"/>
      <c r="HRC5" s="241"/>
      <c r="HRD5" s="241"/>
      <c r="HRE5" s="241"/>
      <c r="HRF5" s="241"/>
      <c r="HRG5" s="241"/>
      <c r="HRH5" s="241"/>
      <c r="HRI5" s="241"/>
      <c r="HRJ5" s="241"/>
      <c r="HRK5" s="241"/>
      <c r="HRL5" s="241"/>
      <c r="HRM5" s="241"/>
      <c r="HRN5" s="241"/>
      <c r="HRO5" s="241"/>
      <c r="HRP5" s="241"/>
      <c r="HRQ5" s="241"/>
      <c r="HRR5" s="241"/>
      <c r="HRS5" s="241"/>
      <c r="HRT5" s="241"/>
      <c r="HRU5" s="241"/>
      <c r="HRV5" s="241"/>
      <c r="HRW5" s="241"/>
      <c r="HRX5" s="241"/>
      <c r="HRY5" s="241"/>
      <c r="HRZ5" s="241"/>
      <c r="HSA5" s="241"/>
      <c r="HSB5" s="241"/>
      <c r="HSC5" s="241"/>
      <c r="HSD5" s="241"/>
      <c r="HSE5" s="241"/>
      <c r="HSF5" s="241"/>
      <c r="HSG5" s="241"/>
      <c r="HSH5" s="241"/>
      <c r="HSI5" s="241"/>
      <c r="HSJ5" s="241"/>
      <c r="HSK5" s="241"/>
      <c r="HSL5" s="241"/>
      <c r="HSM5" s="241"/>
      <c r="HSN5" s="241"/>
      <c r="HSO5" s="241"/>
      <c r="HSP5" s="241"/>
      <c r="HSQ5" s="241"/>
      <c r="HSR5" s="241"/>
      <c r="HSS5" s="241"/>
      <c r="HST5" s="241"/>
      <c r="HSU5" s="241"/>
      <c r="HSV5" s="241"/>
      <c r="HSW5" s="241"/>
      <c r="HSX5" s="241"/>
      <c r="HSY5" s="241"/>
      <c r="HSZ5" s="241"/>
      <c r="HTA5" s="241"/>
      <c r="HTB5" s="241"/>
      <c r="HTC5" s="241"/>
      <c r="HTD5" s="241"/>
      <c r="HTE5" s="241"/>
      <c r="HTF5" s="241"/>
      <c r="HTG5" s="241"/>
      <c r="HTH5" s="241"/>
      <c r="HTI5" s="241"/>
      <c r="HTJ5" s="241"/>
      <c r="HTK5" s="241"/>
      <c r="HTL5" s="241"/>
      <c r="HTM5" s="241"/>
      <c r="HTN5" s="241"/>
      <c r="HTO5" s="241"/>
      <c r="HTP5" s="241"/>
      <c r="HTQ5" s="241"/>
      <c r="HTR5" s="241"/>
      <c r="HTS5" s="241"/>
      <c r="HTT5" s="241"/>
      <c r="HTU5" s="241"/>
      <c r="HTV5" s="241"/>
      <c r="HTW5" s="241"/>
      <c r="HTX5" s="241"/>
      <c r="HTY5" s="241"/>
      <c r="HTZ5" s="241"/>
      <c r="HUA5" s="241"/>
      <c r="HUB5" s="241"/>
      <c r="HUC5" s="241"/>
      <c r="HUD5" s="241"/>
      <c r="HUE5" s="241"/>
      <c r="HUF5" s="241"/>
      <c r="HUG5" s="241"/>
      <c r="HUH5" s="241"/>
      <c r="HUI5" s="241"/>
      <c r="HUJ5" s="241"/>
      <c r="HUK5" s="241"/>
      <c r="HUL5" s="241"/>
      <c r="HUM5" s="241"/>
      <c r="HUN5" s="241"/>
      <c r="HUO5" s="241"/>
      <c r="HUP5" s="241"/>
      <c r="HUQ5" s="241"/>
      <c r="HUR5" s="241"/>
      <c r="HUS5" s="241"/>
      <c r="HUT5" s="241"/>
      <c r="HUU5" s="241"/>
      <c r="HUV5" s="241"/>
      <c r="HUW5" s="241"/>
      <c r="HUX5" s="241"/>
      <c r="HUY5" s="241"/>
      <c r="HUZ5" s="241"/>
      <c r="HVA5" s="241"/>
      <c r="HVB5" s="241"/>
      <c r="HVC5" s="241"/>
      <c r="HVD5" s="241"/>
      <c r="HVE5" s="241"/>
      <c r="HVF5" s="241"/>
      <c r="HVG5" s="241"/>
      <c r="HVH5" s="241"/>
      <c r="HVI5" s="241"/>
      <c r="HVJ5" s="241"/>
      <c r="HVK5" s="241"/>
      <c r="HVL5" s="241"/>
      <c r="HVM5" s="241"/>
      <c r="HVN5" s="241"/>
      <c r="HVO5" s="241"/>
      <c r="HVP5" s="241"/>
      <c r="HVQ5" s="241"/>
      <c r="HVR5" s="241"/>
      <c r="HVS5" s="241"/>
      <c r="HVT5" s="241"/>
      <c r="HVU5" s="241"/>
      <c r="HVV5" s="241"/>
      <c r="HVW5" s="241"/>
      <c r="HVX5" s="241"/>
      <c r="HVY5" s="241"/>
      <c r="HVZ5" s="241"/>
      <c r="HWA5" s="241"/>
      <c r="HWB5" s="241"/>
      <c r="HWC5" s="241"/>
      <c r="HWD5" s="241"/>
      <c r="HWE5" s="241"/>
      <c r="HWF5" s="241"/>
      <c r="HWG5" s="241"/>
      <c r="HWH5" s="241"/>
      <c r="HWI5" s="241"/>
      <c r="HWJ5" s="241"/>
      <c r="HWK5" s="241"/>
      <c r="HWL5" s="241"/>
      <c r="HWM5" s="241"/>
      <c r="HWN5" s="241"/>
      <c r="HWO5" s="241"/>
      <c r="HWP5" s="241"/>
      <c r="HWQ5" s="241"/>
      <c r="HWR5" s="241"/>
      <c r="HWS5" s="241"/>
      <c r="HWT5" s="241"/>
      <c r="HWU5" s="241"/>
      <c r="HWV5" s="241"/>
      <c r="HWW5" s="241"/>
      <c r="HWX5" s="241"/>
      <c r="HWY5" s="241"/>
      <c r="HWZ5" s="241"/>
      <c r="HXA5" s="241"/>
      <c r="HXB5" s="241"/>
      <c r="HXC5" s="241"/>
      <c r="HXD5" s="241"/>
      <c r="HXE5" s="241"/>
      <c r="HXF5" s="241"/>
      <c r="HXG5" s="241"/>
      <c r="HXH5" s="241"/>
      <c r="HXI5" s="241"/>
      <c r="HXJ5" s="241"/>
      <c r="HXK5" s="241"/>
      <c r="HXL5" s="241"/>
      <c r="HXM5" s="241"/>
      <c r="HXN5" s="241"/>
      <c r="HXO5" s="241"/>
      <c r="HXP5" s="241"/>
      <c r="HXQ5" s="241"/>
      <c r="HXR5" s="241"/>
      <c r="HXS5" s="241"/>
      <c r="HXT5" s="241"/>
      <c r="HXU5" s="241"/>
      <c r="HXV5" s="241"/>
      <c r="HXW5" s="241"/>
      <c r="HXX5" s="241"/>
      <c r="HXY5" s="241"/>
      <c r="HXZ5" s="241"/>
      <c r="HYA5" s="241"/>
      <c r="HYB5" s="241"/>
      <c r="HYC5" s="241"/>
      <c r="HYD5" s="241"/>
      <c r="HYE5" s="241"/>
      <c r="HYF5" s="241"/>
      <c r="HYG5" s="241"/>
      <c r="HYH5" s="241"/>
      <c r="HYI5" s="241"/>
      <c r="HYJ5" s="241"/>
      <c r="HYK5" s="241"/>
      <c r="HYL5" s="241"/>
      <c r="HYM5" s="241"/>
      <c r="HYN5" s="241"/>
      <c r="HYO5" s="241"/>
      <c r="HYP5" s="241"/>
      <c r="HYQ5" s="241"/>
      <c r="HYR5" s="241"/>
      <c r="HYS5" s="241"/>
      <c r="HYT5" s="241"/>
      <c r="HYU5" s="241"/>
      <c r="HYV5" s="241"/>
      <c r="HYW5" s="241"/>
      <c r="HYX5" s="241"/>
      <c r="HYY5" s="241"/>
      <c r="HYZ5" s="241"/>
      <c r="HZA5" s="241"/>
      <c r="HZB5" s="241"/>
      <c r="HZC5" s="241"/>
      <c r="HZD5" s="241"/>
      <c r="HZE5" s="241"/>
      <c r="HZF5" s="241"/>
      <c r="HZG5" s="241"/>
      <c r="HZH5" s="241"/>
      <c r="HZI5" s="241"/>
      <c r="HZJ5" s="241"/>
      <c r="HZK5" s="241"/>
      <c r="HZL5" s="241"/>
      <c r="HZM5" s="241"/>
      <c r="HZN5" s="241"/>
      <c r="HZO5" s="241"/>
      <c r="HZP5" s="241"/>
      <c r="HZQ5" s="241"/>
      <c r="HZR5" s="241"/>
      <c r="HZS5" s="241"/>
      <c r="HZT5" s="241"/>
      <c r="HZU5" s="241"/>
      <c r="HZV5" s="241"/>
      <c r="HZW5" s="241"/>
      <c r="HZX5" s="241"/>
      <c r="HZY5" s="241"/>
      <c r="HZZ5" s="241"/>
      <c r="IAA5" s="241"/>
      <c r="IAB5" s="241"/>
      <c r="IAC5" s="241"/>
      <c r="IAD5" s="241"/>
      <c r="IAE5" s="241"/>
      <c r="IAF5" s="241"/>
      <c r="IAG5" s="241"/>
      <c r="IAH5" s="241"/>
      <c r="IAI5" s="241"/>
      <c r="IAJ5" s="241"/>
      <c r="IAK5" s="241"/>
      <c r="IAL5" s="241"/>
      <c r="IAM5" s="241"/>
      <c r="IAN5" s="241"/>
      <c r="IAO5" s="241"/>
      <c r="IAP5" s="241"/>
      <c r="IAQ5" s="241"/>
      <c r="IAR5" s="241"/>
      <c r="IAS5" s="241"/>
      <c r="IAT5" s="241"/>
      <c r="IAU5" s="241"/>
      <c r="IAV5" s="241"/>
      <c r="IAW5" s="241"/>
      <c r="IAX5" s="241"/>
      <c r="IAY5" s="241"/>
      <c r="IAZ5" s="241"/>
      <c r="IBA5" s="241"/>
      <c r="IBB5" s="241"/>
      <c r="IBC5" s="241"/>
      <c r="IBD5" s="241"/>
      <c r="IBE5" s="241"/>
      <c r="IBF5" s="241"/>
      <c r="IBG5" s="241"/>
      <c r="IBH5" s="241"/>
      <c r="IBI5" s="241"/>
      <c r="IBJ5" s="241"/>
      <c r="IBK5" s="241"/>
      <c r="IBL5" s="241"/>
      <c r="IBM5" s="241"/>
      <c r="IBN5" s="241"/>
      <c r="IBO5" s="241"/>
      <c r="IBP5" s="241"/>
      <c r="IBQ5" s="241"/>
      <c r="IBR5" s="241"/>
      <c r="IBS5" s="241"/>
      <c r="IBT5" s="241"/>
      <c r="IBU5" s="241"/>
      <c r="IBV5" s="241"/>
      <c r="IBW5" s="241"/>
      <c r="IBX5" s="241"/>
      <c r="IBY5" s="241"/>
      <c r="IBZ5" s="241"/>
      <c r="ICA5" s="241"/>
      <c r="ICB5" s="241"/>
      <c r="ICC5" s="241"/>
      <c r="ICD5" s="241"/>
      <c r="ICE5" s="241"/>
      <c r="ICF5" s="241"/>
      <c r="ICG5" s="241"/>
      <c r="ICH5" s="241"/>
      <c r="ICI5" s="241"/>
      <c r="ICJ5" s="241"/>
      <c r="ICK5" s="241"/>
      <c r="ICL5" s="241"/>
      <c r="ICM5" s="241"/>
      <c r="ICN5" s="241"/>
      <c r="ICO5" s="241"/>
      <c r="ICP5" s="241"/>
      <c r="ICQ5" s="241"/>
      <c r="ICR5" s="241"/>
      <c r="ICS5" s="241"/>
      <c r="ICT5" s="241"/>
      <c r="ICU5" s="241"/>
      <c r="ICV5" s="241"/>
      <c r="ICW5" s="241"/>
      <c r="ICX5" s="241"/>
      <c r="ICY5" s="241"/>
      <c r="ICZ5" s="241"/>
      <c r="IDA5" s="241"/>
      <c r="IDB5" s="241"/>
      <c r="IDC5" s="241"/>
      <c r="IDD5" s="241"/>
      <c r="IDE5" s="241"/>
      <c r="IDF5" s="241"/>
      <c r="IDG5" s="241"/>
      <c r="IDH5" s="241"/>
      <c r="IDI5" s="241"/>
      <c r="IDJ5" s="241"/>
      <c r="IDK5" s="241"/>
      <c r="IDL5" s="241"/>
      <c r="IDM5" s="241"/>
      <c r="IDN5" s="241"/>
      <c r="IDO5" s="241"/>
      <c r="IDP5" s="241"/>
      <c r="IDQ5" s="241"/>
      <c r="IDR5" s="241"/>
      <c r="IDS5" s="241"/>
      <c r="IDT5" s="241"/>
      <c r="IDU5" s="241"/>
      <c r="IDV5" s="241"/>
      <c r="IDW5" s="241"/>
      <c r="IDX5" s="241"/>
      <c r="IDY5" s="241"/>
      <c r="IDZ5" s="241"/>
      <c r="IEA5" s="241"/>
      <c r="IEB5" s="241"/>
      <c r="IEC5" s="241"/>
      <c r="IED5" s="241"/>
      <c r="IEE5" s="241"/>
      <c r="IEF5" s="241"/>
      <c r="IEG5" s="241"/>
      <c r="IEH5" s="241"/>
      <c r="IEI5" s="241"/>
      <c r="IEJ5" s="241"/>
      <c r="IEK5" s="241"/>
      <c r="IEL5" s="241"/>
      <c r="IEM5" s="241"/>
      <c r="IEN5" s="241"/>
      <c r="IEO5" s="241"/>
      <c r="IEP5" s="241"/>
      <c r="IEQ5" s="241"/>
      <c r="IER5" s="241"/>
      <c r="IES5" s="241"/>
      <c r="IET5" s="241"/>
      <c r="IEU5" s="241"/>
      <c r="IEV5" s="241"/>
      <c r="IEW5" s="241"/>
      <c r="IEX5" s="241"/>
      <c r="IEY5" s="241"/>
      <c r="IEZ5" s="241"/>
      <c r="IFA5" s="241"/>
      <c r="IFB5" s="241"/>
      <c r="IFC5" s="241"/>
      <c r="IFD5" s="241"/>
      <c r="IFE5" s="241"/>
      <c r="IFF5" s="241"/>
      <c r="IFG5" s="241"/>
      <c r="IFH5" s="241"/>
      <c r="IFI5" s="241"/>
      <c r="IFJ5" s="241"/>
      <c r="IFK5" s="241"/>
      <c r="IFL5" s="241"/>
      <c r="IFM5" s="241"/>
      <c r="IFN5" s="241"/>
      <c r="IFO5" s="241"/>
      <c r="IFP5" s="241"/>
      <c r="IFQ5" s="241"/>
      <c r="IFR5" s="241"/>
      <c r="IFS5" s="241"/>
      <c r="IFT5" s="241"/>
      <c r="IFU5" s="241"/>
      <c r="IFV5" s="241"/>
      <c r="IFW5" s="241"/>
      <c r="IFX5" s="241"/>
      <c r="IFY5" s="241"/>
      <c r="IFZ5" s="241"/>
      <c r="IGA5" s="241"/>
      <c r="IGB5" s="241"/>
      <c r="IGC5" s="241"/>
      <c r="IGD5" s="241"/>
      <c r="IGE5" s="241"/>
      <c r="IGF5" s="241"/>
      <c r="IGG5" s="241"/>
      <c r="IGH5" s="241"/>
      <c r="IGI5" s="241"/>
      <c r="IGJ5" s="241"/>
      <c r="IGK5" s="241"/>
      <c r="IGL5" s="241"/>
      <c r="IGM5" s="241"/>
      <c r="IGN5" s="241"/>
      <c r="IGO5" s="241"/>
      <c r="IGP5" s="241"/>
      <c r="IGQ5" s="241"/>
      <c r="IGR5" s="241"/>
      <c r="IGS5" s="241"/>
      <c r="IGT5" s="241"/>
      <c r="IGU5" s="241"/>
      <c r="IGV5" s="241"/>
      <c r="IGW5" s="241"/>
      <c r="IGX5" s="241"/>
      <c r="IGY5" s="241"/>
      <c r="IGZ5" s="241"/>
      <c r="IHA5" s="241"/>
      <c r="IHB5" s="241"/>
      <c r="IHC5" s="241"/>
      <c r="IHD5" s="241"/>
      <c r="IHE5" s="241"/>
      <c r="IHF5" s="241"/>
      <c r="IHG5" s="241"/>
      <c r="IHH5" s="241"/>
      <c r="IHI5" s="241"/>
      <c r="IHJ5" s="241"/>
      <c r="IHK5" s="241"/>
      <c r="IHL5" s="241"/>
      <c r="IHM5" s="241"/>
      <c r="IHN5" s="241"/>
      <c r="IHO5" s="241"/>
      <c r="IHP5" s="241"/>
      <c r="IHQ5" s="241"/>
      <c r="IHR5" s="241"/>
      <c r="IHS5" s="241"/>
      <c r="IHT5" s="241"/>
      <c r="IHU5" s="241"/>
      <c r="IHV5" s="241"/>
      <c r="IHW5" s="241"/>
      <c r="IHX5" s="241"/>
      <c r="IHY5" s="241"/>
      <c r="IHZ5" s="241"/>
      <c r="IIA5" s="241"/>
      <c r="IIB5" s="241"/>
      <c r="IIC5" s="241"/>
      <c r="IID5" s="241"/>
      <c r="IIE5" s="241"/>
      <c r="IIF5" s="241"/>
      <c r="IIG5" s="241"/>
      <c r="IIH5" s="241"/>
      <c r="III5" s="241"/>
      <c r="IIJ5" s="241"/>
      <c r="IIK5" s="241"/>
      <c r="IIL5" s="241"/>
      <c r="IIM5" s="241"/>
      <c r="IIN5" s="241"/>
      <c r="IIO5" s="241"/>
      <c r="IIP5" s="241"/>
      <c r="IIQ5" s="241"/>
      <c r="IIR5" s="241"/>
      <c r="IIS5" s="241"/>
      <c r="IIT5" s="241"/>
      <c r="IIU5" s="241"/>
      <c r="IIV5" s="241"/>
      <c r="IIW5" s="241"/>
      <c r="IIX5" s="241"/>
      <c r="IIY5" s="241"/>
      <c r="IIZ5" s="241"/>
      <c r="IJA5" s="241"/>
      <c r="IJB5" s="241"/>
      <c r="IJC5" s="241"/>
      <c r="IJD5" s="241"/>
      <c r="IJE5" s="241"/>
      <c r="IJF5" s="241"/>
      <c r="IJG5" s="241"/>
      <c r="IJH5" s="241"/>
      <c r="IJI5" s="241"/>
      <c r="IJJ5" s="241"/>
      <c r="IJK5" s="241"/>
      <c r="IJL5" s="241"/>
      <c r="IJM5" s="241"/>
      <c r="IJN5" s="241"/>
      <c r="IJO5" s="241"/>
      <c r="IJP5" s="241"/>
      <c r="IJQ5" s="241"/>
      <c r="IJR5" s="241"/>
      <c r="IJS5" s="241"/>
      <c r="IJT5" s="241"/>
      <c r="IJU5" s="241"/>
      <c r="IJV5" s="241"/>
      <c r="IJW5" s="241"/>
      <c r="IJX5" s="241"/>
      <c r="IJY5" s="241"/>
      <c r="IJZ5" s="241"/>
      <c r="IKA5" s="241"/>
      <c r="IKB5" s="241"/>
      <c r="IKC5" s="241"/>
      <c r="IKD5" s="241"/>
      <c r="IKE5" s="241"/>
      <c r="IKF5" s="241"/>
      <c r="IKG5" s="241"/>
      <c r="IKH5" s="241"/>
      <c r="IKI5" s="241"/>
      <c r="IKJ5" s="241"/>
      <c r="IKK5" s="241"/>
      <c r="IKL5" s="241"/>
      <c r="IKM5" s="241"/>
      <c r="IKN5" s="241"/>
      <c r="IKO5" s="241"/>
      <c r="IKP5" s="241"/>
      <c r="IKQ5" s="241"/>
      <c r="IKR5" s="241"/>
      <c r="IKS5" s="241"/>
      <c r="IKT5" s="241"/>
      <c r="IKU5" s="241"/>
      <c r="IKV5" s="241"/>
      <c r="IKW5" s="241"/>
      <c r="IKX5" s="241"/>
      <c r="IKY5" s="241"/>
      <c r="IKZ5" s="241"/>
      <c r="ILA5" s="241"/>
      <c r="ILB5" s="241"/>
      <c r="ILC5" s="241"/>
      <c r="ILD5" s="241"/>
      <c r="ILE5" s="241"/>
      <c r="ILF5" s="241"/>
      <c r="ILG5" s="241"/>
      <c r="ILH5" s="241"/>
      <c r="ILI5" s="241"/>
      <c r="ILJ5" s="241"/>
      <c r="ILK5" s="241"/>
      <c r="ILL5" s="241"/>
      <c r="ILM5" s="241"/>
      <c r="ILN5" s="241"/>
      <c r="ILO5" s="241"/>
      <c r="ILP5" s="241"/>
      <c r="ILQ5" s="241"/>
      <c r="ILR5" s="241"/>
      <c r="ILS5" s="241"/>
      <c r="ILT5" s="241"/>
      <c r="ILU5" s="241"/>
      <c r="ILV5" s="241"/>
      <c r="ILW5" s="241"/>
      <c r="ILX5" s="241"/>
      <c r="ILY5" s="241"/>
      <c r="ILZ5" s="241"/>
      <c r="IMA5" s="241"/>
      <c r="IMB5" s="241"/>
      <c r="IMC5" s="241"/>
      <c r="IMD5" s="241"/>
      <c r="IME5" s="241"/>
      <c r="IMF5" s="241"/>
      <c r="IMG5" s="241"/>
      <c r="IMH5" s="241"/>
      <c r="IMI5" s="241"/>
      <c r="IMJ5" s="241"/>
      <c r="IMK5" s="241"/>
      <c r="IML5" s="241"/>
      <c r="IMM5" s="241"/>
      <c r="IMN5" s="241"/>
      <c r="IMO5" s="241"/>
      <c r="IMP5" s="241"/>
      <c r="IMQ5" s="241"/>
      <c r="IMR5" s="241"/>
      <c r="IMS5" s="241"/>
      <c r="IMT5" s="241"/>
      <c r="IMU5" s="241"/>
      <c r="IMV5" s="241"/>
      <c r="IMW5" s="241"/>
      <c r="IMX5" s="241"/>
      <c r="IMY5" s="241"/>
      <c r="IMZ5" s="241"/>
      <c r="INA5" s="241"/>
      <c r="INB5" s="241"/>
      <c r="INC5" s="241"/>
      <c r="IND5" s="241"/>
      <c r="INE5" s="241"/>
      <c r="INF5" s="241"/>
      <c r="ING5" s="241"/>
      <c r="INH5" s="241"/>
      <c r="INI5" s="241"/>
      <c r="INJ5" s="241"/>
      <c r="INK5" s="241"/>
      <c r="INL5" s="241"/>
      <c r="INM5" s="241"/>
      <c r="INN5" s="241"/>
      <c r="INO5" s="241"/>
      <c r="INP5" s="241"/>
      <c r="INQ5" s="241"/>
      <c r="INR5" s="241"/>
      <c r="INS5" s="241"/>
      <c r="INT5" s="241"/>
      <c r="INU5" s="241"/>
      <c r="INV5" s="241"/>
      <c r="INW5" s="241"/>
      <c r="INX5" s="241"/>
      <c r="INY5" s="241"/>
      <c r="INZ5" s="241"/>
      <c r="IOA5" s="241"/>
      <c r="IOB5" s="241"/>
      <c r="IOC5" s="241"/>
      <c r="IOD5" s="241"/>
      <c r="IOE5" s="241"/>
      <c r="IOF5" s="241"/>
      <c r="IOG5" s="241"/>
      <c r="IOH5" s="241"/>
      <c r="IOI5" s="241"/>
      <c r="IOJ5" s="241"/>
      <c r="IOK5" s="241"/>
      <c r="IOL5" s="241"/>
      <c r="IOM5" s="241"/>
      <c r="ION5" s="241"/>
      <c r="IOO5" s="241"/>
      <c r="IOP5" s="241"/>
      <c r="IOQ5" s="241"/>
      <c r="IOR5" s="241"/>
      <c r="IOS5" s="241"/>
      <c r="IOT5" s="241"/>
      <c r="IOU5" s="241"/>
      <c r="IOV5" s="241"/>
      <c r="IOW5" s="241"/>
      <c r="IOX5" s="241"/>
      <c r="IOY5" s="241"/>
      <c r="IOZ5" s="241"/>
      <c r="IPA5" s="241"/>
      <c r="IPB5" s="241"/>
      <c r="IPC5" s="241"/>
      <c r="IPD5" s="241"/>
      <c r="IPE5" s="241"/>
      <c r="IPF5" s="241"/>
      <c r="IPG5" s="241"/>
      <c r="IPH5" s="241"/>
      <c r="IPI5" s="241"/>
      <c r="IPJ5" s="241"/>
      <c r="IPK5" s="241"/>
      <c r="IPL5" s="241"/>
      <c r="IPM5" s="241"/>
      <c r="IPN5" s="241"/>
      <c r="IPO5" s="241"/>
      <c r="IPP5" s="241"/>
      <c r="IPQ5" s="241"/>
      <c r="IPR5" s="241"/>
      <c r="IPS5" s="241"/>
      <c r="IPT5" s="241"/>
      <c r="IPU5" s="241"/>
      <c r="IPV5" s="241"/>
      <c r="IPW5" s="241"/>
      <c r="IPX5" s="241"/>
      <c r="IPY5" s="241"/>
      <c r="IPZ5" s="241"/>
      <c r="IQA5" s="241"/>
      <c r="IQB5" s="241"/>
      <c r="IQC5" s="241"/>
      <c r="IQD5" s="241"/>
      <c r="IQE5" s="241"/>
      <c r="IQF5" s="241"/>
      <c r="IQG5" s="241"/>
      <c r="IQH5" s="241"/>
      <c r="IQI5" s="241"/>
      <c r="IQJ5" s="241"/>
      <c r="IQK5" s="241"/>
      <c r="IQL5" s="241"/>
      <c r="IQM5" s="241"/>
      <c r="IQN5" s="241"/>
      <c r="IQO5" s="241"/>
      <c r="IQP5" s="241"/>
      <c r="IQQ5" s="241"/>
      <c r="IQR5" s="241"/>
      <c r="IQS5" s="241"/>
      <c r="IQT5" s="241"/>
      <c r="IQU5" s="241"/>
      <c r="IQV5" s="241"/>
      <c r="IQW5" s="241"/>
      <c r="IQX5" s="241"/>
      <c r="IQY5" s="241"/>
      <c r="IQZ5" s="241"/>
      <c r="IRA5" s="241"/>
      <c r="IRB5" s="241"/>
      <c r="IRC5" s="241"/>
      <c r="IRD5" s="241"/>
      <c r="IRE5" s="241"/>
      <c r="IRF5" s="241"/>
      <c r="IRG5" s="241"/>
      <c r="IRH5" s="241"/>
      <c r="IRI5" s="241"/>
      <c r="IRJ5" s="241"/>
      <c r="IRK5" s="241"/>
      <c r="IRL5" s="241"/>
      <c r="IRM5" s="241"/>
      <c r="IRN5" s="241"/>
      <c r="IRO5" s="241"/>
      <c r="IRP5" s="241"/>
      <c r="IRQ5" s="241"/>
      <c r="IRR5" s="241"/>
      <c r="IRS5" s="241"/>
      <c r="IRT5" s="241"/>
      <c r="IRU5" s="241"/>
      <c r="IRV5" s="241"/>
      <c r="IRW5" s="241"/>
      <c r="IRX5" s="241"/>
      <c r="IRY5" s="241"/>
      <c r="IRZ5" s="241"/>
      <c r="ISA5" s="241"/>
      <c r="ISB5" s="241"/>
      <c r="ISC5" s="241"/>
      <c r="ISD5" s="241"/>
      <c r="ISE5" s="241"/>
      <c r="ISF5" s="241"/>
      <c r="ISG5" s="241"/>
      <c r="ISH5" s="241"/>
      <c r="ISI5" s="241"/>
      <c r="ISJ5" s="241"/>
      <c r="ISK5" s="241"/>
      <c r="ISL5" s="241"/>
      <c r="ISM5" s="241"/>
      <c r="ISN5" s="241"/>
      <c r="ISO5" s="241"/>
      <c r="ISP5" s="241"/>
      <c r="ISQ5" s="241"/>
      <c r="ISR5" s="241"/>
      <c r="ISS5" s="241"/>
      <c r="IST5" s="241"/>
      <c r="ISU5" s="241"/>
      <c r="ISV5" s="241"/>
      <c r="ISW5" s="241"/>
      <c r="ISX5" s="241"/>
      <c r="ISY5" s="241"/>
      <c r="ISZ5" s="241"/>
      <c r="ITA5" s="241"/>
      <c r="ITB5" s="241"/>
      <c r="ITC5" s="241"/>
      <c r="ITD5" s="241"/>
      <c r="ITE5" s="241"/>
      <c r="ITF5" s="241"/>
      <c r="ITG5" s="241"/>
      <c r="ITH5" s="241"/>
      <c r="ITI5" s="241"/>
      <c r="ITJ5" s="241"/>
      <c r="ITK5" s="241"/>
      <c r="ITL5" s="241"/>
      <c r="ITM5" s="241"/>
      <c r="ITN5" s="241"/>
      <c r="ITO5" s="241"/>
      <c r="ITP5" s="241"/>
      <c r="ITQ5" s="241"/>
      <c r="ITR5" s="241"/>
      <c r="ITS5" s="241"/>
      <c r="ITT5" s="241"/>
      <c r="ITU5" s="241"/>
      <c r="ITV5" s="241"/>
      <c r="ITW5" s="241"/>
      <c r="ITX5" s="241"/>
      <c r="ITY5" s="241"/>
      <c r="ITZ5" s="241"/>
      <c r="IUA5" s="241"/>
      <c r="IUB5" s="241"/>
      <c r="IUC5" s="241"/>
      <c r="IUD5" s="241"/>
      <c r="IUE5" s="241"/>
      <c r="IUF5" s="241"/>
      <c r="IUG5" s="241"/>
      <c r="IUH5" s="241"/>
      <c r="IUI5" s="241"/>
      <c r="IUJ5" s="241"/>
      <c r="IUK5" s="241"/>
      <c r="IUL5" s="241"/>
      <c r="IUM5" s="241"/>
      <c r="IUN5" s="241"/>
      <c r="IUO5" s="241"/>
      <c r="IUP5" s="241"/>
      <c r="IUQ5" s="241"/>
      <c r="IUR5" s="241"/>
      <c r="IUS5" s="241"/>
      <c r="IUT5" s="241"/>
      <c r="IUU5" s="241"/>
      <c r="IUV5" s="241"/>
      <c r="IUW5" s="241"/>
      <c r="IUX5" s="241"/>
      <c r="IUY5" s="241"/>
      <c r="IUZ5" s="241"/>
      <c r="IVA5" s="241"/>
      <c r="IVB5" s="241"/>
      <c r="IVC5" s="241"/>
      <c r="IVD5" s="241"/>
      <c r="IVE5" s="241"/>
      <c r="IVF5" s="241"/>
      <c r="IVG5" s="241"/>
      <c r="IVH5" s="241"/>
      <c r="IVI5" s="241"/>
      <c r="IVJ5" s="241"/>
      <c r="IVK5" s="241"/>
      <c r="IVL5" s="241"/>
      <c r="IVM5" s="241"/>
      <c r="IVN5" s="241"/>
      <c r="IVO5" s="241"/>
      <c r="IVP5" s="241"/>
      <c r="IVQ5" s="241"/>
      <c r="IVR5" s="241"/>
      <c r="IVS5" s="241"/>
      <c r="IVT5" s="241"/>
      <c r="IVU5" s="241"/>
      <c r="IVV5" s="241"/>
      <c r="IVW5" s="241"/>
      <c r="IVX5" s="241"/>
      <c r="IVY5" s="241"/>
      <c r="IVZ5" s="241"/>
      <c r="IWA5" s="241"/>
      <c r="IWB5" s="241"/>
      <c r="IWC5" s="241"/>
      <c r="IWD5" s="241"/>
      <c r="IWE5" s="241"/>
      <c r="IWF5" s="241"/>
      <c r="IWG5" s="241"/>
      <c r="IWH5" s="241"/>
      <c r="IWI5" s="241"/>
      <c r="IWJ5" s="241"/>
      <c r="IWK5" s="241"/>
      <c r="IWL5" s="241"/>
      <c r="IWM5" s="241"/>
      <c r="IWN5" s="241"/>
      <c r="IWO5" s="241"/>
      <c r="IWP5" s="241"/>
      <c r="IWQ5" s="241"/>
      <c r="IWR5" s="241"/>
      <c r="IWS5" s="241"/>
      <c r="IWT5" s="241"/>
      <c r="IWU5" s="241"/>
      <c r="IWV5" s="241"/>
      <c r="IWW5" s="241"/>
      <c r="IWX5" s="241"/>
      <c r="IWY5" s="241"/>
      <c r="IWZ5" s="241"/>
      <c r="IXA5" s="241"/>
      <c r="IXB5" s="241"/>
      <c r="IXC5" s="241"/>
      <c r="IXD5" s="241"/>
      <c r="IXE5" s="241"/>
      <c r="IXF5" s="241"/>
      <c r="IXG5" s="241"/>
      <c r="IXH5" s="241"/>
      <c r="IXI5" s="241"/>
      <c r="IXJ5" s="241"/>
      <c r="IXK5" s="241"/>
      <c r="IXL5" s="241"/>
      <c r="IXM5" s="241"/>
      <c r="IXN5" s="241"/>
      <c r="IXO5" s="241"/>
      <c r="IXP5" s="241"/>
      <c r="IXQ5" s="241"/>
      <c r="IXR5" s="241"/>
      <c r="IXS5" s="241"/>
      <c r="IXT5" s="241"/>
      <c r="IXU5" s="241"/>
      <c r="IXV5" s="241"/>
      <c r="IXW5" s="241"/>
      <c r="IXX5" s="241"/>
      <c r="IXY5" s="241"/>
      <c r="IXZ5" s="241"/>
      <c r="IYA5" s="241"/>
      <c r="IYB5" s="241"/>
      <c r="IYC5" s="241"/>
      <c r="IYD5" s="241"/>
      <c r="IYE5" s="241"/>
      <c r="IYF5" s="241"/>
      <c r="IYG5" s="241"/>
      <c r="IYH5" s="241"/>
      <c r="IYI5" s="241"/>
      <c r="IYJ5" s="241"/>
      <c r="IYK5" s="241"/>
      <c r="IYL5" s="241"/>
      <c r="IYM5" s="241"/>
      <c r="IYN5" s="241"/>
      <c r="IYO5" s="241"/>
      <c r="IYP5" s="241"/>
      <c r="IYQ5" s="241"/>
      <c r="IYR5" s="241"/>
      <c r="IYS5" s="241"/>
      <c r="IYT5" s="241"/>
      <c r="IYU5" s="241"/>
      <c r="IYV5" s="241"/>
      <c r="IYW5" s="241"/>
      <c r="IYX5" s="241"/>
      <c r="IYY5" s="241"/>
      <c r="IYZ5" s="241"/>
      <c r="IZA5" s="241"/>
      <c r="IZB5" s="241"/>
      <c r="IZC5" s="241"/>
      <c r="IZD5" s="241"/>
      <c r="IZE5" s="241"/>
      <c r="IZF5" s="241"/>
      <c r="IZG5" s="241"/>
      <c r="IZH5" s="241"/>
      <c r="IZI5" s="241"/>
      <c r="IZJ5" s="241"/>
      <c r="IZK5" s="241"/>
      <c r="IZL5" s="241"/>
      <c r="IZM5" s="241"/>
      <c r="IZN5" s="241"/>
      <c r="IZO5" s="241"/>
      <c r="IZP5" s="241"/>
      <c r="IZQ5" s="241"/>
      <c r="IZR5" s="241"/>
      <c r="IZS5" s="241"/>
      <c r="IZT5" s="241"/>
      <c r="IZU5" s="241"/>
      <c r="IZV5" s="241"/>
      <c r="IZW5" s="241"/>
      <c r="IZX5" s="241"/>
      <c r="IZY5" s="241"/>
      <c r="IZZ5" s="241"/>
      <c r="JAA5" s="241"/>
      <c r="JAB5" s="241"/>
      <c r="JAC5" s="241"/>
      <c r="JAD5" s="241"/>
      <c r="JAE5" s="241"/>
      <c r="JAF5" s="241"/>
      <c r="JAG5" s="241"/>
      <c r="JAH5" s="241"/>
      <c r="JAI5" s="241"/>
      <c r="JAJ5" s="241"/>
      <c r="JAK5" s="241"/>
      <c r="JAL5" s="241"/>
      <c r="JAM5" s="241"/>
      <c r="JAN5" s="241"/>
      <c r="JAO5" s="241"/>
      <c r="JAP5" s="241"/>
      <c r="JAQ5" s="241"/>
      <c r="JAR5" s="241"/>
      <c r="JAS5" s="241"/>
      <c r="JAT5" s="241"/>
      <c r="JAU5" s="241"/>
      <c r="JAV5" s="241"/>
      <c r="JAW5" s="241"/>
      <c r="JAX5" s="241"/>
      <c r="JAY5" s="241"/>
      <c r="JAZ5" s="241"/>
      <c r="JBA5" s="241"/>
      <c r="JBB5" s="241"/>
      <c r="JBC5" s="241"/>
      <c r="JBD5" s="241"/>
      <c r="JBE5" s="241"/>
      <c r="JBF5" s="241"/>
      <c r="JBG5" s="241"/>
      <c r="JBH5" s="241"/>
      <c r="JBI5" s="241"/>
      <c r="JBJ5" s="241"/>
      <c r="JBK5" s="241"/>
      <c r="JBL5" s="241"/>
      <c r="JBM5" s="241"/>
      <c r="JBN5" s="241"/>
      <c r="JBO5" s="241"/>
      <c r="JBP5" s="241"/>
      <c r="JBQ5" s="241"/>
      <c r="JBR5" s="241"/>
      <c r="JBS5" s="241"/>
      <c r="JBT5" s="241"/>
      <c r="JBU5" s="241"/>
      <c r="JBV5" s="241"/>
      <c r="JBW5" s="241"/>
      <c r="JBX5" s="241"/>
      <c r="JBY5" s="241"/>
      <c r="JBZ5" s="241"/>
      <c r="JCA5" s="241"/>
      <c r="JCB5" s="241"/>
      <c r="JCC5" s="241"/>
      <c r="JCD5" s="241"/>
      <c r="JCE5" s="241"/>
      <c r="JCF5" s="241"/>
      <c r="JCG5" s="241"/>
      <c r="JCH5" s="241"/>
      <c r="JCI5" s="241"/>
      <c r="JCJ5" s="241"/>
      <c r="JCK5" s="241"/>
      <c r="JCL5" s="241"/>
      <c r="JCM5" s="241"/>
      <c r="JCN5" s="241"/>
      <c r="JCO5" s="241"/>
      <c r="JCP5" s="241"/>
      <c r="JCQ5" s="241"/>
      <c r="JCR5" s="241"/>
      <c r="JCS5" s="241"/>
      <c r="JCT5" s="241"/>
      <c r="JCU5" s="241"/>
      <c r="JCV5" s="241"/>
      <c r="JCW5" s="241"/>
      <c r="JCX5" s="241"/>
      <c r="JCY5" s="241"/>
      <c r="JCZ5" s="241"/>
      <c r="JDA5" s="241"/>
      <c r="JDB5" s="241"/>
      <c r="JDC5" s="241"/>
      <c r="JDD5" s="241"/>
      <c r="JDE5" s="241"/>
      <c r="JDF5" s="241"/>
      <c r="JDG5" s="241"/>
      <c r="JDH5" s="241"/>
      <c r="JDI5" s="241"/>
      <c r="JDJ5" s="241"/>
      <c r="JDK5" s="241"/>
      <c r="JDL5" s="241"/>
      <c r="JDM5" s="241"/>
      <c r="JDN5" s="241"/>
      <c r="JDO5" s="241"/>
      <c r="JDP5" s="241"/>
      <c r="JDQ5" s="241"/>
      <c r="JDR5" s="241"/>
      <c r="JDS5" s="241"/>
      <c r="JDT5" s="241"/>
      <c r="JDU5" s="241"/>
      <c r="JDV5" s="241"/>
      <c r="JDW5" s="241"/>
      <c r="JDX5" s="241"/>
      <c r="JDY5" s="241"/>
      <c r="JDZ5" s="241"/>
      <c r="JEA5" s="241"/>
      <c r="JEB5" s="241"/>
      <c r="JEC5" s="241"/>
      <c r="JED5" s="241"/>
      <c r="JEE5" s="241"/>
      <c r="JEF5" s="241"/>
      <c r="JEG5" s="241"/>
      <c r="JEH5" s="241"/>
      <c r="JEI5" s="241"/>
      <c r="JEJ5" s="241"/>
      <c r="JEK5" s="241"/>
      <c r="JEL5" s="241"/>
      <c r="JEM5" s="241"/>
      <c r="JEN5" s="241"/>
      <c r="JEO5" s="241"/>
      <c r="JEP5" s="241"/>
      <c r="JEQ5" s="241"/>
      <c r="JER5" s="241"/>
      <c r="JES5" s="241"/>
      <c r="JET5" s="241"/>
      <c r="JEU5" s="241"/>
      <c r="JEV5" s="241"/>
      <c r="JEW5" s="241"/>
      <c r="JEX5" s="241"/>
      <c r="JEY5" s="241"/>
      <c r="JEZ5" s="241"/>
      <c r="JFA5" s="241"/>
      <c r="JFB5" s="241"/>
      <c r="JFC5" s="241"/>
      <c r="JFD5" s="241"/>
      <c r="JFE5" s="241"/>
      <c r="JFF5" s="241"/>
      <c r="JFG5" s="241"/>
      <c r="JFH5" s="241"/>
      <c r="JFI5" s="241"/>
      <c r="JFJ5" s="241"/>
      <c r="JFK5" s="241"/>
      <c r="JFL5" s="241"/>
      <c r="JFM5" s="241"/>
      <c r="JFN5" s="241"/>
      <c r="JFO5" s="241"/>
      <c r="JFP5" s="241"/>
      <c r="JFQ5" s="241"/>
      <c r="JFR5" s="241"/>
      <c r="JFS5" s="241"/>
      <c r="JFT5" s="241"/>
      <c r="JFU5" s="241"/>
      <c r="JFV5" s="241"/>
      <c r="JFW5" s="241"/>
      <c r="JFX5" s="241"/>
      <c r="JFY5" s="241"/>
      <c r="JFZ5" s="241"/>
      <c r="JGA5" s="241"/>
      <c r="JGB5" s="241"/>
      <c r="JGC5" s="241"/>
      <c r="JGD5" s="241"/>
      <c r="JGE5" s="241"/>
      <c r="JGF5" s="241"/>
      <c r="JGG5" s="241"/>
      <c r="JGH5" s="241"/>
      <c r="JGI5" s="241"/>
      <c r="JGJ5" s="241"/>
      <c r="JGK5" s="241"/>
      <c r="JGL5" s="241"/>
      <c r="JGM5" s="241"/>
      <c r="JGN5" s="241"/>
      <c r="JGO5" s="241"/>
      <c r="JGP5" s="241"/>
      <c r="JGQ5" s="241"/>
      <c r="JGR5" s="241"/>
      <c r="JGS5" s="241"/>
      <c r="JGT5" s="241"/>
      <c r="JGU5" s="241"/>
      <c r="JGV5" s="241"/>
      <c r="JGW5" s="241"/>
      <c r="JGX5" s="241"/>
      <c r="JGY5" s="241"/>
      <c r="JGZ5" s="241"/>
      <c r="JHA5" s="241"/>
      <c r="JHB5" s="241"/>
      <c r="JHC5" s="241"/>
      <c r="JHD5" s="241"/>
      <c r="JHE5" s="241"/>
      <c r="JHF5" s="241"/>
      <c r="JHG5" s="241"/>
      <c r="JHH5" s="241"/>
      <c r="JHI5" s="241"/>
      <c r="JHJ5" s="241"/>
      <c r="JHK5" s="241"/>
      <c r="JHL5" s="241"/>
      <c r="JHM5" s="241"/>
      <c r="JHN5" s="241"/>
      <c r="JHO5" s="241"/>
      <c r="JHP5" s="241"/>
      <c r="JHQ5" s="241"/>
      <c r="JHR5" s="241"/>
      <c r="JHS5" s="241"/>
      <c r="JHT5" s="241"/>
      <c r="JHU5" s="241"/>
      <c r="JHV5" s="241"/>
      <c r="JHW5" s="241"/>
      <c r="JHX5" s="241"/>
      <c r="JHY5" s="241"/>
      <c r="JHZ5" s="241"/>
      <c r="JIA5" s="241"/>
      <c r="JIB5" s="241"/>
      <c r="JIC5" s="241"/>
      <c r="JID5" s="241"/>
      <c r="JIE5" s="241"/>
      <c r="JIF5" s="241"/>
      <c r="JIG5" s="241"/>
      <c r="JIH5" s="241"/>
      <c r="JII5" s="241"/>
      <c r="JIJ5" s="241"/>
      <c r="JIK5" s="241"/>
      <c r="JIL5" s="241"/>
      <c r="JIM5" s="241"/>
      <c r="JIN5" s="241"/>
      <c r="JIO5" s="241"/>
      <c r="JIP5" s="241"/>
      <c r="JIQ5" s="241"/>
      <c r="JIR5" s="241"/>
      <c r="JIS5" s="241"/>
      <c r="JIT5" s="241"/>
      <c r="JIU5" s="241"/>
      <c r="JIV5" s="241"/>
      <c r="JIW5" s="241"/>
      <c r="JIX5" s="241"/>
      <c r="JIY5" s="241"/>
      <c r="JIZ5" s="241"/>
      <c r="JJA5" s="241"/>
      <c r="JJB5" s="241"/>
      <c r="JJC5" s="241"/>
      <c r="JJD5" s="241"/>
      <c r="JJE5" s="241"/>
      <c r="JJF5" s="241"/>
      <c r="JJG5" s="241"/>
      <c r="JJH5" s="241"/>
      <c r="JJI5" s="241"/>
      <c r="JJJ5" s="241"/>
      <c r="JJK5" s="241"/>
      <c r="JJL5" s="241"/>
      <c r="JJM5" s="241"/>
      <c r="JJN5" s="241"/>
      <c r="JJO5" s="241"/>
      <c r="JJP5" s="241"/>
      <c r="JJQ5" s="241"/>
      <c r="JJR5" s="241"/>
      <c r="JJS5" s="241"/>
      <c r="JJT5" s="241"/>
      <c r="JJU5" s="241"/>
      <c r="JJV5" s="241"/>
      <c r="JJW5" s="241"/>
      <c r="JJX5" s="241"/>
      <c r="JJY5" s="241"/>
      <c r="JJZ5" s="241"/>
      <c r="JKA5" s="241"/>
      <c r="JKB5" s="241"/>
      <c r="JKC5" s="241"/>
      <c r="JKD5" s="241"/>
      <c r="JKE5" s="241"/>
      <c r="JKF5" s="241"/>
      <c r="JKG5" s="241"/>
      <c r="JKH5" s="241"/>
      <c r="JKI5" s="241"/>
      <c r="JKJ5" s="241"/>
      <c r="JKK5" s="241"/>
      <c r="JKL5" s="241"/>
      <c r="JKM5" s="241"/>
      <c r="JKN5" s="241"/>
      <c r="JKO5" s="241"/>
      <c r="JKP5" s="241"/>
      <c r="JKQ5" s="241"/>
      <c r="JKR5" s="241"/>
      <c r="JKS5" s="241"/>
      <c r="JKT5" s="241"/>
      <c r="JKU5" s="241"/>
      <c r="JKV5" s="241"/>
      <c r="JKW5" s="241"/>
      <c r="JKX5" s="241"/>
      <c r="JKY5" s="241"/>
      <c r="JKZ5" s="241"/>
      <c r="JLA5" s="241"/>
      <c r="JLB5" s="241"/>
      <c r="JLC5" s="241"/>
      <c r="JLD5" s="241"/>
      <c r="JLE5" s="241"/>
      <c r="JLF5" s="241"/>
      <c r="JLG5" s="241"/>
      <c r="JLH5" s="241"/>
      <c r="JLI5" s="241"/>
      <c r="JLJ5" s="241"/>
      <c r="JLK5" s="241"/>
      <c r="JLL5" s="241"/>
      <c r="JLM5" s="241"/>
      <c r="JLN5" s="241"/>
      <c r="JLO5" s="241"/>
      <c r="JLP5" s="241"/>
      <c r="JLQ5" s="241"/>
      <c r="JLR5" s="241"/>
      <c r="JLS5" s="241"/>
      <c r="JLT5" s="241"/>
      <c r="JLU5" s="241"/>
      <c r="JLV5" s="241"/>
      <c r="JLW5" s="241"/>
      <c r="JLX5" s="241"/>
      <c r="JLY5" s="241"/>
      <c r="JLZ5" s="241"/>
      <c r="JMA5" s="241"/>
      <c r="JMB5" s="241"/>
      <c r="JMC5" s="241"/>
      <c r="JMD5" s="241"/>
      <c r="JME5" s="241"/>
      <c r="JMF5" s="241"/>
      <c r="JMG5" s="241"/>
      <c r="JMH5" s="241"/>
      <c r="JMI5" s="241"/>
      <c r="JMJ5" s="241"/>
      <c r="JMK5" s="241"/>
      <c r="JML5" s="241"/>
      <c r="JMM5" s="241"/>
      <c r="JMN5" s="241"/>
      <c r="JMO5" s="241"/>
      <c r="JMP5" s="241"/>
      <c r="JMQ5" s="241"/>
      <c r="JMR5" s="241"/>
      <c r="JMS5" s="241"/>
      <c r="JMT5" s="241"/>
      <c r="JMU5" s="241"/>
      <c r="JMV5" s="241"/>
      <c r="JMW5" s="241"/>
      <c r="JMX5" s="241"/>
      <c r="JMY5" s="241"/>
      <c r="JMZ5" s="241"/>
      <c r="JNA5" s="241"/>
      <c r="JNB5" s="241"/>
      <c r="JNC5" s="241"/>
      <c r="JND5" s="241"/>
      <c r="JNE5" s="241"/>
      <c r="JNF5" s="241"/>
      <c r="JNG5" s="241"/>
      <c r="JNH5" s="241"/>
      <c r="JNI5" s="241"/>
      <c r="JNJ5" s="241"/>
      <c r="JNK5" s="241"/>
      <c r="JNL5" s="241"/>
      <c r="JNM5" s="241"/>
      <c r="JNN5" s="241"/>
      <c r="JNO5" s="241"/>
      <c r="JNP5" s="241"/>
      <c r="JNQ5" s="241"/>
      <c r="JNR5" s="241"/>
      <c r="JNS5" s="241"/>
      <c r="JNT5" s="241"/>
      <c r="JNU5" s="241"/>
      <c r="JNV5" s="241"/>
      <c r="JNW5" s="241"/>
      <c r="JNX5" s="241"/>
      <c r="JNY5" s="241"/>
      <c r="JNZ5" s="241"/>
      <c r="JOA5" s="241"/>
      <c r="JOB5" s="241"/>
      <c r="JOC5" s="241"/>
      <c r="JOD5" s="241"/>
      <c r="JOE5" s="241"/>
      <c r="JOF5" s="241"/>
      <c r="JOG5" s="241"/>
      <c r="JOH5" s="241"/>
      <c r="JOI5" s="241"/>
      <c r="JOJ5" s="241"/>
      <c r="JOK5" s="241"/>
      <c r="JOL5" s="241"/>
      <c r="JOM5" s="241"/>
      <c r="JON5" s="241"/>
      <c r="JOO5" s="241"/>
      <c r="JOP5" s="241"/>
      <c r="JOQ5" s="241"/>
      <c r="JOR5" s="241"/>
      <c r="JOS5" s="241"/>
      <c r="JOT5" s="241"/>
      <c r="JOU5" s="241"/>
      <c r="JOV5" s="241"/>
      <c r="JOW5" s="241"/>
      <c r="JOX5" s="241"/>
      <c r="JOY5" s="241"/>
      <c r="JOZ5" s="241"/>
      <c r="JPA5" s="241"/>
      <c r="JPB5" s="241"/>
      <c r="JPC5" s="241"/>
      <c r="JPD5" s="241"/>
      <c r="JPE5" s="241"/>
      <c r="JPF5" s="241"/>
      <c r="JPG5" s="241"/>
      <c r="JPH5" s="241"/>
      <c r="JPI5" s="241"/>
      <c r="JPJ5" s="241"/>
      <c r="JPK5" s="241"/>
      <c r="JPL5" s="241"/>
      <c r="JPM5" s="241"/>
      <c r="JPN5" s="241"/>
      <c r="JPO5" s="241"/>
      <c r="JPP5" s="241"/>
      <c r="JPQ5" s="241"/>
      <c r="JPR5" s="241"/>
      <c r="JPS5" s="241"/>
      <c r="JPT5" s="241"/>
      <c r="JPU5" s="241"/>
      <c r="JPV5" s="241"/>
      <c r="JPW5" s="241"/>
      <c r="JPX5" s="241"/>
      <c r="JPY5" s="241"/>
      <c r="JPZ5" s="241"/>
      <c r="JQA5" s="241"/>
      <c r="JQB5" s="241"/>
      <c r="JQC5" s="241"/>
      <c r="JQD5" s="241"/>
      <c r="JQE5" s="241"/>
      <c r="JQF5" s="241"/>
      <c r="JQG5" s="241"/>
      <c r="JQH5" s="241"/>
      <c r="JQI5" s="241"/>
      <c r="JQJ5" s="241"/>
      <c r="JQK5" s="241"/>
      <c r="JQL5" s="241"/>
      <c r="JQM5" s="241"/>
      <c r="JQN5" s="241"/>
      <c r="JQO5" s="241"/>
      <c r="JQP5" s="241"/>
      <c r="JQQ5" s="241"/>
      <c r="JQR5" s="241"/>
      <c r="JQS5" s="241"/>
      <c r="JQT5" s="241"/>
      <c r="JQU5" s="241"/>
      <c r="JQV5" s="241"/>
      <c r="JQW5" s="241"/>
      <c r="JQX5" s="241"/>
      <c r="JQY5" s="241"/>
      <c r="JQZ5" s="241"/>
      <c r="JRA5" s="241"/>
      <c r="JRB5" s="241"/>
      <c r="JRC5" s="241"/>
      <c r="JRD5" s="241"/>
      <c r="JRE5" s="241"/>
      <c r="JRF5" s="241"/>
      <c r="JRG5" s="241"/>
      <c r="JRH5" s="241"/>
      <c r="JRI5" s="241"/>
      <c r="JRJ5" s="241"/>
      <c r="JRK5" s="241"/>
      <c r="JRL5" s="241"/>
      <c r="JRM5" s="241"/>
      <c r="JRN5" s="241"/>
      <c r="JRO5" s="241"/>
      <c r="JRP5" s="241"/>
      <c r="JRQ5" s="241"/>
      <c r="JRR5" s="241"/>
      <c r="JRS5" s="241"/>
      <c r="JRT5" s="241"/>
      <c r="JRU5" s="241"/>
      <c r="JRV5" s="241"/>
      <c r="JRW5" s="241"/>
      <c r="JRX5" s="241"/>
      <c r="JRY5" s="241"/>
      <c r="JRZ5" s="241"/>
      <c r="JSA5" s="241"/>
      <c r="JSB5" s="241"/>
      <c r="JSC5" s="241"/>
      <c r="JSD5" s="241"/>
      <c r="JSE5" s="241"/>
      <c r="JSF5" s="241"/>
      <c r="JSG5" s="241"/>
      <c r="JSH5" s="241"/>
      <c r="JSI5" s="241"/>
      <c r="JSJ5" s="241"/>
      <c r="JSK5" s="241"/>
      <c r="JSL5" s="241"/>
      <c r="JSM5" s="241"/>
      <c r="JSN5" s="241"/>
      <c r="JSO5" s="241"/>
      <c r="JSP5" s="241"/>
      <c r="JSQ5" s="241"/>
      <c r="JSR5" s="241"/>
      <c r="JSS5" s="241"/>
      <c r="JST5" s="241"/>
      <c r="JSU5" s="241"/>
      <c r="JSV5" s="241"/>
      <c r="JSW5" s="241"/>
      <c r="JSX5" s="241"/>
      <c r="JSY5" s="241"/>
      <c r="JSZ5" s="241"/>
      <c r="JTA5" s="241"/>
      <c r="JTB5" s="241"/>
      <c r="JTC5" s="241"/>
      <c r="JTD5" s="241"/>
      <c r="JTE5" s="241"/>
      <c r="JTF5" s="241"/>
      <c r="JTG5" s="241"/>
      <c r="JTH5" s="241"/>
      <c r="JTI5" s="241"/>
      <c r="JTJ5" s="241"/>
      <c r="JTK5" s="241"/>
      <c r="JTL5" s="241"/>
      <c r="JTM5" s="241"/>
      <c r="JTN5" s="241"/>
      <c r="JTO5" s="241"/>
      <c r="JTP5" s="241"/>
      <c r="JTQ5" s="241"/>
      <c r="JTR5" s="241"/>
      <c r="JTS5" s="241"/>
      <c r="JTT5" s="241"/>
      <c r="JTU5" s="241"/>
      <c r="JTV5" s="241"/>
      <c r="JTW5" s="241"/>
      <c r="JTX5" s="241"/>
      <c r="JTY5" s="241"/>
      <c r="JTZ5" s="241"/>
      <c r="JUA5" s="241"/>
      <c r="JUB5" s="241"/>
      <c r="JUC5" s="241"/>
      <c r="JUD5" s="241"/>
      <c r="JUE5" s="241"/>
      <c r="JUF5" s="241"/>
      <c r="JUG5" s="241"/>
      <c r="JUH5" s="241"/>
      <c r="JUI5" s="241"/>
      <c r="JUJ5" s="241"/>
      <c r="JUK5" s="241"/>
      <c r="JUL5" s="241"/>
      <c r="JUM5" s="241"/>
      <c r="JUN5" s="241"/>
      <c r="JUO5" s="241"/>
      <c r="JUP5" s="241"/>
      <c r="JUQ5" s="241"/>
      <c r="JUR5" s="241"/>
      <c r="JUS5" s="241"/>
      <c r="JUT5" s="241"/>
      <c r="JUU5" s="241"/>
      <c r="JUV5" s="241"/>
      <c r="JUW5" s="241"/>
      <c r="JUX5" s="241"/>
      <c r="JUY5" s="241"/>
      <c r="JUZ5" s="241"/>
      <c r="JVA5" s="241"/>
      <c r="JVB5" s="241"/>
      <c r="JVC5" s="241"/>
      <c r="JVD5" s="241"/>
      <c r="JVE5" s="241"/>
      <c r="JVF5" s="241"/>
      <c r="JVG5" s="241"/>
      <c r="JVH5" s="241"/>
      <c r="JVI5" s="241"/>
      <c r="JVJ5" s="241"/>
      <c r="JVK5" s="241"/>
      <c r="JVL5" s="241"/>
      <c r="JVM5" s="241"/>
      <c r="JVN5" s="241"/>
      <c r="JVO5" s="241"/>
      <c r="JVP5" s="241"/>
      <c r="JVQ5" s="241"/>
      <c r="JVR5" s="241"/>
      <c r="JVS5" s="241"/>
      <c r="JVT5" s="241"/>
      <c r="JVU5" s="241"/>
      <c r="JVV5" s="241"/>
      <c r="JVW5" s="241"/>
      <c r="JVX5" s="241"/>
      <c r="JVY5" s="241"/>
      <c r="JVZ5" s="241"/>
      <c r="JWA5" s="241"/>
      <c r="JWB5" s="241"/>
      <c r="JWC5" s="241"/>
      <c r="JWD5" s="241"/>
      <c r="JWE5" s="241"/>
      <c r="JWF5" s="241"/>
      <c r="JWG5" s="241"/>
      <c r="JWH5" s="241"/>
      <c r="JWI5" s="241"/>
      <c r="JWJ5" s="241"/>
      <c r="JWK5" s="241"/>
      <c r="JWL5" s="241"/>
      <c r="JWM5" s="241"/>
      <c r="JWN5" s="241"/>
      <c r="JWO5" s="241"/>
      <c r="JWP5" s="241"/>
      <c r="JWQ5" s="241"/>
      <c r="JWR5" s="241"/>
      <c r="JWS5" s="241"/>
      <c r="JWT5" s="241"/>
      <c r="JWU5" s="241"/>
      <c r="JWV5" s="241"/>
      <c r="JWW5" s="241"/>
      <c r="JWX5" s="241"/>
      <c r="JWY5" s="241"/>
      <c r="JWZ5" s="241"/>
      <c r="JXA5" s="241"/>
      <c r="JXB5" s="241"/>
      <c r="JXC5" s="241"/>
      <c r="JXD5" s="241"/>
      <c r="JXE5" s="241"/>
      <c r="JXF5" s="241"/>
      <c r="JXG5" s="241"/>
      <c r="JXH5" s="241"/>
      <c r="JXI5" s="241"/>
      <c r="JXJ5" s="241"/>
      <c r="JXK5" s="241"/>
      <c r="JXL5" s="241"/>
      <c r="JXM5" s="241"/>
      <c r="JXN5" s="241"/>
      <c r="JXO5" s="241"/>
      <c r="JXP5" s="241"/>
      <c r="JXQ5" s="241"/>
      <c r="JXR5" s="241"/>
      <c r="JXS5" s="241"/>
      <c r="JXT5" s="241"/>
      <c r="JXU5" s="241"/>
      <c r="JXV5" s="241"/>
      <c r="JXW5" s="241"/>
      <c r="JXX5" s="241"/>
      <c r="JXY5" s="241"/>
      <c r="JXZ5" s="241"/>
      <c r="JYA5" s="241"/>
      <c r="JYB5" s="241"/>
      <c r="JYC5" s="241"/>
      <c r="JYD5" s="241"/>
      <c r="JYE5" s="241"/>
      <c r="JYF5" s="241"/>
      <c r="JYG5" s="241"/>
      <c r="JYH5" s="241"/>
      <c r="JYI5" s="241"/>
      <c r="JYJ5" s="241"/>
      <c r="JYK5" s="241"/>
      <c r="JYL5" s="241"/>
      <c r="JYM5" s="241"/>
      <c r="JYN5" s="241"/>
      <c r="JYO5" s="241"/>
      <c r="JYP5" s="241"/>
      <c r="JYQ5" s="241"/>
      <c r="JYR5" s="241"/>
      <c r="JYS5" s="241"/>
      <c r="JYT5" s="241"/>
      <c r="JYU5" s="241"/>
      <c r="JYV5" s="241"/>
      <c r="JYW5" s="241"/>
      <c r="JYX5" s="241"/>
      <c r="JYY5" s="241"/>
      <c r="JYZ5" s="241"/>
      <c r="JZA5" s="241"/>
      <c r="JZB5" s="241"/>
      <c r="JZC5" s="241"/>
      <c r="JZD5" s="241"/>
      <c r="JZE5" s="241"/>
      <c r="JZF5" s="241"/>
      <c r="JZG5" s="241"/>
      <c r="JZH5" s="241"/>
      <c r="JZI5" s="241"/>
      <c r="JZJ5" s="241"/>
      <c r="JZK5" s="241"/>
      <c r="JZL5" s="241"/>
      <c r="JZM5" s="241"/>
      <c r="JZN5" s="241"/>
      <c r="JZO5" s="241"/>
      <c r="JZP5" s="241"/>
      <c r="JZQ5" s="241"/>
      <c r="JZR5" s="241"/>
      <c r="JZS5" s="241"/>
      <c r="JZT5" s="241"/>
      <c r="JZU5" s="241"/>
      <c r="JZV5" s="241"/>
      <c r="JZW5" s="241"/>
      <c r="JZX5" s="241"/>
      <c r="JZY5" s="241"/>
      <c r="JZZ5" s="241"/>
      <c r="KAA5" s="241"/>
      <c r="KAB5" s="241"/>
      <c r="KAC5" s="241"/>
      <c r="KAD5" s="241"/>
      <c r="KAE5" s="241"/>
      <c r="KAF5" s="241"/>
      <c r="KAG5" s="241"/>
      <c r="KAH5" s="241"/>
      <c r="KAI5" s="241"/>
      <c r="KAJ5" s="241"/>
      <c r="KAK5" s="241"/>
      <c r="KAL5" s="241"/>
      <c r="KAM5" s="241"/>
      <c r="KAN5" s="241"/>
      <c r="KAO5" s="241"/>
      <c r="KAP5" s="241"/>
      <c r="KAQ5" s="241"/>
      <c r="KAR5" s="241"/>
      <c r="KAS5" s="241"/>
      <c r="KAT5" s="241"/>
      <c r="KAU5" s="241"/>
      <c r="KAV5" s="241"/>
      <c r="KAW5" s="241"/>
      <c r="KAX5" s="241"/>
      <c r="KAY5" s="241"/>
      <c r="KAZ5" s="241"/>
      <c r="KBA5" s="241"/>
      <c r="KBB5" s="241"/>
      <c r="KBC5" s="241"/>
      <c r="KBD5" s="241"/>
      <c r="KBE5" s="241"/>
      <c r="KBF5" s="241"/>
      <c r="KBG5" s="241"/>
      <c r="KBH5" s="241"/>
      <c r="KBI5" s="241"/>
      <c r="KBJ5" s="241"/>
      <c r="KBK5" s="241"/>
      <c r="KBL5" s="241"/>
      <c r="KBM5" s="241"/>
      <c r="KBN5" s="241"/>
      <c r="KBO5" s="241"/>
      <c r="KBP5" s="241"/>
      <c r="KBQ5" s="241"/>
      <c r="KBR5" s="241"/>
      <c r="KBS5" s="241"/>
      <c r="KBT5" s="241"/>
      <c r="KBU5" s="241"/>
      <c r="KBV5" s="241"/>
      <c r="KBW5" s="241"/>
      <c r="KBX5" s="241"/>
      <c r="KBY5" s="241"/>
      <c r="KBZ5" s="241"/>
      <c r="KCA5" s="241"/>
      <c r="KCB5" s="241"/>
      <c r="KCC5" s="241"/>
      <c r="KCD5" s="241"/>
      <c r="KCE5" s="241"/>
      <c r="KCF5" s="241"/>
      <c r="KCG5" s="241"/>
      <c r="KCH5" s="241"/>
      <c r="KCI5" s="241"/>
      <c r="KCJ5" s="241"/>
      <c r="KCK5" s="241"/>
      <c r="KCL5" s="241"/>
      <c r="KCM5" s="241"/>
      <c r="KCN5" s="241"/>
      <c r="KCO5" s="241"/>
      <c r="KCP5" s="241"/>
      <c r="KCQ5" s="241"/>
      <c r="KCR5" s="241"/>
      <c r="KCS5" s="241"/>
      <c r="KCT5" s="241"/>
      <c r="KCU5" s="241"/>
      <c r="KCV5" s="241"/>
      <c r="KCW5" s="241"/>
      <c r="KCX5" s="241"/>
      <c r="KCY5" s="241"/>
      <c r="KCZ5" s="241"/>
      <c r="KDA5" s="241"/>
      <c r="KDB5" s="241"/>
      <c r="KDC5" s="241"/>
      <c r="KDD5" s="241"/>
      <c r="KDE5" s="241"/>
      <c r="KDF5" s="241"/>
      <c r="KDG5" s="241"/>
      <c r="KDH5" s="241"/>
      <c r="KDI5" s="241"/>
      <c r="KDJ5" s="241"/>
      <c r="KDK5" s="241"/>
      <c r="KDL5" s="241"/>
      <c r="KDM5" s="241"/>
      <c r="KDN5" s="241"/>
      <c r="KDO5" s="241"/>
      <c r="KDP5" s="241"/>
      <c r="KDQ5" s="241"/>
      <c r="KDR5" s="241"/>
      <c r="KDS5" s="241"/>
      <c r="KDT5" s="241"/>
      <c r="KDU5" s="241"/>
      <c r="KDV5" s="241"/>
      <c r="KDW5" s="241"/>
      <c r="KDX5" s="241"/>
      <c r="KDY5" s="241"/>
      <c r="KDZ5" s="241"/>
      <c r="KEA5" s="241"/>
      <c r="KEB5" s="241"/>
      <c r="KEC5" s="241"/>
      <c r="KED5" s="241"/>
      <c r="KEE5" s="241"/>
      <c r="KEF5" s="241"/>
      <c r="KEG5" s="241"/>
      <c r="KEH5" s="241"/>
      <c r="KEI5" s="241"/>
      <c r="KEJ5" s="241"/>
      <c r="KEK5" s="241"/>
      <c r="KEL5" s="241"/>
      <c r="KEM5" s="241"/>
      <c r="KEN5" s="241"/>
      <c r="KEO5" s="241"/>
      <c r="KEP5" s="241"/>
      <c r="KEQ5" s="241"/>
      <c r="KER5" s="241"/>
      <c r="KES5" s="241"/>
      <c r="KET5" s="241"/>
      <c r="KEU5" s="241"/>
      <c r="KEV5" s="241"/>
      <c r="KEW5" s="241"/>
      <c r="KEX5" s="241"/>
      <c r="KEY5" s="241"/>
      <c r="KEZ5" s="241"/>
      <c r="KFA5" s="241"/>
      <c r="KFB5" s="241"/>
      <c r="KFC5" s="241"/>
      <c r="KFD5" s="241"/>
      <c r="KFE5" s="241"/>
      <c r="KFF5" s="241"/>
      <c r="KFG5" s="241"/>
      <c r="KFH5" s="241"/>
      <c r="KFI5" s="241"/>
      <c r="KFJ5" s="241"/>
      <c r="KFK5" s="241"/>
      <c r="KFL5" s="241"/>
      <c r="KFM5" s="241"/>
      <c r="KFN5" s="241"/>
      <c r="KFO5" s="241"/>
      <c r="KFP5" s="241"/>
      <c r="KFQ5" s="241"/>
      <c r="KFR5" s="241"/>
      <c r="KFS5" s="241"/>
      <c r="KFT5" s="241"/>
      <c r="KFU5" s="241"/>
      <c r="KFV5" s="241"/>
      <c r="KFW5" s="241"/>
      <c r="KFX5" s="241"/>
      <c r="KFY5" s="241"/>
      <c r="KFZ5" s="241"/>
      <c r="KGA5" s="241"/>
      <c r="KGB5" s="241"/>
      <c r="KGC5" s="241"/>
      <c r="KGD5" s="241"/>
      <c r="KGE5" s="241"/>
      <c r="KGF5" s="241"/>
      <c r="KGG5" s="241"/>
      <c r="KGH5" s="241"/>
      <c r="KGI5" s="241"/>
      <c r="KGJ5" s="241"/>
      <c r="KGK5" s="241"/>
      <c r="KGL5" s="241"/>
      <c r="KGM5" s="241"/>
      <c r="KGN5" s="241"/>
      <c r="KGO5" s="241"/>
      <c r="KGP5" s="241"/>
      <c r="KGQ5" s="241"/>
      <c r="KGR5" s="241"/>
      <c r="KGS5" s="241"/>
      <c r="KGT5" s="241"/>
      <c r="KGU5" s="241"/>
      <c r="KGV5" s="241"/>
      <c r="KGW5" s="241"/>
      <c r="KGX5" s="241"/>
      <c r="KGY5" s="241"/>
      <c r="KGZ5" s="241"/>
      <c r="KHA5" s="241"/>
      <c r="KHB5" s="241"/>
      <c r="KHC5" s="241"/>
      <c r="KHD5" s="241"/>
      <c r="KHE5" s="241"/>
      <c r="KHF5" s="241"/>
      <c r="KHG5" s="241"/>
      <c r="KHH5" s="241"/>
      <c r="KHI5" s="241"/>
      <c r="KHJ5" s="241"/>
      <c r="KHK5" s="241"/>
      <c r="KHL5" s="241"/>
      <c r="KHM5" s="241"/>
      <c r="KHN5" s="241"/>
      <c r="KHO5" s="241"/>
      <c r="KHP5" s="241"/>
      <c r="KHQ5" s="241"/>
      <c r="KHR5" s="241"/>
      <c r="KHS5" s="241"/>
      <c r="KHT5" s="241"/>
      <c r="KHU5" s="241"/>
      <c r="KHV5" s="241"/>
      <c r="KHW5" s="241"/>
      <c r="KHX5" s="241"/>
      <c r="KHY5" s="241"/>
      <c r="KHZ5" s="241"/>
      <c r="KIA5" s="241"/>
      <c r="KIB5" s="241"/>
      <c r="KIC5" s="241"/>
      <c r="KID5" s="241"/>
      <c r="KIE5" s="241"/>
      <c r="KIF5" s="241"/>
      <c r="KIG5" s="241"/>
      <c r="KIH5" s="241"/>
      <c r="KII5" s="241"/>
      <c r="KIJ5" s="241"/>
      <c r="KIK5" s="241"/>
      <c r="KIL5" s="241"/>
      <c r="KIM5" s="241"/>
      <c r="KIN5" s="241"/>
      <c r="KIO5" s="241"/>
      <c r="KIP5" s="241"/>
      <c r="KIQ5" s="241"/>
      <c r="KIR5" s="241"/>
      <c r="KIS5" s="241"/>
      <c r="KIT5" s="241"/>
      <c r="KIU5" s="241"/>
      <c r="KIV5" s="241"/>
      <c r="KIW5" s="241"/>
      <c r="KIX5" s="241"/>
      <c r="KIY5" s="241"/>
      <c r="KIZ5" s="241"/>
      <c r="KJA5" s="241"/>
      <c r="KJB5" s="241"/>
      <c r="KJC5" s="241"/>
      <c r="KJD5" s="241"/>
      <c r="KJE5" s="241"/>
      <c r="KJF5" s="241"/>
      <c r="KJG5" s="241"/>
      <c r="KJH5" s="241"/>
      <c r="KJI5" s="241"/>
      <c r="KJJ5" s="241"/>
      <c r="KJK5" s="241"/>
      <c r="KJL5" s="241"/>
      <c r="KJM5" s="241"/>
      <c r="KJN5" s="241"/>
      <c r="KJO5" s="241"/>
      <c r="KJP5" s="241"/>
      <c r="KJQ5" s="241"/>
      <c r="KJR5" s="241"/>
      <c r="KJS5" s="241"/>
      <c r="KJT5" s="241"/>
      <c r="KJU5" s="241"/>
      <c r="KJV5" s="241"/>
      <c r="KJW5" s="241"/>
      <c r="KJX5" s="241"/>
      <c r="KJY5" s="241"/>
      <c r="KJZ5" s="241"/>
      <c r="KKA5" s="241"/>
      <c r="KKB5" s="241"/>
      <c r="KKC5" s="241"/>
      <c r="KKD5" s="241"/>
      <c r="KKE5" s="241"/>
      <c r="KKF5" s="241"/>
      <c r="KKG5" s="241"/>
      <c r="KKH5" s="241"/>
      <c r="KKI5" s="241"/>
      <c r="KKJ5" s="241"/>
      <c r="KKK5" s="241"/>
      <c r="KKL5" s="241"/>
      <c r="KKM5" s="241"/>
      <c r="KKN5" s="241"/>
      <c r="KKO5" s="241"/>
      <c r="KKP5" s="241"/>
      <c r="KKQ5" s="241"/>
      <c r="KKR5" s="241"/>
      <c r="KKS5" s="241"/>
      <c r="KKT5" s="241"/>
      <c r="KKU5" s="241"/>
      <c r="KKV5" s="241"/>
      <c r="KKW5" s="241"/>
      <c r="KKX5" s="241"/>
      <c r="KKY5" s="241"/>
      <c r="KKZ5" s="241"/>
      <c r="KLA5" s="241"/>
      <c r="KLB5" s="241"/>
      <c r="KLC5" s="241"/>
      <c r="KLD5" s="241"/>
      <c r="KLE5" s="241"/>
      <c r="KLF5" s="241"/>
      <c r="KLG5" s="241"/>
      <c r="KLH5" s="241"/>
      <c r="KLI5" s="241"/>
      <c r="KLJ5" s="241"/>
      <c r="KLK5" s="241"/>
      <c r="KLL5" s="241"/>
      <c r="KLM5" s="241"/>
      <c r="KLN5" s="241"/>
      <c r="KLO5" s="241"/>
      <c r="KLP5" s="241"/>
      <c r="KLQ5" s="241"/>
      <c r="KLR5" s="241"/>
      <c r="KLS5" s="241"/>
      <c r="KLT5" s="241"/>
      <c r="KLU5" s="241"/>
      <c r="KLV5" s="241"/>
      <c r="KLW5" s="241"/>
      <c r="KLX5" s="241"/>
      <c r="KLY5" s="241"/>
      <c r="KLZ5" s="241"/>
      <c r="KMA5" s="241"/>
      <c r="KMB5" s="241"/>
      <c r="KMC5" s="241"/>
      <c r="KMD5" s="241"/>
      <c r="KME5" s="241"/>
      <c r="KMF5" s="241"/>
      <c r="KMG5" s="241"/>
      <c r="KMH5" s="241"/>
      <c r="KMI5" s="241"/>
      <c r="KMJ5" s="241"/>
      <c r="KMK5" s="241"/>
      <c r="KML5" s="241"/>
      <c r="KMM5" s="241"/>
      <c r="KMN5" s="241"/>
      <c r="KMO5" s="241"/>
      <c r="KMP5" s="241"/>
      <c r="KMQ5" s="241"/>
      <c r="KMR5" s="241"/>
      <c r="KMS5" s="241"/>
      <c r="KMT5" s="241"/>
      <c r="KMU5" s="241"/>
      <c r="KMV5" s="241"/>
      <c r="KMW5" s="241"/>
      <c r="KMX5" s="241"/>
      <c r="KMY5" s="241"/>
      <c r="KMZ5" s="241"/>
      <c r="KNA5" s="241"/>
      <c r="KNB5" s="241"/>
      <c r="KNC5" s="241"/>
      <c r="KND5" s="241"/>
      <c r="KNE5" s="241"/>
      <c r="KNF5" s="241"/>
      <c r="KNG5" s="241"/>
      <c r="KNH5" s="241"/>
      <c r="KNI5" s="241"/>
      <c r="KNJ5" s="241"/>
      <c r="KNK5" s="241"/>
      <c r="KNL5" s="241"/>
      <c r="KNM5" s="241"/>
      <c r="KNN5" s="241"/>
      <c r="KNO5" s="241"/>
      <c r="KNP5" s="241"/>
      <c r="KNQ5" s="241"/>
      <c r="KNR5" s="241"/>
      <c r="KNS5" s="241"/>
      <c r="KNT5" s="241"/>
      <c r="KNU5" s="241"/>
      <c r="KNV5" s="241"/>
      <c r="KNW5" s="241"/>
      <c r="KNX5" s="241"/>
      <c r="KNY5" s="241"/>
      <c r="KNZ5" s="241"/>
      <c r="KOA5" s="241"/>
      <c r="KOB5" s="241"/>
      <c r="KOC5" s="241"/>
      <c r="KOD5" s="241"/>
      <c r="KOE5" s="241"/>
      <c r="KOF5" s="241"/>
      <c r="KOG5" s="241"/>
      <c r="KOH5" s="241"/>
      <c r="KOI5" s="241"/>
      <c r="KOJ5" s="241"/>
      <c r="KOK5" s="241"/>
      <c r="KOL5" s="241"/>
      <c r="KOM5" s="241"/>
      <c r="KON5" s="241"/>
      <c r="KOO5" s="241"/>
      <c r="KOP5" s="241"/>
      <c r="KOQ5" s="241"/>
      <c r="KOR5" s="241"/>
      <c r="KOS5" s="241"/>
      <c r="KOT5" s="241"/>
      <c r="KOU5" s="241"/>
      <c r="KOV5" s="241"/>
      <c r="KOW5" s="241"/>
      <c r="KOX5" s="241"/>
      <c r="KOY5" s="241"/>
      <c r="KOZ5" s="241"/>
      <c r="KPA5" s="241"/>
      <c r="KPB5" s="241"/>
      <c r="KPC5" s="241"/>
      <c r="KPD5" s="241"/>
      <c r="KPE5" s="241"/>
      <c r="KPF5" s="241"/>
      <c r="KPG5" s="241"/>
      <c r="KPH5" s="241"/>
      <c r="KPI5" s="241"/>
      <c r="KPJ5" s="241"/>
      <c r="KPK5" s="241"/>
      <c r="KPL5" s="241"/>
      <c r="KPM5" s="241"/>
      <c r="KPN5" s="241"/>
      <c r="KPO5" s="241"/>
      <c r="KPP5" s="241"/>
      <c r="KPQ5" s="241"/>
      <c r="KPR5" s="241"/>
      <c r="KPS5" s="241"/>
      <c r="KPT5" s="241"/>
      <c r="KPU5" s="241"/>
      <c r="KPV5" s="241"/>
      <c r="KPW5" s="241"/>
      <c r="KPX5" s="241"/>
      <c r="KPY5" s="241"/>
      <c r="KPZ5" s="241"/>
      <c r="KQA5" s="241"/>
      <c r="KQB5" s="241"/>
      <c r="KQC5" s="241"/>
      <c r="KQD5" s="241"/>
      <c r="KQE5" s="241"/>
      <c r="KQF5" s="241"/>
      <c r="KQG5" s="241"/>
      <c r="KQH5" s="241"/>
      <c r="KQI5" s="241"/>
      <c r="KQJ5" s="241"/>
      <c r="KQK5" s="241"/>
      <c r="KQL5" s="241"/>
      <c r="KQM5" s="241"/>
      <c r="KQN5" s="241"/>
      <c r="KQO5" s="241"/>
      <c r="KQP5" s="241"/>
      <c r="KQQ5" s="241"/>
      <c r="KQR5" s="241"/>
      <c r="KQS5" s="241"/>
      <c r="KQT5" s="241"/>
      <c r="KQU5" s="241"/>
      <c r="KQV5" s="241"/>
      <c r="KQW5" s="241"/>
      <c r="KQX5" s="241"/>
      <c r="KQY5" s="241"/>
      <c r="KQZ5" s="241"/>
      <c r="KRA5" s="241"/>
      <c r="KRB5" s="241"/>
      <c r="KRC5" s="241"/>
      <c r="KRD5" s="241"/>
      <c r="KRE5" s="241"/>
      <c r="KRF5" s="241"/>
      <c r="KRG5" s="241"/>
      <c r="KRH5" s="241"/>
      <c r="KRI5" s="241"/>
      <c r="KRJ5" s="241"/>
      <c r="KRK5" s="241"/>
      <c r="KRL5" s="241"/>
      <c r="KRM5" s="241"/>
      <c r="KRN5" s="241"/>
      <c r="KRO5" s="241"/>
      <c r="KRP5" s="241"/>
      <c r="KRQ5" s="241"/>
      <c r="KRR5" s="241"/>
      <c r="KRS5" s="241"/>
      <c r="KRT5" s="241"/>
      <c r="KRU5" s="241"/>
      <c r="KRV5" s="241"/>
      <c r="KRW5" s="241"/>
      <c r="KRX5" s="241"/>
      <c r="KRY5" s="241"/>
      <c r="KRZ5" s="241"/>
      <c r="KSA5" s="241"/>
      <c r="KSB5" s="241"/>
      <c r="KSC5" s="241"/>
      <c r="KSD5" s="241"/>
      <c r="KSE5" s="241"/>
      <c r="KSF5" s="241"/>
      <c r="KSG5" s="241"/>
      <c r="KSH5" s="241"/>
      <c r="KSI5" s="241"/>
      <c r="KSJ5" s="241"/>
      <c r="KSK5" s="241"/>
      <c r="KSL5" s="241"/>
      <c r="KSM5" s="241"/>
      <c r="KSN5" s="241"/>
      <c r="KSO5" s="241"/>
      <c r="KSP5" s="241"/>
      <c r="KSQ5" s="241"/>
      <c r="KSR5" s="241"/>
      <c r="KSS5" s="241"/>
      <c r="KST5" s="241"/>
      <c r="KSU5" s="241"/>
      <c r="KSV5" s="241"/>
      <c r="KSW5" s="241"/>
      <c r="KSX5" s="241"/>
      <c r="KSY5" s="241"/>
      <c r="KSZ5" s="241"/>
      <c r="KTA5" s="241"/>
      <c r="KTB5" s="241"/>
      <c r="KTC5" s="241"/>
      <c r="KTD5" s="241"/>
      <c r="KTE5" s="241"/>
      <c r="KTF5" s="241"/>
      <c r="KTG5" s="241"/>
      <c r="KTH5" s="241"/>
      <c r="KTI5" s="241"/>
      <c r="KTJ5" s="241"/>
      <c r="KTK5" s="241"/>
      <c r="KTL5" s="241"/>
      <c r="KTM5" s="241"/>
      <c r="KTN5" s="241"/>
      <c r="KTO5" s="241"/>
      <c r="KTP5" s="241"/>
      <c r="KTQ5" s="241"/>
      <c r="KTR5" s="241"/>
      <c r="KTS5" s="241"/>
      <c r="KTT5" s="241"/>
      <c r="KTU5" s="241"/>
      <c r="KTV5" s="241"/>
      <c r="KTW5" s="241"/>
      <c r="KTX5" s="241"/>
      <c r="KTY5" s="241"/>
      <c r="KTZ5" s="241"/>
      <c r="KUA5" s="241"/>
      <c r="KUB5" s="241"/>
      <c r="KUC5" s="241"/>
      <c r="KUD5" s="241"/>
      <c r="KUE5" s="241"/>
      <c r="KUF5" s="241"/>
      <c r="KUG5" s="241"/>
      <c r="KUH5" s="241"/>
      <c r="KUI5" s="241"/>
      <c r="KUJ5" s="241"/>
      <c r="KUK5" s="241"/>
      <c r="KUL5" s="241"/>
      <c r="KUM5" s="241"/>
      <c r="KUN5" s="241"/>
      <c r="KUO5" s="241"/>
      <c r="KUP5" s="241"/>
      <c r="KUQ5" s="241"/>
      <c r="KUR5" s="241"/>
      <c r="KUS5" s="241"/>
      <c r="KUT5" s="241"/>
      <c r="KUU5" s="241"/>
      <c r="KUV5" s="241"/>
      <c r="KUW5" s="241"/>
      <c r="KUX5" s="241"/>
      <c r="KUY5" s="241"/>
      <c r="KUZ5" s="241"/>
      <c r="KVA5" s="241"/>
      <c r="KVB5" s="241"/>
      <c r="KVC5" s="241"/>
      <c r="KVD5" s="241"/>
      <c r="KVE5" s="241"/>
      <c r="KVF5" s="241"/>
      <c r="KVG5" s="241"/>
      <c r="KVH5" s="241"/>
      <c r="KVI5" s="241"/>
      <c r="KVJ5" s="241"/>
      <c r="KVK5" s="241"/>
      <c r="KVL5" s="241"/>
      <c r="KVM5" s="241"/>
      <c r="KVN5" s="241"/>
      <c r="KVO5" s="241"/>
      <c r="KVP5" s="241"/>
      <c r="KVQ5" s="241"/>
      <c r="KVR5" s="241"/>
      <c r="KVS5" s="241"/>
      <c r="KVT5" s="241"/>
      <c r="KVU5" s="241"/>
      <c r="KVV5" s="241"/>
      <c r="KVW5" s="241"/>
      <c r="KVX5" s="241"/>
      <c r="KVY5" s="241"/>
      <c r="KVZ5" s="241"/>
      <c r="KWA5" s="241"/>
      <c r="KWB5" s="241"/>
      <c r="KWC5" s="241"/>
      <c r="KWD5" s="241"/>
      <c r="KWE5" s="241"/>
      <c r="KWF5" s="241"/>
      <c r="KWG5" s="241"/>
      <c r="KWH5" s="241"/>
      <c r="KWI5" s="241"/>
      <c r="KWJ5" s="241"/>
      <c r="KWK5" s="241"/>
      <c r="KWL5" s="241"/>
      <c r="KWM5" s="241"/>
      <c r="KWN5" s="241"/>
      <c r="KWO5" s="241"/>
      <c r="KWP5" s="241"/>
      <c r="KWQ5" s="241"/>
      <c r="KWR5" s="241"/>
      <c r="KWS5" s="241"/>
      <c r="KWT5" s="241"/>
      <c r="KWU5" s="241"/>
      <c r="KWV5" s="241"/>
      <c r="KWW5" s="241"/>
      <c r="KWX5" s="241"/>
      <c r="KWY5" s="241"/>
      <c r="KWZ5" s="241"/>
      <c r="KXA5" s="241"/>
      <c r="KXB5" s="241"/>
      <c r="KXC5" s="241"/>
      <c r="KXD5" s="241"/>
      <c r="KXE5" s="241"/>
      <c r="KXF5" s="241"/>
      <c r="KXG5" s="241"/>
      <c r="KXH5" s="241"/>
      <c r="KXI5" s="241"/>
      <c r="KXJ5" s="241"/>
      <c r="KXK5" s="241"/>
      <c r="KXL5" s="241"/>
      <c r="KXM5" s="241"/>
      <c r="KXN5" s="241"/>
      <c r="KXO5" s="241"/>
      <c r="KXP5" s="241"/>
      <c r="KXQ5" s="241"/>
      <c r="KXR5" s="241"/>
      <c r="KXS5" s="241"/>
      <c r="KXT5" s="241"/>
      <c r="KXU5" s="241"/>
      <c r="KXV5" s="241"/>
      <c r="KXW5" s="241"/>
      <c r="KXX5" s="241"/>
      <c r="KXY5" s="241"/>
      <c r="KXZ5" s="241"/>
      <c r="KYA5" s="241"/>
      <c r="KYB5" s="241"/>
      <c r="KYC5" s="241"/>
      <c r="KYD5" s="241"/>
      <c r="KYE5" s="241"/>
      <c r="KYF5" s="241"/>
      <c r="KYG5" s="241"/>
      <c r="KYH5" s="241"/>
      <c r="KYI5" s="241"/>
      <c r="KYJ5" s="241"/>
      <c r="KYK5" s="241"/>
      <c r="KYL5" s="241"/>
      <c r="KYM5" s="241"/>
      <c r="KYN5" s="241"/>
      <c r="KYO5" s="241"/>
      <c r="KYP5" s="241"/>
      <c r="KYQ5" s="241"/>
      <c r="KYR5" s="241"/>
      <c r="KYS5" s="241"/>
      <c r="KYT5" s="241"/>
      <c r="KYU5" s="241"/>
      <c r="KYV5" s="241"/>
      <c r="KYW5" s="241"/>
      <c r="KYX5" s="241"/>
      <c r="KYY5" s="241"/>
      <c r="KYZ5" s="241"/>
      <c r="KZA5" s="241"/>
      <c r="KZB5" s="241"/>
      <c r="KZC5" s="241"/>
      <c r="KZD5" s="241"/>
      <c r="KZE5" s="241"/>
      <c r="KZF5" s="241"/>
      <c r="KZG5" s="241"/>
      <c r="KZH5" s="241"/>
      <c r="KZI5" s="241"/>
      <c r="KZJ5" s="241"/>
      <c r="KZK5" s="241"/>
      <c r="KZL5" s="241"/>
      <c r="KZM5" s="241"/>
      <c r="KZN5" s="241"/>
      <c r="KZO5" s="241"/>
      <c r="KZP5" s="241"/>
      <c r="KZQ5" s="241"/>
      <c r="KZR5" s="241"/>
      <c r="KZS5" s="241"/>
      <c r="KZT5" s="241"/>
      <c r="KZU5" s="241"/>
      <c r="KZV5" s="241"/>
      <c r="KZW5" s="241"/>
      <c r="KZX5" s="241"/>
      <c r="KZY5" s="241"/>
      <c r="KZZ5" s="241"/>
      <c r="LAA5" s="241"/>
      <c r="LAB5" s="241"/>
      <c r="LAC5" s="241"/>
      <c r="LAD5" s="241"/>
      <c r="LAE5" s="241"/>
      <c r="LAF5" s="241"/>
      <c r="LAG5" s="241"/>
      <c r="LAH5" s="241"/>
      <c r="LAI5" s="241"/>
      <c r="LAJ5" s="241"/>
      <c r="LAK5" s="241"/>
      <c r="LAL5" s="241"/>
      <c r="LAM5" s="241"/>
      <c r="LAN5" s="241"/>
      <c r="LAO5" s="241"/>
      <c r="LAP5" s="241"/>
      <c r="LAQ5" s="241"/>
      <c r="LAR5" s="241"/>
      <c r="LAS5" s="241"/>
      <c r="LAT5" s="241"/>
      <c r="LAU5" s="241"/>
      <c r="LAV5" s="241"/>
      <c r="LAW5" s="241"/>
      <c r="LAX5" s="241"/>
      <c r="LAY5" s="241"/>
      <c r="LAZ5" s="241"/>
      <c r="LBA5" s="241"/>
      <c r="LBB5" s="241"/>
      <c r="LBC5" s="241"/>
      <c r="LBD5" s="241"/>
      <c r="LBE5" s="241"/>
      <c r="LBF5" s="241"/>
      <c r="LBG5" s="241"/>
      <c r="LBH5" s="241"/>
      <c r="LBI5" s="241"/>
      <c r="LBJ5" s="241"/>
      <c r="LBK5" s="241"/>
      <c r="LBL5" s="241"/>
      <c r="LBM5" s="241"/>
      <c r="LBN5" s="241"/>
      <c r="LBO5" s="241"/>
      <c r="LBP5" s="241"/>
      <c r="LBQ5" s="241"/>
      <c r="LBR5" s="241"/>
      <c r="LBS5" s="241"/>
      <c r="LBT5" s="241"/>
      <c r="LBU5" s="241"/>
      <c r="LBV5" s="241"/>
      <c r="LBW5" s="241"/>
      <c r="LBX5" s="241"/>
      <c r="LBY5" s="241"/>
      <c r="LBZ5" s="241"/>
      <c r="LCA5" s="241"/>
      <c r="LCB5" s="241"/>
      <c r="LCC5" s="241"/>
      <c r="LCD5" s="241"/>
      <c r="LCE5" s="241"/>
      <c r="LCF5" s="241"/>
      <c r="LCG5" s="241"/>
      <c r="LCH5" s="241"/>
      <c r="LCI5" s="241"/>
      <c r="LCJ5" s="241"/>
      <c r="LCK5" s="241"/>
      <c r="LCL5" s="241"/>
      <c r="LCM5" s="241"/>
      <c r="LCN5" s="241"/>
      <c r="LCO5" s="241"/>
      <c r="LCP5" s="241"/>
      <c r="LCQ5" s="241"/>
      <c r="LCR5" s="241"/>
      <c r="LCS5" s="241"/>
      <c r="LCT5" s="241"/>
      <c r="LCU5" s="241"/>
      <c r="LCV5" s="241"/>
      <c r="LCW5" s="241"/>
      <c r="LCX5" s="241"/>
      <c r="LCY5" s="241"/>
      <c r="LCZ5" s="241"/>
      <c r="LDA5" s="241"/>
      <c r="LDB5" s="241"/>
      <c r="LDC5" s="241"/>
      <c r="LDD5" s="241"/>
      <c r="LDE5" s="241"/>
      <c r="LDF5" s="241"/>
      <c r="LDG5" s="241"/>
      <c r="LDH5" s="241"/>
      <c r="LDI5" s="241"/>
      <c r="LDJ5" s="241"/>
      <c r="LDK5" s="241"/>
      <c r="LDL5" s="241"/>
      <c r="LDM5" s="241"/>
      <c r="LDN5" s="241"/>
      <c r="LDO5" s="241"/>
      <c r="LDP5" s="241"/>
      <c r="LDQ5" s="241"/>
      <c r="LDR5" s="241"/>
      <c r="LDS5" s="241"/>
      <c r="LDT5" s="241"/>
      <c r="LDU5" s="241"/>
      <c r="LDV5" s="241"/>
      <c r="LDW5" s="241"/>
      <c r="LDX5" s="241"/>
      <c r="LDY5" s="241"/>
      <c r="LDZ5" s="241"/>
      <c r="LEA5" s="241"/>
      <c r="LEB5" s="241"/>
      <c r="LEC5" s="241"/>
      <c r="LED5" s="241"/>
      <c r="LEE5" s="241"/>
      <c r="LEF5" s="241"/>
      <c r="LEG5" s="241"/>
      <c r="LEH5" s="241"/>
      <c r="LEI5" s="241"/>
      <c r="LEJ5" s="241"/>
      <c r="LEK5" s="241"/>
      <c r="LEL5" s="241"/>
      <c r="LEM5" s="241"/>
      <c r="LEN5" s="241"/>
      <c r="LEO5" s="241"/>
      <c r="LEP5" s="241"/>
      <c r="LEQ5" s="241"/>
      <c r="LER5" s="241"/>
      <c r="LES5" s="241"/>
      <c r="LET5" s="241"/>
      <c r="LEU5" s="241"/>
      <c r="LEV5" s="241"/>
      <c r="LEW5" s="241"/>
      <c r="LEX5" s="241"/>
      <c r="LEY5" s="241"/>
      <c r="LEZ5" s="241"/>
      <c r="LFA5" s="241"/>
      <c r="LFB5" s="241"/>
      <c r="LFC5" s="241"/>
      <c r="LFD5" s="241"/>
      <c r="LFE5" s="241"/>
      <c r="LFF5" s="241"/>
      <c r="LFG5" s="241"/>
      <c r="LFH5" s="241"/>
      <c r="LFI5" s="241"/>
      <c r="LFJ5" s="241"/>
      <c r="LFK5" s="241"/>
      <c r="LFL5" s="241"/>
      <c r="LFM5" s="241"/>
      <c r="LFN5" s="241"/>
      <c r="LFO5" s="241"/>
      <c r="LFP5" s="241"/>
      <c r="LFQ5" s="241"/>
      <c r="LFR5" s="241"/>
      <c r="LFS5" s="241"/>
      <c r="LFT5" s="241"/>
      <c r="LFU5" s="241"/>
      <c r="LFV5" s="241"/>
      <c r="LFW5" s="241"/>
      <c r="LFX5" s="241"/>
      <c r="LFY5" s="241"/>
      <c r="LFZ5" s="241"/>
      <c r="LGA5" s="241"/>
      <c r="LGB5" s="241"/>
      <c r="LGC5" s="241"/>
      <c r="LGD5" s="241"/>
      <c r="LGE5" s="241"/>
      <c r="LGF5" s="241"/>
      <c r="LGG5" s="241"/>
      <c r="LGH5" s="241"/>
      <c r="LGI5" s="241"/>
      <c r="LGJ5" s="241"/>
      <c r="LGK5" s="241"/>
      <c r="LGL5" s="241"/>
      <c r="LGM5" s="241"/>
      <c r="LGN5" s="241"/>
      <c r="LGO5" s="241"/>
      <c r="LGP5" s="241"/>
      <c r="LGQ5" s="241"/>
      <c r="LGR5" s="241"/>
      <c r="LGS5" s="241"/>
      <c r="LGT5" s="241"/>
      <c r="LGU5" s="241"/>
      <c r="LGV5" s="241"/>
      <c r="LGW5" s="241"/>
      <c r="LGX5" s="241"/>
      <c r="LGY5" s="241"/>
      <c r="LGZ5" s="241"/>
      <c r="LHA5" s="241"/>
      <c r="LHB5" s="241"/>
      <c r="LHC5" s="241"/>
      <c r="LHD5" s="241"/>
      <c r="LHE5" s="241"/>
      <c r="LHF5" s="241"/>
      <c r="LHG5" s="241"/>
      <c r="LHH5" s="241"/>
      <c r="LHI5" s="241"/>
      <c r="LHJ5" s="241"/>
      <c r="LHK5" s="241"/>
      <c r="LHL5" s="241"/>
      <c r="LHM5" s="241"/>
      <c r="LHN5" s="241"/>
      <c r="LHO5" s="241"/>
      <c r="LHP5" s="241"/>
      <c r="LHQ5" s="241"/>
      <c r="LHR5" s="241"/>
      <c r="LHS5" s="241"/>
      <c r="LHT5" s="241"/>
      <c r="LHU5" s="241"/>
      <c r="LHV5" s="241"/>
      <c r="LHW5" s="241"/>
      <c r="LHX5" s="241"/>
      <c r="LHY5" s="241"/>
      <c r="LHZ5" s="241"/>
      <c r="LIA5" s="241"/>
      <c r="LIB5" s="241"/>
      <c r="LIC5" s="241"/>
      <c r="LID5" s="241"/>
      <c r="LIE5" s="241"/>
      <c r="LIF5" s="241"/>
      <c r="LIG5" s="241"/>
      <c r="LIH5" s="241"/>
      <c r="LII5" s="241"/>
      <c r="LIJ5" s="241"/>
      <c r="LIK5" s="241"/>
      <c r="LIL5" s="241"/>
      <c r="LIM5" s="241"/>
      <c r="LIN5" s="241"/>
      <c r="LIO5" s="241"/>
      <c r="LIP5" s="241"/>
      <c r="LIQ5" s="241"/>
      <c r="LIR5" s="241"/>
      <c r="LIS5" s="241"/>
      <c r="LIT5" s="241"/>
      <c r="LIU5" s="241"/>
      <c r="LIV5" s="241"/>
      <c r="LIW5" s="241"/>
      <c r="LIX5" s="241"/>
      <c r="LIY5" s="241"/>
      <c r="LIZ5" s="241"/>
      <c r="LJA5" s="241"/>
      <c r="LJB5" s="241"/>
      <c r="LJC5" s="241"/>
      <c r="LJD5" s="241"/>
      <c r="LJE5" s="241"/>
      <c r="LJF5" s="241"/>
      <c r="LJG5" s="241"/>
      <c r="LJH5" s="241"/>
      <c r="LJI5" s="241"/>
      <c r="LJJ5" s="241"/>
      <c r="LJK5" s="241"/>
      <c r="LJL5" s="241"/>
      <c r="LJM5" s="241"/>
      <c r="LJN5" s="241"/>
      <c r="LJO5" s="241"/>
      <c r="LJP5" s="241"/>
      <c r="LJQ5" s="241"/>
      <c r="LJR5" s="241"/>
      <c r="LJS5" s="241"/>
      <c r="LJT5" s="241"/>
      <c r="LJU5" s="241"/>
      <c r="LJV5" s="241"/>
      <c r="LJW5" s="241"/>
      <c r="LJX5" s="241"/>
      <c r="LJY5" s="241"/>
      <c r="LJZ5" s="241"/>
      <c r="LKA5" s="241"/>
      <c r="LKB5" s="241"/>
      <c r="LKC5" s="241"/>
      <c r="LKD5" s="241"/>
      <c r="LKE5" s="241"/>
      <c r="LKF5" s="241"/>
      <c r="LKG5" s="241"/>
      <c r="LKH5" s="241"/>
      <c r="LKI5" s="241"/>
      <c r="LKJ5" s="241"/>
      <c r="LKK5" s="241"/>
      <c r="LKL5" s="241"/>
      <c r="LKM5" s="241"/>
      <c r="LKN5" s="241"/>
      <c r="LKO5" s="241"/>
      <c r="LKP5" s="241"/>
      <c r="LKQ5" s="241"/>
      <c r="LKR5" s="241"/>
      <c r="LKS5" s="241"/>
      <c r="LKT5" s="241"/>
      <c r="LKU5" s="241"/>
      <c r="LKV5" s="241"/>
      <c r="LKW5" s="241"/>
      <c r="LKX5" s="241"/>
      <c r="LKY5" s="241"/>
      <c r="LKZ5" s="241"/>
      <c r="LLA5" s="241"/>
      <c r="LLB5" s="241"/>
      <c r="LLC5" s="241"/>
      <c r="LLD5" s="241"/>
      <c r="LLE5" s="241"/>
      <c r="LLF5" s="241"/>
      <c r="LLG5" s="241"/>
      <c r="LLH5" s="241"/>
      <c r="LLI5" s="241"/>
      <c r="LLJ5" s="241"/>
      <c r="LLK5" s="241"/>
      <c r="LLL5" s="241"/>
      <c r="LLM5" s="241"/>
      <c r="LLN5" s="241"/>
      <c r="LLO5" s="241"/>
      <c r="LLP5" s="241"/>
      <c r="LLQ5" s="241"/>
      <c r="LLR5" s="241"/>
      <c r="LLS5" s="241"/>
      <c r="LLT5" s="241"/>
      <c r="LLU5" s="241"/>
      <c r="LLV5" s="241"/>
      <c r="LLW5" s="241"/>
      <c r="LLX5" s="241"/>
      <c r="LLY5" s="241"/>
      <c r="LLZ5" s="241"/>
      <c r="LMA5" s="241"/>
      <c r="LMB5" s="241"/>
      <c r="LMC5" s="241"/>
      <c r="LMD5" s="241"/>
      <c r="LME5" s="241"/>
      <c r="LMF5" s="241"/>
      <c r="LMG5" s="241"/>
      <c r="LMH5" s="241"/>
      <c r="LMI5" s="241"/>
      <c r="LMJ5" s="241"/>
      <c r="LMK5" s="241"/>
      <c r="LML5" s="241"/>
      <c r="LMM5" s="241"/>
      <c r="LMN5" s="241"/>
      <c r="LMO5" s="241"/>
      <c r="LMP5" s="241"/>
      <c r="LMQ5" s="241"/>
      <c r="LMR5" s="241"/>
      <c r="LMS5" s="241"/>
      <c r="LMT5" s="241"/>
      <c r="LMU5" s="241"/>
      <c r="LMV5" s="241"/>
      <c r="LMW5" s="241"/>
      <c r="LMX5" s="241"/>
      <c r="LMY5" s="241"/>
      <c r="LMZ5" s="241"/>
      <c r="LNA5" s="241"/>
      <c r="LNB5" s="241"/>
      <c r="LNC5" s="241"/>
      <c r="LND5" s="241"/>
      <c r="LNE5" s="241"/>
      <c r="LNF5" s="241"/>
      <c r="LNG5" s="241"/>
      <c r="LNH5" s="241"/>
      <c r="LNI5" s="241"/>
      <c r="LNJ5" s="241"/>
      <c r="LNK5" s="241"/>
      <c r="LNL5" s="241"/>
      <c r="LNM5" s="241"/>
      <c r="LNN5" s="241"/>
      <c r="LNO5" s="241"/>
      <c r="LNP5" s="241"/>
      <c r="LNQ5" s="241"/>
      <c r="LNR5" s="241"/>
      <c r="LNS5" s="241"/>
      <c r="LNT5" s="241"/>
      <c r="LNU5" s="241"/>
      <c r="LNV5" s="241"/>
      <c r="LNW5" s="241"/>
      <c r="LNX5" s="241"/>
      <c r="LNY5" s="241"/>
      <c r="LNZ5" s="241"/>
      <c r="LOA5" s="241"/>
      <c r="LOB5" s="241"/>
      <c r="LOC5" s="241"/>
      <c r="LOD5" s="241"/>
      <c r="LOE5" s="241"/>
      <c r="LOF5" s="241"/>
      <c r="LOG5" s="241"/>
      <c r="LOH5" s="241"/>
      <c r="LOI5" s="241"/>
      <c r="LOJ5" s="241"/>
      <c r="LOK5" s="241"/>
      <c r="LOL5" s="241"/>
      <c r="LOM5" s="241"/>
      <c r="LON5" s="241"/>
      <c r="LOO5" s="241"/>
      <c r="LOP5" s="241"/>
      <c r="LOQ5" s="241"/>
      <c r="LOR5" s="241"/>
      <c r="LOS5" s="241"/>
      <c r="LOT5" s="241"/>
      <c r="LOU5" s="241"/>
      <c r="LOV5" s="241"/>
      <c r="LOW5" s="241"/>
      <c r="LOX5" s="241"/>
      <c r="LOY5" s="241"/>
      <c r="LOZ5" s="241"/>
      <c r="LPA5" s="241"/>
      <c r="LPB5" s="241"/>
      <c r="LPC5" s="241"/>
      <c r="LPD5" s="241"/>
      <c r="LPE5" s="241"/>
      <c r="LPF5" s="241"/>
      <c r="LPG5" s="241"/>
      <c r="LPH5" s="241"/>
      <c r="LPI5" s="241"/>
      <c r="LPJ5" s="241"/>
      <c r="LPK5" s="241"/>
      <c r="LPL5" s="241"/>
      <c r="LPM5" s="241"/>
      <c r="LPN5" s="241"/>
      <c r="LPO5" s="241"/>
      <c r="LPP5" s="241"/>
      <c r="LPQ5" s="241"/>
      <c r="LPR5" s="241"/>
      <c r="LPS5" s="241"/>
      <c r="LPT5" s="241"/>
      <c r="LPU5" s="241"/>
      <c r="LPV5" s="241"/>
      <c r="LPW5" s="241"/>
      <c r="LPX5" s="241"/>
      <c r="LPY5" s="241"/>
      <c r="LPZ5" s="241"/>
      <c r="LQA5" s="241"/>
      <c r="LQB5" s="241"/>
      <c r="LQC5" s="241"/>
      <c r="LQD5" s="241"/>
      <c r="LQE5" s="241"/>
      <c r="LQF5" s="241"/>
      <c r="LQG5" s="241"/>
      <c r="LQH5" s="241"/>
      <c r="LQI5" s="241"/>
      <c r="LQJ5" s="241"/>
      <c r="LQK5" s="241"/>
      <c r="LQL5" s="241"/>
      <c r="LQM5" s="241"/>
      <c r="LQN5" s="241"/>
      <c r="LQO5" s="241"/>
      <c r="LQP5" s="241"/>
      <c r="LQQ5" s="241"/>
      <c r="LQR5" s="241"/>
      <c r="LQS5" s="241"/>
      <c r="LQT5" s="241"/>
      <c r="LQU5" s="241"/>
      <c r="LQV5" s="241"/>
      <c r="LQW5" s="241"/>
      <c r="LQX5" s="241"/>
      <c r="LQY5" s="241"/>
      <c r="LQZ5" s="241"/>
      <c r="LRA5" s="241"/>
      <c r="LRB5" s="241"/>
      <c r="LRC5" s="241"/>
      <c r="LRD5" s="241"/>
      <c r="LRE5" s="241"/>
      <c r="LRF5" s="241"/>
      <c r="LRG5" s="241"/>
      <c r="LRH5" s="241"/>
      <c r="LRI5" s="241"/>
      <c r="LRJ5" s="241"/>
      <c r="LRK5" s="241"/>
      <c r="LRL5" s="241"/>
      <c r="LRM5" s="241"/>
      <c r="LRN5" s="241"/>
      <c r="LRO5" s="241"/>
      <c r="LRP5" s="241"/>
      <c r="LRQ5" s="241"/>
      <c r="LRR5" s="241"/>
      <c r="LRS5" s="241"/>
      <c r="LRT5" s="241"/>
      <c r="LRU5" s="241"/>
      <c r="LRV5" s="241"/>
      <c r="LRW5" s="241"/>
      <c r="LRX5" s="241"/>
      <c r="LRY5" s="241"/>
      <c r="LRZ5" s="241"/>
      <c r="LSA5" s="241"/>
      <c r="LSB5" s="241"/>
      <c r="LSC5" s="241"/>
      <c r="LSD5" s="241"/>
      <c r="LSE5" s="241"/>
      <c r="LSF5" s="241"/>
      <c r="LSG5" s="241"/>
      <c r="LSH5" s="241"/>
      <c r="LSI5" s="241"/>
      <c r="LSJ5" s="241"/>
      <c r="LSK5" s="241"/>
      <c r="LSL5" s="241"/>
      <c r="LSM5" s="241"/>
      <c r="LSN5" s="241"/>
      <c r="LSO5" s="241"/>
      <c r="LSP5" s="241"/>
      <c r="LSQ5" s="241"/>
      <c r="LSR5" s="241"/>
      <c r="LSS5" s="241"/>
      <c r="LST5" s="241"/>
      <c r="LSU5" s="241"/>
      <c r="LSV5" s="241"/>
      <c r="LSW5" s="241"/>
      <c r="LSX5" s="241"/>
      <c r="LSY5" s="241"/>
      <c r="LSZ5" s="241"/>
      <c r="LTA5" s="241"/>
      <c r="LTB5" s="241"/>
      <c r="LTC5" s="241"/>
      <c r="LTD5" s="241"/>
      <c r="LTE5" s="241"/>
      <c r="LTF5" s="241"/>
      <c r="LTG5" s="241"/>
      <c r="LTH5" s="241"/>
      <c r="LTI5" s="241"/>
      <c r="LTJ5" s="241"/>
      <c r="LTK5" s="241"/>
      <c r="LTL5" s="241"/>
      <c r="LTM5" s="241"/>
      <c r="LTN5" s="241"/>
      <c r="LTO5" s="241"/>
      <c r="LTP5" s="241"/>
      <c r="LTQ5" s="241"/>
      <c r="LTR5" s="241"/>
      <c r="LTS5" s="241"/>
      <c r="LTT5" s="241"/>
      <c r="LTU5" s="241"/>
      <c r="LTV5" s="241"/>
      <c r="LTW5" s="241"/>
      <c r="LTX5" s="241"/>
      <c r="LTY5" s="241"/>
      <c r="LTZ5" s="241"/>
      <c r="LUA5" s="241"/>
      <c r="LUB5" s="241"/>
      <c r="LUC5" s="241"/>
      <c r="LUD5" s="241"/>
      <c r="LUE5" s="241"/>
      <c r="LUF5" s="241"/>
      <c r="LUG5" s="241"/>
      <c r="LUH5" s="241"/>
      <c r="LUI5" s="241"/>
      <c r="LUJ5" s="241"/>
      <c r="LUK5" s="241"/>
      <c r="LUL5" s="241"/>
      <c r="LUM5" s="241"/>
      <c r="LUN5" s="241"/>
      <c r="LUO5" s="241"/>
      <c r="LUP5" s="241"/>
      <c r="LUQ5" s="241"/>
      <c r="LUR5" s="241"/>
      <c r="LUS5" s="241"/>
      <c r="LUT5" s="241"/>
      <c r="LUU5" s="241"/>
      <c r="LUV5" s="241"/>
      <c r="LUW5" s="241"/>
      <c r="LUX5" s="241"/>
      <c r="LUY5" s="241"/>
      <c r="LUZ5" s="241"/>
      <c r="LVA5" s="241"/>
      <c r="LVB5" s="241"/>
      <c r="LVC5" s="241"/>
      <c r="LVD5" s="241"/>
      <c r="LVE5" s="241"/>
      <c r="LVF5" s="241"/>
      <c r="LVG5" s="241"/>
      <c r="LVH5" s="241"/>
      <c r="LVI5" s="241"/>
      <c r="LVJ5" s="241"/>
      <c r="LVK5" s="241"/>
      <c r="LVL5" s="241"/>
      <c r="LVM5" s="241"/>
      <c r="LVN5" s="241"/>
      <c r="LVO5" s="241"/>
      <c r="LVP5" s="241"/>
      <c r="LVQ5" s="241"/>
      <c r="LVR5" s="241"/>
      <c r="LVS5" s="241"/>
      <c r="LVT5" s="241"/>
      <c r="LVU5" s="241"/>
      <c r="LVV5" s="241"/>
      <c r="LVW5" s="241"/>
      <c r="LVX5" s="241"/>
      <c r="LVY5" s="241"/>
      <c r="LVZ5" s="241"/>
      <c r="LWA5" s="241"/>
      <c r="LWB5" s="241"/>
      <c r="LWC5" s="241"/>
      <c r="LWD5" s="241"/>
      <c r="LWE5" s="241"/>
      <c r="LWF5" s="241"/>
      <c r="LWG5" s="241"/>
      <c r="LWH5" s="241"/>
      <c r="LWI5" s="241"/>
      <c r="LWJ5" s="241"/>
      <c r="LWK5" s="241"/>
      <c r="LWL5" s="241"/>
      <c r="LWM5" s="241"/>
      <c r="LWN5" s="241"/>
      <c r="LWO5" s="241"/>
      <c r="LWP5" s="241"/>
      <c r="LWQ5" s="241"/>
      <c r="LWR5" s="241"/>
      <c r="LWS5" s="241"/>
      <c r="LWT5" s="241"/>
      <c r="LWU5" s="241"/>
      <c r="LWV5" s="241"/>
      <c r="LWW5" s="241"/>
      <c r="LWX5" s="241"/>
      <c r="LWY5" s="241"/>
      <c r="LWZ5" s="241"/>
      <c r="LXA5" s="241"/>
      <c r="LXB5" s="241"/>
      <c r="LXC5" s="241"/>
      <c r="LXD5" s="241"/>
      <c r="LXE5" s="241"/>
      <c r="LXF5" s="241"/>
      <c r="LXG5" s="241"/>
      <c r="LXH5" s="241"/>
      <c r="LXI5" s="241"/>
      <c r="LXJ5" s="241"/>
      <c r="LXK5" s="241"/>
      <c r="LXL5" s="241"/>
      <c r="LXM5" s="241"/>
      <c r="LXN5" s="241"/>
      <c r="LXO5" s="241"/>
      <c r="LXP5" s="241"/>
      <c r="LXQ5" s="241"/>
      <c r="LXR5" s="241"/>
      <c r="LXS5" s="241"/>
      <c r="LXT5" s="241"/>
      <c r="LXU5" s="241"/>
      <c r="LXV5" s="241"/>
      <c r="LXW5" s="241"/>
      <c r="LXX5" s="241"/>
      <c r="LXY5" s="241"/>
      <c r="LXZ5" s="241"/>
      <c r="LYA5" s="241"/>
      <c r="LYB5" s="241"/>
      <c r="LYC5" s="241"/>
      <c r="LYD5" s="241"/>
      <c r="LYE5" s="241"/>
      <c r="LYF5" s="241"/>
      <c r="LYG5" s="241"/>
      <c r="LYH5" s="241"/>
      <c r="LYI5" s="241"/>
      <c r="LYJ5" s="241"/>
      <c r="LYK5" s="241"/>
      <c r="LYL5" s="241"/>
      <c r="LYM5" s="241"/>
      <c r="LYN5" s="241"/>
      <c r="LYO5" s="241"/>
      <c r="LYP5" s="241"/>
      <c r="LYQ5" s="241"/>
      <c r="LYR5" s="241"/>
      <c r="LYS5" s="241"/>
      <c r="LYT5" s="241"/>
      <c r="LYU5" s="241"/>
      <c r="LYV5" s="241"/>
      <c r="LYW5" s="241"/>
      <c r="LYX5" s="241"/>
      <c r="LYY5" s="241"/>
      <c r="LYZ5" s="241"/>
      <c r="LZA5" s="241"/>
      <c r="LZB5" s="241"/>
      <c r="LZC5" s="241"/>
      <c r="LZD5" s="241"/>
      <c r="LZE5" s="241"/>
      <c r="LZF5" s="241"/>
      <c r="LZG5" s="241"/>
      <c r="LZH5" s="241"/>
      <c r="LZI5" s="241"/>
      <c r="LZJ5" s="241"/>
      <c r="LZK5" s="241"/>
      <c r="LZL5" s="241"/>
      <c r="LZM5" s="241"/>
      <c r="LZN5" s="241"/>
      <c r="LZO5" s="241"/>
      <c r="LZP5" s="241"/>
      <c r="LZQ5" s="241"/>
      <c r="LZR5" s="241"/>
      <c r="LZS5" s="241"/>
      <c r="LZT5" s="241"/>
      <c r="LZU5" s="241"/>
      <c r="LZV5" s="241"/>
      <c r="LZW5" s="241"/>
      <c r="LZX5" s="241"/>
      <c r="LZY5" s="241"/>
      <c r="LZZ5" s="241"/>
      <c r="MAA5" s="241"/>
      <c r="MAB5" s="241"/>
      <c r="MAC5" s="241"/>
      <c r="MAD5" s="241"/>
      <c r="MAE5" s="241"/>
      <c r="MAF5" s="241"/>
      <c r="MAG5" s="241"/>
      <c r="MAH5" s="241"/>
      <c r="MAI5" s="241"/>
      <c r="MAJ5" s="241"/>
      <c r="MAK5" s="241"/>
      <c r="MAL5" s="241"/>
      <c r="MAM5" s="241"/>
      <c r="MAN5" s="241"/>
      <c r="MAO5" s="241"/>
      <c r="MAP5" s="241"/>
      <c r="MAQ5" s="241"/>
      <c r="MAR5" s="241"/>
      <c r="MAS5" s="241"/>
      <c r="MAT5" s="241"/>
      <c r="MAU5" s="241"/>
      <c r="MAV5" s="241"/>
      <c r="MAW5" s="241"/>
      <c r="MAX5" s="241"/>
      <c r="MAY5" s="241"/>
      <c r="MAZ5" s="241"/>
      <c r="MBA5" s="241"/>
      <c r="MBB5" s="241"/>
      <c r="MBC5" s="241"/>
      <c r="MBD5" s="241"/>
      <c r="MBE5" s="241"/>
      <c r="MBF5" s="241"/>
      <c r="MBG5" s="241"/>
      <c r="MBH5" s="241"/>
      <c r="MBI5" s="241"/>
      <c r="MBJ5" s="241"/>
      <c r="MBK5" s="241"/>
      <c r="MBL5" s="241"/>
      <c r="MBM5" s="241"/>
      <c r="MBN5" s="241"/>
      <c r="MBO5" s="241"/>
      <c r="MBP5" s="241"/>
      <c r="MBQ5" s="241"/>
      <c r="MBR5" s="241"/>
      <c r="MBS5" s="241"/>
      <c r="MBT5" s="241"/>
      <c r="MBU5" s="241"/>
      <c r="MBV5" s="241"/>
      <c r="MBW5" s="241"/>
      <c r="MBX5" s="241"/>
      <c r="MBY5" s="241"/>
      <c r="MBZ5" s="241"/>
      <c r="MCA5" s="241"/>
      <c r="MCB5" s="241"/>
      <c r="MCC5" s="241"/>
      <c r="MCD5" s="241"/>
      <c r="MCE5" s="241"/>
      <c r="MCF5" s="241"/>
      <c r="MCG5" s="241"/>
      <c r="MCH5" s="241"/>
      <c r="MCI5" s="241"/>
      <c r="MCJ5" s="241"/>
      <c r="MCK5" s="241"/>
      <c r="MCL5" s="241"/>
      <c r="MCM5" s="241"/>
      <c r="MCN5" s="241"/>
      <c r="MCO5" s="241"/>
      <c r="MCP5" s="241"/>
      <c r="MCQ5" s="241"/>
      <c r="MCR5" s="241"/>
      <c r="MCS5" s="241"/>
      <c r="MCT5" s="241"/>
      <c r="MCU5" s="241"/>
      <c r="MCV5" s="241"/>
      <c r="MCW5" s="241"/>
      <c r="MCX5" s="241"/>
      <c r="MCY5" s="241"/>
      <c r="MCZ5" s="241"/>
      <c r="MDA5" s="241"/>
      <c r="MDB5" s="241"/>
      <c r="MDC5" s="241"/>
      <c r="MDD5" s="241"/>
      <c r="MDE5" s="241"/>
      <c r="MDF5" s="241"/>
      <c r="MDG5" s="241"/>
      <c r="MDH5" s="241"/>
      <c r="MDI5" s="241"/>
      <c r="MDJ5" s="241"/>
      <c r="MDK5" s="241"/>
      <c r="MDL5" s="241"/>
      <c r="MDM5" s="241"/>
      <c r="MDN5" s="241"/>
      <c r="MDO5" s="241"/>
      <c r="MDP5" s="241"/>
      <c r="MDQ5" s="241"/>
      <c r="MDR5" s="241"/>
      <c r="MDS5" s="241"/>
      <c r="MDT5" s="241"/>
      <c r="MDU5" s="241"/>
      <c r="MDV5" s="241"/>
      <c r="MDW5" s="241"/>
      <c r="MDX5" s="241"/>
      <c r="MDY5" s="241"/>
      <c r="MDZ5" s="241"/>
      <c r="MEA5" s="241"/>
      <c r="MEB5" s="241"/>
      <c r="MEC5" s="241"/>
      <c r="MED5" s="241"/>
      <c r="MEE5" s="241"/>
      <c r="MEF5" s="241"/>
      <c r="MEG5" s="241"/>
      <c r="MEH5" s="241"/>
      <c r="MEI5" s="241"/>
      <c r="MEJ5" s="241"/>
      <c r="MEK5" s="241"/>
      <c r="MEL5" s="241"/>
      <c r="MEM5" s="241"/>
      <c r="MEN5" s="241"/>
      <c r="MEO5" s="241"/>
      <c r="MEP5" s="241"/>
      <c r="MEQ5" s="241"/>
      <c r="MER5" s="241"/>
      <c r="MES5" s="241"/>
      <c r="MET5" s="241"/>
      <c r="MEU5" s="241"/>
      <c r="MEV5" s="241"/>
      <c r="MEW5" s="241"/>
      <c r="MEX5" s="241"/>
      <c r="MEY5" s="241"/>
      <c r="MEZ5" s="241"/>
      <c r="MFA5" s="241"/>
      <c r="MFB5" s="241"/>
      <c r="MFC5" s="241"/>
      <c r="MFD5" s="241"/>
      <c r="MFE5" s="241"/>
      <c r="MFF5" s="241"/>
      <c r="MFG5" s="241"/>
      <c r="MFH5" s="241"/>
      <c r="MFI5" s="241"/>
      <c r="MFJ5" s="241"/>
      <c r="MFK5" s="241"/>
      <c r="MFL5" s="241"/>
      <c r="MFM5" s="241"/>
      <c r="MFN5" s="241"/>
      <c r="MFO5" s="241"/>
      <c r="MFP5" s="241"/>
      <c r="MFQ5" s="241"/>
      <c r="MFR5" s="241"/>
      <c r="MFS5" s="241"/>
      <c r="MFT5" s="241"/>
      <c r="MFU5" s="241"/>
      <c r="MFV5" s="241"/>
      <c r="MFW5" s="241"/>
      <c r="MFX5" s="241"/>
      <c r="MFY5" s="241"/>
      <c r="MFZ5" s="241"/>
      <c r="MGA5" s="241"/>
      <c r="MGB5" s="241"/>
      <c r="MGC5" s="241"/>
      <c r="MGD5" s="241"/>
      <c r="MGE5" s="241"/>
      <c r="MGF5" s="241"/>
      <c r="MGG5" s="241"/>
      <c r="MGH5" s="241"/>
      <c r="MGI5" s="241"/>
      <c r="MGJ5" s="241"/>
      <c r="MGK5" s="241"/>
      <c r="MGL5" s="241"/>
      <c r="MGM5" s="241"/>
      <c r="MGN5" s="241"/>
      <c r="MGO5" s="241"/>
      <c r="MGP5" s="241"/>
      <c r="MGQ5" s="241"/>
      <c r="MGR5" s="241"/>
      <c r="MGS5" s="241"/>
      <c r="MGT5" s="241"/>
      <c r="MGU5" s="241"/>
      <c r="MGV5" s="241"/>
      <c r="MGW5" s="241"/>
      <c r="MGX5" s="241"/>
      <c r="MGY5" s="241"/>
      <c r="MGZ5" s="241"/>
      <c r="MHA5" s="241"/>
      <c r="MHB5" s="241"/>
      <c r="MHC5" s="241"/>
      <c r="MHD5" s="241"/>
      <c r="MHE5" s="241"/>
      <c r="MHF5" s="241"/>
      <c r="MHG5" s="241"/>
      <c r="MHH5" s="241"/>
      <c r="MHI5" s="241"/>
      <c r="MHJ5" s="241"/>
      <c r="MHK5" s="241"/>
      <c r="MHL5" s="241"/>
      <c r="MHM5" s="241"/>
      <c r="MHN5" s="241"/>
      <c r="MHO5" s="241"/>
      <c r="MHP5" s="241"/>
      <c r="MHQ5" s="241"/>
      <c r="MHR5" s="241"/>
      <c r="MHS5" s="241"/>
      <c r="MHT5" s="241"/>
      <c r="MHU5" s="241"/>
      <c r="MHV5" s="241"/>
      <c r="MHW5" s="241"/>
      <c r="MHX5" s="241"/>
      <c r="MHY5" s="241"/>
      <c r="MHZ5" s="241"/>
      <c r="MIA5" s="241"/>
      <c r="MIB5" s="241"/>
      <c r="MIC5" s="241"/>
      <c r="MID5" s="241"/>
      <c r="MIE5" s="241"/>
      <c r="MIF5" s="241"/>
      <c r="MIG5" s="241"/>
      <c r="MIH5" s="241"/>
      <c r="MII5" s="241"/>
      <c r="MIJ5" s="241"/>
      <c r="MIK5" s="241"/>
      <c r="MIL5" s="241"/>
      <c r="MIM5" s="241"/>
      <c r="MIN5" s="241"/>
      <c r="MIO5" s="241"/>
      <c r="MIP5" s="241"/>
      <c r="MIQ5" s="241"/>
      <c r="MIR5" s="241"/>
      <c r="MIS5" s="241"/>
      <c r="MIT5" s="241"/>
      <c r="MIU5" s="241"/>
      <c r="MIV5" s="241"/>
      <c r="MIW5" s="241"/>
      <c r="MIX5" s="241"/>
      <c r="MIY5" s="241"/>
      <c r="MIZ5" s="241"/>
      <c r="MJA5" s="241"/>
      <c r="MJB5" s="241"/>
      <c r="MJC5" s="241"/>
      <c r="MJD5" s="241"/>
      <c r="MJE5" s="241"/>
      <c r="MJF5" s="241"/>
      <c r="MJG5" s="241"/>
      <c r="MJH5" s="241"/>
      <c r="MJI5" s="241"/>
      <c r="MJJ5" s="241"/>
      <c r="MJK5" s="241"/>
      <c r="MJL5" s="241"/>
      <c r="MJM5" s="241"/>
      <c r="MJN5" s="241"/>
      <c r="MJO5" s="241"/>
      <c r="MJP5" s="241"/>
      <c r="MJQ5" s="241"/>
      <c r="MJR5" s="241"/>
      <c r="MJS5" s="241"/>
      <c r="MJT5" s="241"/>
      <c r="MJU5" s="241"/>
      <c r="MJV5" s="241"/>
      <c r="MJW5" s="241"/>
      <c r="MJX5" s="241"/>
      <c r="MJY5" s="241"/>
      <c r="MJZ5" s="241"/>
      <c r="MKA5" s="241"/>
      <c r="MKB5" s="241"/>
      <c r="MKC5" s="241"/>
      <c r="MKD5" s="241"/>
      <c r="MKE5" s="241"/>
      <c r="MKF5" s="241"/>
      <c r="MKG5" s="241"/>
      <c r="MKH5" s="241"/>
      <c r="MKI5" s="241"/>
      <c r="MKJ5" s="241"/>
      <c r="MKK5" s="241"/>
      <c r="MKL5" s="241"/>
      <c r="MKM5" s="241"/>
      <c r="MKN5" s="241"/>
      <c r="MKO5" s="241"/>
      <c r="MKP5" s="241"/>
      <c r="MKQ5" s="241"/>
      <c r="MKR5" s="241"/>
      <c r="MKS5" s="241"/>
      <c r="MKT5" s="241"/>
      <c r="MKU5" s="241"/>
      <c r="MKV5" s="241"/>
      <c r="MKW5" s="241"/>
      <c r="MKX5" s="241"/>
      <c r="MKY5" s="241"/>
      <c r="MKZ5" s="241"/>
      <c r="MLA5" s="241"/>
      <c r="MLB5" s="241"/>
      <c r="MLC5" s="241"/>
      <c r="MLD5" s="241"/>
      <c r="MLE5" s="241"/>
      <c r="MLF5" s="241"/>
      <c r="MLG5" s="241"/>
      <c r="MLH5" s="241"/>
      <c r="MLI5" s="241"/>
      <c r="MLJ5" s="241"/>
      <c r="MLK5" s="241"/>
      <c r="MLL5" s="241"/>
      <c r="MLM5" s="241"/>
      <c r="MLN5" s="241"/>
      <c r="MLO5" s="241"/>
      <c r="MLP5" s="241"/>
      <c r="MLQ5" s="241"/>
      <c r="MLR5" s="241"/>
      <c r="MLS5" s="241"/>
      <c r="MLT5" s="241"/>
      <c r="MLU5" s="241"/>
      <c r="MLV5" s="241"/>
      <c r="MLW5" s="241"/>
      <c r="MLX5" s="241"/>
      <c r="MLY5" s="241"/>
      <c r="MLZ5" s="241"/>
      <c r="MMA5" s="241"/>
      <c r="MMB5" s="241"/>
      <c r="MMC5" s="241"/>
      <c r="MMD5" s="241"/>
      <c r="MME5" s="241"/>
      <c r="MMF5" s="241"/>
      <c r="MMG5" s="241"/>
      <c r="MMH5" s="241"/>
      <c r="MMI5" s="241"/>
      <c r="MMJ5" s="241"/>
      <c r="MMK5" s="241"/>
      <c r="MML5" s="241"/>
      <c r="MMM5" s="241"/>
      <c r="MMN5" s="241"/>
      <c r="MMO5" s="241"/>
      <c r="MMP5" s="241"/>
      <c r="MMQ5" s="241"/>
      <c r="MMR5" s="241"/>
      <c r="MMS5" s="241"/>
      <c r="MMT5" s="241"/>
      <c r="MMU5" s="241"/>
      <c r="MMV5" s="241"/>
      <c r="MMW5" s="241"/>
      <c r="MMX5" s="241"/>
      <c r="MMY5" s="241"/>
      <c r="MMZ5" s="241"/>
      <c r="MNA5" s="241"/>
      <c r="MNB5" s="241"/>
      <c r="MNC5" s="241"/>
      <c r="MND5" s="241"/>
      <c r="MNE5" s="241"/>
      <c r="MNF5" s="241"/>
      <c r="MNG5" s="241"/>
      <c r="MNH5" s="241"/>
      <c r="MNI5" s="241"/>
      <c r="MNJ5" s="241"/>
      <c r="MNK5" s="241"/>
      <c r="MNL5" s="241"/>
      <c r="MNM5" s="241"/>
      <c r="MNN5" s="241"/>
      <c r="MNO5" s="241"/>
      <c r="MNP5" s="241"/>
      <c r="MNQ5" s="241"/>
      <c r="MNR5" s="241"/>
      <c r="MNS5" s="241"/>
      <c r="MNT5" s="241"/>
      <c r="MNU5" s="241"/>
      <c r="MNV5" s="241"/>
      <c r="MNW5" s="241"/>
      <c r="MNX5" s="241"/>
      <c r="MNY5" s="241"/>
      <c r="MNZ5" s="241"/>
      <c r="MOA5" s="241"/>
      <c r="MOB5" s="241"/>
      <c r="MOC5" s="241"/>
      <c r="MOD5" s="241"/>
      <c r="MOE5" s="241"/>
      <c r="MOF5" s="241"/>
      <c r="MOG5" s="241"/>
      <c r="MOH5" s="241"/>
      <c r="MOI5" s="241"/>
      <c r="MOJ5" s="241"/>
      <c r="MOK5" s="241"/>
      <c r="MOL5" s="241"/>
      <c r="MOM5" s="241"/>
      <c r="MON5" s="241"/>
      <c r="MOO5" s="241"/>
      <c r="MOP5" s="241"/>
      <c r="MOQ5" s="241"/>
      <c r="MOR5" s="241"/>
      <c r="MOS5" s="241"/>
      <c r="MOT5" s="241"/>
      <c r="MOU5" s="241"/>
      <c r="MOV5" s="241"/>
      <c r="MOW5" s="241"/>
      <c r="MOX5" s="241"/>
      <c r="MOY5" s="241"/>
      <c r="MOZ5" s="241"/>
      <c r="MPA5" s="241"/>
      <c r="MPB5" s="241"/>
      <c r="MPC5" s="241"/>
      <c r="MPD5" s="241"/>
      <c r="MPE5" s="241"/>
      <c r="MPF5" s="241"/>
      <c r="MPG5" s="241"/>
      <c r="MPH5" s="241"/>
      <c r="MPI5" s="241"/>
      <c r="MPJ5" s="241"/>
      <c r="MPK5" s="241"/>
      <c r="MPL5" s="241"/>
      <c r="MPM5" s="241"/>
      <c r="MPN5" s="241"/>
      <c r="MPO5" s="241"/>
      <c r="MPP5" s="241"/>
      <c r="MPQ5" s="241"/>
      <c r="MPR5" s="241"/>
      <c r="MPS5" s="241"/>
      <c r="MPT5" s="241"/>
      <c r="MPU5" s="241"/>
      <c r="MPV5" s="241"/>
      <c r="MPW5" s="241"/>
      <c r="MPX5" s="241"/>
      <c r="MPY5" s="241"/>
      <c r="MPZ5" s="241"/>
      <c r="MQA5" s="241"/>
      <c r="MQB5" s="241"/>
      <c r="MQC5" s="241"/>
      <c r="MQD5" s="241"/>
      <c r="MQE5" s="241"/>
      <c r="MQF5" s="241"/>
      <c r="MQG5" s="241"/>
      <c r="MQH5" s="241"/>
      <c r="MQI5" s="241"/>
      <c r="MQJ5" s="241"/>
      <c r="MQK5" s="241"/>
      <c r="MQL5" s="241"/>
      <c r="MQM5" s="241"/>
      <c r="MQN5" s="241"/>
      <c r="MQO5" s="241"/>
      <c r="MQP5" s="241"/>
      <c r="MQQ5" s="241"/>
      <c r="MQR5" s="241"/>
      <c r="MQS5" s="241"/>
      <c r="MQT5" s="241"/>
      <c r="MQU5" s="241"/>
      <c r="MQV5" s="241"/>
      <c r="MQW5" s="241"/>
      <c r="MQX5" s="241"/>
      <c r="MQY5" s="241"/>
      <c r="MQZ5" s="241"/>
      <c r="MRA5" s="241"/>
      <c r="MRB5" s="241"/>
      <c r="MRC5" s="241"/>
      <c r="MRD5" s="241"/>
      <c r="MRE5" s="241"/>
      <c r="MRF5" s="241"/>
      <c r="MRG5" s="241"/>
      <c r="MRH5" s="241"/>
      <c r="MRI5" s="241"/>
      <c r="MRJ5" s="241"/>
      <c r="MRK5" s="241"/>
      <c r="MRL5" s="241"/>
      <c r="MRM5" s="241"/>
      <c r="MRN5" s="241"/>
      <c r="MRO5" s="241"/>
      <c r="MRP5" s="241"/>
      <c r="MRQ5" s="241"/>
      <c r="MRR5" s="241"/>
      <c r="MRS5" s="241"/>
      <c r="MRT5" s="241"/>
      <c r="MRU5" s="241"/>
      <c r="MRV5" s="241"/>
      <c r="MRW5" s="241"/>
      <c r="MRX5" s="241"/>
      <c r="MRY5" s="241"/>
      <c r="MRZ5" s="241"/>
      <c r="MSA5" s="241"/>
      <c r="MSB5" s="241"/>
      <c r="MSC5" s="241"/>
      <c r="MSD5" s="241"/>
      <c r="MSE5" s="241"/>
      <c r="MSF5" s="241"/>
      <c r="MSG5" s="241"/>
      <c r="MSH5" s="241"/>
      <c r="MSI5" s="241"/>
      <c r="MSJ5" s="241"/>
      <c r="MSK5" s="241"/>
      <c r="MSL5" s="241"/>
      <c r="MSM5" s="241"/>
      <c r="MSN5" s="241"/>
      <c r="MSO5" s="241"/>
      <c r="MSP5" s="241"/>
      <c r="MSQ5" s="241"/>
      <c r="MSR5" s="241"/>
      <c r="MSS5" s="241"/>
      <c r="MST5" s="241"/>
      <c r="MSU5" s="241"/>
      <c r="MSV5" s="241"/>
      <c r="MSW5" s="241"/>
      <c r="MSX5" s="241"/>
      <c r="MSY5" s="241"/>
      <c r="MSZ5" s="241"/>
      <c r="MTA5" s="241"/>
      <c r="MTB5" s="241"/>
      <c r="MTC5" s="241"/>
      <c r="MTD5" s="241"/>
      <c r="MTE5" s="241"/>
      <c r="MTF5" s="241"/>
      <c r="MTG5" s="241"/>
      <c r="MTH5" s="241"/>
      <c r="MTI5" s="241"/>
      <c r="MTJ5" s="241"/>
      <c r="MTK5" s="241"/>
      <c r="MTL5" s="241"/>
      <c r="MTM5" s="241"/>
      <c r="MTN5" s="241"/>
      <c r="MTO5" s="241"/>
      <c r="MTP5" s="241"/>
      <c r="MTQ5" s="241"/>
      <c r="MTR5" s="241"/>
      <c r="MTS5" s="241"/>
      <c r="MTT5" s="241"/>
      <c r="MTU5" s="241"/>
      <c r="MTV5" s="241"/>
      <c r="MTW5" s="241"/>
      <c r="MTX5" s="241"/>
      <c r="MTY5" s="241"/>
      <c r="MTZ5" s="241"/>
      <c r="MUA5" s="241"/>
      <c r="MUB5" s="241"/>
      <c r="MUC5" s="241"/>
      <c r="MUD5" s="241"/>
      <c r="MUE5" s="241"/>
      <c r="MUF5" s="241"/>
      <c r="MUG5" s="241"/>
      <c r="MUH5" s="241"/>
      <c r="MUI5" s="241"/>
      <c r="MUJ5" s="241"/>
      <c r="MUK5" s="241"/>
      <c r="MUL5" s="241"/>
      <c r="MUM5" s="241"/>
      <c r="MUN5" s="241"/>
      <c r="MUO5" s="241"/>
      <c r="MUP5" s="241"/>
      <c r="MUQ5" s="241"/>
      <c r="MUR5" s="241"/>
      <c r="MUS5" s="241"/>
      <c r="MUT5" s="241"/>
      <c r="MUU5" s="241"/>
      <c r="MUV5" s="241"/>
      <c r="MUW5" s="241"/>
      <c r="MUX5" s="241"/>
      <c r="MUY5" s="241"/>
      <c r="MUZ5" s="241"/>
      <c r="MVA5" s="241"/>
      <c r="MVB5" s="241"/>
      <c r="MVC5" s="241"/>
      <c r="MVD5" s="241"/>
      <c r="MVE5" s="241"/>
      <c r="MVF5" s="241"/>
      <c r="MVG5" s="241"/>
      <c r="MVH5" s="241"/>
      <c r="MVI5" s="241"/>
      <c r="MVJ5" s="241"/>
      <c r="MVK5" s="241"/>
      <c r="MVL5" s="241"/>
      <c r="MVM5" s="241"/>
      <c r="MVN5" s="241"/>
      <c r="MVO5" s="241"/>
      <c r="MVP5" s="241"/>
      <c r="MVQ5" s="241"/>
      <c r="MVR5" s="241"/>
      <c r="MVS5" s="241"/>
      <c r="MVT5" s="241"/>
      <c r="MVU5" s="241"/>
      <c r="MVV5" s="241"/>
      <c r="MVW5" s="241"/>
      <c r="MVX5" s="241"/>
      <c r="MVY5" s="241"/>
      <c r="MVZ5" s="241"/>
      <c r="MWA5" s="241"/>
      <c r="MWB5" s="241"/>
      <c r="MWC5" s="241"/>
      <c r="MWD5" s="241"/>
      <c r="MWE5" s="241"/>
      <c r="MWF5" s="241"/>
      <c r="MWG5" s="241"/>
      <c r="MWH5" s="241"/>
      <c r="MWI5" s="241"/>
      <c r="MWJ5" s="241"/>
      <c r="MWK5" s="241"/>
      <c r="MWL5" s="241"/>
      <c r="MWM5" s="241"/>
      <c r="MWN5" s="241"/>
      <c r="MWO5" s="241"/>
      <c r="MWP5" s="241"/>
      <c r="MWQ5" s="241"/>
      <c r="MWR5" s="241"/>
      <c r="MWS5" s="241"/>
      <c r="MWT5" s="241"/>
      <c r="MWU5" s="241"/>
      <c r="MWV5" s="241"/>
      <c r="MWW5" s="241"/>
      <c r="MWX5" s="241"/>
      <c r="MWY5" s="241"/>
      <c r="MWZ5" s="241"/>
      <c r="MXA5" s="241"/>
      <c r="MXB5" s="241"/>
      <c r="MXC5" s="241"/>
      <c r="MXD5" s="241"/>
      <c r="MXE5" s="241"/>
      <c r="MXF5" s="241"/>
      <c r="MXG5" s="241"/>
      <c r="MXH5" s="241"/>
      <c r="MXI5" s="241"/>
      <c r="MXJ5" s="241"/>
      <c r="MXK5" s="241"/>
      <c r="MXL5" s="241"/>
      <c r="MXM5" s="241"/>
      <c r="MXN5" s="241"/>
      <c r="MXO5" s="241"/>
      <c r="MXP5" s="241"/>
      <c r="MXQ5" s="241"/>
      <c r="MXR5" s="241"/>
      <c r="MXS5" s="241"/>
      <c r="MXT5" s="241"/>
      <c r="MXU5" s="241"/>
      <c r="MXV5" s="241"/>
      <c r="MXW5" s="241"/>
      <c r="MXX5" s="241"/>
      <c r="MXY5" s="241"/>
      <c r="MXZ5" s="241"/>
      <c r="MYA5" s="241"/>
      <c r="MYB5" s="241"/>
      <c r="MYC5" s="241"/>
      <c r="MYD5" s="241"/>
      <c r="MYE5" s="241"/>
      <c r="MYF5" s="241"/>
      <c r="MYG5" s="241"/>
      <c r="MYH5" s="241"/>
      <c r="MYI5" s="241"/>
      <c r="MYJ5" s="241"/>
      <c r="MYK5" s="241"/>
      <c r="MYL5" s="241"/>
      <c r="MYM5" s="241"/>
      <c r="MYN5" s="241"/>
      <c r="MYO5" s="241"/>
      <c r="MYP5" s="241"/>
      <c r="MYQ5" s="241"/>
      <c r="MYR5" s="241"/>
      <c r="MYS5" s="241"/>
      <c r="MYT5" s="241"/>
      <c r="MYU5" s="241"/>
      <c r="MYV5" s="241"/>
      <c r="MYW5" s="241"/>
      <c r="MYX5" s="241"/>
      <c r="MYY5" s="241"/>
      <c r="MYZ5" s="241"/>
      <c r="MZA5" s="241"/>
      <c r="MZB5" s="241"/>
      <c r="MZC5" s="241"/>
      <c r="MZD5" s="241"/>
      <c r="MZE5" s="241"/>
      <c r="MZF5" s="241"/>
      <c r="MZG5" s="241"/>
      <c r="MZH5" s="241"/>
      <c r="MZI5" s="241"/>
      <c r="MZJ5" s="241"/>
      <c r="MZK5" s="241"/>
      <c r="MZL5" s="241"/>
      <c r="MZM5" s="241"/>
      <c r="MZN5" s="241"/>
      <c r="MZO5" s="241"/>
      <c r="MZP5" s="241"/>
      <c r="MZQ5" s="241"/>
      <c r="MZR5" s="241"/>
      <c r="MZS5" s="241"/>
      <c r="MZT5" s="241"/>
      <c r="MZU5" s="241"/>
      <c r="MZV5" s="241"/>
      <c r="MZW5" s="241"/>
      <c r="MZX5" s="241"/>
      <c r="MZY5" s="241"/>
      <c r="MZZ5" s="241"/>
      <c r="NAA5" s="241"/>
      <c r="NAB5" s="241"/>
      <c r="NAC5" s="241"/>
      <c r="NAD5" s="241"/>
      <c r="NAE5" s="241"/>
      <c r="NAF5" s="241"/>
      <c r="NAG5" s="241"/>
      <c r="NAH5" s="241"/>
      <c r="NAI5" s="241"/>
      <c r="NAJ5" s="241"/>
      <c r="NAK5" s="241"/>
      <c r="NAL5" s="241"/>
      <c r="NAM5" s="241"/>
      <c r="NAN5" s="241"/>
      <c r="NAO5" s="241"/>
      <c r="NAP5" s="241"/>
      <c r="NAQ5" s="241"/>
      <c r="NAR5" s="241"/>
      <c r="NAS5" s="241"/>
      <c r="NAT5" s="241"/>
      <c r="NAU5" s="241"/>
      <c r="NAV5" s="241"/>
      <c r="NAW5" s="241"/>
      <c r="NAX5" s="241"/>
      <c r="NAY5" s="241"/>
      <c r="NAZ5" s="241"/>
      <c r="NBA5" s="241"/>
      <c r="NBB5" s="241"/>
      <c r="NBC5" s="241"/>
      <c r="NBD5" s="241"/>
      <c r="NBE5" s="241"/>
      <c r="NBF5" s="241"/>
      <c r="NBG5" s="241"/>
      <c r="NBH5" s="241"/>
      <c r="NBI5" s="241"/>
      <c r="NBJ5" s="241"/>
      <c r="NBK5" s="241"/>
      <c r="NBL5" s="241"/>
      <c r="NBM5" s="241"/>
      <c r="NBN5" s="241"/>
      <c r="NBO5" s="241"/>
      <c r="NBP5" s="241"/>
      <c r="NBQ5" s="241"/>
      <c r="NBR5" s="241"/>
      <c r="NBS5" s="241"/>
      <c r="NBT5" s="241"/>
      <c r="NBU5" s="241"/>
      <c r="NBV5" s="241"/>
      <c r="NBW5" s="241"/>
      <c r="NBX5" s="241"/>
      <c r="NBY5" s="241"/>
      <c r="NBZ5" s="241"/>
      <c r="NCA5" s="241"/>
      <c r="NCB5" s="241"/>
      <c r="NCC5" s="241"/>
      <c r="NCD5" s="241"/>
      <c r="NCE5" s="241"/>
      <c r="NCF5" s="241"/>
      <c r="NCG5" s="241"/>
      <c r="NCH5" s="241"/>
      <c r="NCI5" s="241"/>
      <c r="NCJ5" s="241"/>
      <c r="NCK5" s="241"/>
      <c r="NCL5" s="241"/>
      <c r="NCM5" s="241"/>
      <c r="NCN5" s="241"/>
      <c r="NCO5" s="241"/>
      <c r="NCP5" s="241"/>
      <c r="NCQ5" s="241"/>
      <c r="NCR5" s="241"/>
      <c r="NCS5" s="241"/>
      <c r="NCT5" s="241"/>
      <c r="NCU5" s="241"/>
      <c r="NCV5" s="241"/>
      <c r="NCW5" s="241"/>
      <c r="NCX5" s="241"/>
      <c r="NCY5" s="241"/>
      <c r="NCZ5" s="241"/>
      <c r="NDA5" s="241"/>
      <c r="NDB5" s="241"/>
      <c r="NDC5" s="241"/>
      <c r="NDD5" s="241"/>
      <c r="NDE5" s="241"/>
      <c r="NDF5" s="241"/>
      <c r="NDG5" s="241"/>
      <c r="NDH5" s="241"/>
      <c r="NDI5" s="241"/>
      <c r="NDJ5" s="241"/>
      <c r="NDK5" s="241"/>
      <c r="NDL5" s="241"/>
      <c r="NDM5" s="241"/>
      <c r="NDN5" s="241"/>
      <c r="NDO5" s="241"/>
      <c r="NDP5" s="241"/>
      <c r="NDQ5" s="241"/>
      <c r="NDR5" s="241"/>
      <c r="NDS5" s="241"/>
      <c r="NDT5" s="241"/>
      <c r="NDU5" s="241"/>
      <c r="NDV5" s="241"/>
      <c r="NDW5" s="241"/>
      <c r="NDX5" s="241"/>
      <c r="NDY5" s="241"/>
      <c r="NDZ5" s="241"/>
      <c r="NEA5" s="241"/>
      <c r="NEB5" s="241"/>
      <c r="NEC5" s="241"/>
      <c r="NED5" s="241"/>
      <c r="NEE5" s="241"/>
      <c r="NEF5" s="241"/>
      <c r="NEG5" s="241"/>
      <c r="NEH5" s="241"/>
      <c r="NEI5" s="241"/>
      <c r="NEJ5" s="241"/>
      <c r="NEK5" s="241"/>
      <c r="NEL5" s="241"/>
      <c r="NEM5" s="241"/>
      <c r="NEN5" s="241"/>
      <c r="NEO5" s="241"/>
      <c r="NEP5" s="241"/>
      <c r="NEQ5" s="241"/>
      <c r="NER5" s="241"/>
      <c r="NES5" s="241"/>
      <c r="NET5" s="241"/>
      <c r="NEU5" s="241"/>
      <c r="NEV5" s="241"/>
      <c r="NEW5" s="241"/>
      <c r="NEX5" s="241"/>
      <c r="NEY5" s="241"/>
      <c r="NEZ5" s="241"/>
      <c r="NFA5" s="241"/>
      <c r="NFB5" s="241"/>
      <c r="NFC5" s="241"/>
      <c r="NFD5" s="241"/>
      <c r="NFE5" s="241"/>
      <c r="NFF5" s="241"/>
      <c r="NFG5" s="241"/>
      <c r="NFH5" s="241"/>
      <c r="NFI5" s="241"/>
      <c r="NFJ5" s="241"/>
      <c r="NFK5" s="241"/>
      <c r="NFL5" s="241"/>
      <c r="NFM5" s="241"/>
      <c r="NFN5" s="241"/>
      <c r="NFO5" s="241"/>
      <c r="NFP5" s="241"/>
      <c r="NFQ5" s="241"/>
      <c r="NFR5" s="241"/>
      <c r="NFS5" s="241"/>
      <c r="NFT5" s="241"/>
      <c r="NFU5" s="241"/>
      <c r="NFV5" s="241"/>
      <c r="NFW5" s="241"/>
      <c r="NFX5" s="241"/>
      <c r="NFY5" s="241"/>
      <c r="NFZ5" s="241"/>
      <c r="NGA5" s="241"/>
      <c r="NGB5" s="241"/>
      <c r="NGC5" s="241"/>
      <c r="NGD5" s="241"/>
      <c r="NGE5" s="241"/>
      <c r="NGF5" s="241"/>
      <c r="NGG5" s="241"/>
      <c r="NGH5" s="241"/>
      <c r="NGI5" s="241"/>
      <c r="NGJ5" s="241"/>
      <c r="NGK5" s="241"/>
      <c r="NGL5" s="241"/>
      <c r="NGM5" s="241"/>
      <c r="NGN5" s="241"/>
      <c r="NGO5" s="241"/>
      <c r="NGP5" s="241"/>
      <c r="NGQ5" s="241"/>
      <c r="NGR5" s="241"/>
      <c r="NGS5" s="241"/>
      <c r="NGT5" s="241"/>
      <c r="NGU5" s="241"/>
      <c r="NGV5" s="241"/>
      <c r="NGW5" s="241"/>
      <c r="NGX5" s="241"/>
      <c r="NGY5" s="241"/>
      <c r="NGZ5" s="241"/>
      <c r="NHA5" s="241"/>
      <c r="NHB5" s="241"/>
      <c r="NHC5" s="241"/>
      <c r="NHD5" s="241"/>
      <c r="NHE5" s="241"/>
      <c r="NHF5" s="241"/>
      <c r="NHG5" s="241"/>
      <c r="NHH5" s="241"/>
      <c r="NHI5" s="241"/>
      <c r="NHJ5" s="241"/>
      <c r="NHK5" s="241"/>
      <c r="NHL5" s="241"/>
      <c r="NHM5" s="241"/>
      <c r="NHN5" s="241"/>
      <c r="NHO5" s="241"/>
      <c r="NHP5" s="241"/>
      <c r="NHQ5" s="241"/>
      <c r="NHR5" s="241"/>
      <c r="NHS5" s="241"/>
      <c r="NHT5" s="241"/>
      <c r="NHU5" s="241"/>
      <c r="NHV5" s="241"/>
      <c r="NHW5" s="241"/>
      <c r="NHX5" s="241"/>
      <c r="NHY5" s="241"/>
      <c r="NHZ5" s="241"/>
      <c r="NIA5" s="241"/>
      <c r="NIB5" s="241"/>
      <c r="NIC5" s="241"/>
      <c r="NID5" s="241"/>
      <c r="NIE5" s="241"/>
      <c r="NIF5" s="241"/>
      <c r="NIG5" s="241"/>
      <c r="NIH5" s="241"/>
      <c r="NII5" s="241"/>
      <c r="NIJ5" s="241"/>
      <c r="NIK5" s="241"/>
      <c r="NIL5" s="241"/>
      <c r="NIM5" s="241"/>
      <c r="NIN5" s="241"/>
      <c r="NIO5" s="241"/>
      <c r="NIP5" s="241"/>
      <c r="NIQ5" s="241"/>
      <c r="NIR5" s="241"/>
      <c r="NIS5" s="241"/>
      <c r="NIT5" s="241"/>
      <c r="NIU5" s="241"/>
      <c r="NIV5" s="241"/>
      <c r="NIW5" s="241"/>
      <c r="NIX5" s="241"/>
      <c r="NIY5" s="241"/>
      <c r="NIZ5" s="241"/>
      <c r="NJA5" s="241"/>
      <c r="NJB5" s="241"/>
      <c r="NJC5" s="241"/>
      <c r="NJD5" s="241"/>
      <c r="NJE5" s="241"/>
      <c r="NJF5" s="241"/>
      <c r="NJG5" s="241"/>
      <c r="NJH5" s="241"/>
      <c r="NJI5" s="241"/>
      <c r="NJJ5" s="241"/>
      <c r="NJK5" s="241"/>
      <c r="NJL5" s="241"/>
      <c r="NJM5" s="241"/>
      <c r="NJN5" s="241"/>
      <c r="NJO5" s="241"/>
      <c r="NJP5" s="241"/>
      <c r="NJQ5" s="241"/>
      <c r="NJR5" s="241"/>
      <c r="NJS5" s="241"/>
      <c r="NJT5" s="241"/>
      <c r="NJU5" s="241"/>
      <c r="NJV5" s="241"/>
      <c r="NJW5" s="241"/>
      <c r="NJX5" s="241"/>
      <c r="NJY5" s="241"/>
      <c r="NJZ5" s="241"/>
      <c r="NKA5" s="241"/>
      <c r="NKB5" s="241"/>
      <c r="NKC5" s="241"/>
      <c r="NKD5" s="241"/>
      <c r="NKE5" s="241"/>
      <c r="NKF5" s="241"/>
      <c r="NKG5" s="241"/>
      <c r="NKH5" s="241"/>
      <c r="NKI5" s="241"/>
      <c r="NKJ5" s="241"/>
      <c r="NKK5" s="241"/>
      <c r="NKL5" s="241"/>
      <c r="NKM5" s="241"/>
      <c r="NKN5" s="241"/>
      <c r="NKO5" s="241"/>
      <c r="NKP5" s="241"/>
      <c r="NKQ5" s="241"/>
      <c r="NKR5" s="241"/>
      <c r="NKS5" s="241"/>
      <c r="NKT5" s="241"/>
      <c r="NKU5" s="241"/>
      <c r="NKV5" s="241"/>
      <c r="NKW5" s="241"/>
      <c r="NKX5" s="241"/>
      <c r="NKY5" s="241"/>
      <c r="NKZ5" s="241"/>
      <c r="NLA5" s="241"/>
      <c r="NLB5" s="241"/>
      <c r="NLC5" s="241"/>
      <c r="NLD5" s="241"/>
      <c r="NLE5" s="241"/>
      <c r="NLF5" s="241"/>
      <c r="NLG5" s="241"/>
      <c r="NLH5" s="241"/>
      <c r="NLI5" s="241"/>
      <c r="NLJ5" s="241"/>
      <c r="NLK5" s="241"/>
      <c r="NLL5" s="241"/>
      <c r="NLM5" s="241"/>
      <c r="NLN5" s="241"/>
      <c r="NLO5" s="241"/>
      <c r="NLP5" s="241"/>
      <c r="NLQ5" s="241"/>
      <c r="NLR5" s="241"/>
      <c r="NLS5" s="241"/>
      <c r="NLT5" s="241"/>
      <c r="NLU5" s="241"/>
      <c r="NLV5" s="241"/>
      <c r="NLW5" s="241"/>
      <c r="NLX5" s="241"/>
      <c r="NLY5" s="241"/>
      <c r="NLZ5" s="241"/>
      <c r="NMA5" s="241"/>
      <c r="NMB5" s="241"/>
      <c r="NMC5" s="241"/>
      <c r="NMD5" s="241"/>
      <c r="NME5" s="241"/>
      <c r="NMF5" s="241"/>
      <c r="NMG5" s="241"/>
      <c r="NMH5" s="241"/>
      <c r="NMI5" s="241"/>
      <c r="NMJ5" s="241"/>
      <c r="NMK5" s="241"/>
      <c r="NML5" s="241"/>
      <c r="NMM5" s="241"/>
      <c r="NMN5" s="241"/>
      <c r="NMO5" s="241"/>
      <c r="NMP5" s="241"/>
      <c r="NMQ5" s="241"/>
      <c r="NMR5" s="241"/>
      <c r="NMS5" s="241"/>
      <c r="NMT5" s="241"/>
      <c r="NMU5" s="241"/>
      <c r="NMV5" s="241"/>
      <c r="NMW5" s="241"/>
      <c r="NMX5" s="241"/>
      <c r="NMY5" s="241"/>
      <c r="NMZ5" s="241"/>
      <c r="NNA5" s="241"/>
      <c r="NNB5" s="241"/>
      <c r="NNC5" s="241"/>
      <c r="NND5" s="241"/>
      <c r="NNE5" s="241"/>
      <c r="NNF5" s="241"/>
      <c r="NNG5" s="241"/>
      <c r="NNH5" s="241"/>
      <c r="NNI5" s="241"/>
      <c r="NNJ5" s="241"/>
      <c r="NNK5" s="241"/>
      <c r="NNL5" s="241"/>
      <c r="NNM5" s="241"/>
      <c r="NNN5" s="241"/>
      <c r="NNO5" s="241"/>
      <c r="NNP5" s="241"/>
      <c r="NNQ5" s="241"/>
      <c r="NNR5" s="241"/>
      <c r="NNS5" s="241"/>
      <c r="NNT5" s="241"/>
      <c r="NNU5" s="241"/>
      <c r="NNV5" s="241"/>
      <c r="NNW5" s="241"/>
      <c r="NNX5" s="241"/>
      <c r="NNY5" s="241"/>
      <c r="NNZ5" s="241"/>
      <c r="NOA5" s="241"/>
      <c r="NOB5" s="241"/>
      <c r="NOC5" s="241"/>
      <c r="NOD5" s="241"/>
      <c r="NOE5" s="241"/>
      <c r="NOF5" s="241"/>
      <c r="NOG5" s="241"/>
      <c r="NOH5" s="241"/>
      <c r="NOI5" s="241"/>
      <c r="NOJ5" s="241"/>
      <c r="NOK5" s="241"/>
      <c r="NOL5" s="241"/>
      <c r="NOM5" s="241"/>
      <c r="NON5" s="241"/>
      <c r="NOO5" s="241"/>
      <c r="NOP5" s="241"/>
      <c r="NOQ5" s="241"/>
      <c r="NOR5" s="241"/>
      <c r="NOS5" s="241"/>
      <c r="NOT5" s="241"/>
      <c r="NOU5" s="241"/>
      <c r="NOV5" s="241"/>
      <c r="NOW5" s="241"/>
      <c r="NOX5" s="241"/>
      <c r="NOY5" s="241"/>
      <c r="NOZ5" s="241"/>
      <c r="NPA5" s="241"/>
      <c r="NPB5" s="241"/>
      <c r="NPC5" s="241"/>
      <c r="NPD5" s="241"/>
      <c r="NPE5" s="241"/>
      <c r="NPF5" s="241"/>
      <c r="NPG5" s="241"/>
      <c r="NPH5" s="241"/>
      <c r="NPI5" s="241"/>
      <c r="NPJ5" s="241"/>
      <c r="NPK5" s="241"/>
      <c r="NPL5" s="241"/>
      <c r="NPM5" s="241"/>
      <c r="NPN5" s="241"/>
      <c r="NPO5" s="241"/>
      <c r="NPP5" s="241"/>
      <c r="NPQ5" s="241"/>
      <c r="NPR5" s="241"/>
      <c r="NPS5" s="241"/>
      <c r="NPT5" s="241"/>
      <c r="NPU5" s="241"/>
      <c r="NPV5" s="241"/>
      <c r="NPW5" s="241"/>
      <c r="NPX5" s="241"/>
      <c r="NPY5" s="241"/>
      <c r="NPZ5" s="241"/>
      <c r="NQA5" s="241"/>
      <c r="NQB5" s="241"/>
      <c r="NQC5" s="241"/>
      <c r="NQD5" s="241"/>
      <c r="NQE5" s="241"/>
      <c r="NQF5" s="241"/>
      <c r="NQG5" s="241"/>
      <c r="NQH5" s="241"/>
      <c r="NQI5" s="241"/>
      <c r="NQJ5" s="241"/>
      <c r="NQK5" s="241"/>
      <c r="NQL5" s="241"/>
      <c r="NQM5" s="241"/>
      <c r="NQN5" s="241"/>
      <c r="NQO5" s="241"/>
      <c r="NQP5" s="241"/>
      <c r="NQQ5" s="241"/>
      <c r="NQR5" s="241"/>
      <c r="NQS5" s="241"/>
      <c r="NQT5" s="241"/>
      <c r="NQU5" s="241"/>
      <c r="NQV5" s="241"/>
      <c r="NQW5" s="241"/>
      <c r="NQX5" s="241"/>
      <c r="NQY5" s="241"/>
      <c r="NQZ5" s="241"/>
      <c r="NRA5" s="241"/>
      <c r="NRB5" s="241"/>
      <c r="NRC5" s="241"/>
      <c r="NRD5" s="241"/>
      <c r="NRE5" s="241"/>
      <c r="NRF5" s="241"/>
      <c r="NRG5" s="241"/>
      <c r="NRH5" s="241"/>
      <c r="NRI5" s="241"/>
      <c r="NRJ5" s="241"/>
      <c r="NRK5" s="241"/>
      <c r="NRL5" s="241"/>
      <c r="NRM5" s="241"/>
      <c r="NRN5" s="241"/>
      <c r="NRO5" s="241"/>
      <c r="NRP5" s="241"/>
      <c r="NRQ5" s="241"/>
      <c r="NRR5" s="241"/>
      <c r="NRS5" s="241"/>
      <c r="NRT5" s="241"/>
      <c r="NRU5" s="241"/>
      <c r="NRV5" s="241"/>
      <c r="NRW5" s="241"/>
      <c r="NRX5" s="241"/>
      <c r="NRY5" s="241"/>
      <c r="NRZ5" s="241"/>
      <c r="NSA5" s="241"/>
      <c r="NSB5" s="241"/>
      <c r="NSC5" s="241"/>
      <c r="NSD5" s="241"/>
      <c r="NSE5" s="241"/>
      <c r="NSF5" s="241"/>
      <c r="NSG5" s="241"/>
      <c r="NSH5" s="241"/>
      <c r="NSI5" s="241"/>
      <c r="NSJ5" s="241"/>
      <c r="NSK5" s="241"/>
      <c r="NSL5" s="241"/>
      <c r="NSM5" s="241"/>
      <c r="NSN5" s="241"/>
      <c r="NSO5" s="241"/>
      <c r="NSP5" s="241"/>
      <c r="NSQ5" s="241"/>
      <c r="NSR5" s="241"/>
      <c r="NSS5" s="241"/>
      <c r="NST5" s="241"/>
      <c r="NSU5" s="241"/>
      <c r="NSV5" s="241"/>
      <c r="NSW5" s="241"/>
      <c r="NSX5" s="241"/>
      <c r="NSY5" s="241"/>
      <c r="NSZ5" s="241"/>
      <c r="NTA5" s="241"/>
      <c r="NTB5" s="241"/>
      <c r="NTC5" s="241"/>
      <c r="NTD5" s="241"/>
      <c r="NTE5" s="241"/>
      <c r="NTF5" s="241"/>
      <c r="NTG5" s="241"/>
      <c r="NTH5" s="241"/>
      <c r="NTI5" s="241"/>
      <c r="NTJ5" s="241"/>
      <c r="NTK5" s="241"/>
      <c r="NTL5" s="241"/>
      <c r="NTM5" s="241"/>
      <c r="NTN5" s="241"/>
      <c r="NTO5" s="241"/>
      <c r="NTP5" s="241"/>
      <c r="NTQ5" s="241"/>
      <c r="NTR5" s="241"/>
      <c r="NTS5" s="241"/>
      <c r="NTT5" s="241"/>
      <c r="NTU5" s="241"/>
      <c r="NTV5" s="241"/>
      <c r="NTW5" s="241"/>
      <c r="NTX5" s="241"/>
      <c r="NTY5" s="241"/>
      <c r="NTZ5" s="241"/>
      <c r="NUA5" s="241"/>
      <c r="NUB5" s="241"/>
      <c r="NUC5" s="241"/>
      <c r="NUD5" s="241"/>
      <c r="NUE5" s="241"/>
      <c r="NUF5" s="241"/>
      <c r="NUG5" s="241"/>
      <c r="NUH5" s="241"/>
      <c r="NUI5" s="241"/>
      <c r="NUJ5" s="241"/>
      <c r="NUK5" s="241"/>
      <c r="NUL5" s="241"/>
      <c r="NUM5" s="241"/>
      <c r="NUN5" s="241"/>
      <c r="NUO5" s="241"/>
      <c r="NUP5" s="241"/>
      <c r="NUQ5" s="241"/>
      <c r="NUR5" s="241"/>
      <c r="NUS5" s="241"/>
      <c r="NUT5" s="241"/>
      <c r="NUU5" s="241"/>
      <c r="NUV5" s="241"/>
      <c r="NUW5" s="241"/>
      <c r="NUX5" s="241"/>
      <c r="NUY5" s="241"/>
      <c r="NUZ5" s="241"/>
      <c r="NVA5" s="241"/>
      <c r="NVB5" s="241"/>
      <c r="NVC5" s="241"/>
      <c r="NVD5" s="241"/>
      <c r="NVE5" s="241"/>
      <c r="NVF5" s="241"/>
      <c r="NVG5" s="241"/>
      <c r="NVH5" s="241"/>
      <c r="NVI5" s="241"/>
      <c r="NVJ5" s="241"/>
      <c r="NVK5" s="241"/>
      <c r="NVL5" s="241"/>
      <c r="NVM5" s="241"/>
      <c r="NVN5" s="241"/>
      <c r="NVO5" s="241"/>
      <c r="NVP5" s="241"/>
      <c r="NVQ5" s="241"/>
      <c r="NVR5" s="241"/>
      <c r="NVS5" s="241"/>
      <c r="NVT5" s="241"/>
      <c r="NVU5" s="241"/>
      <c r="NVV5" s="241"/>
      <c r="NVW5" s="241"/>
      <c r="NVX5" s="241"/>
      <c r="NVY5" s="241"/>
      <c r="NVZ5" s="241"/>
      <c r="NWA5" s="241"/>
      <c r="NWB5" s="241"/>
      <c r="NWC5" s="241"/>
      <c r="NWD5" s="241"/>
      <c r="NWE5" s="241"/>
      <c r="NWF5" s="241"/>
      <c r="NWG5" s="241"/>
      <c r="NWH5" s="241"/>
      <c r="NWI5" s="241"/>
      <c r="NWJ5" s="241"/>
      <c r="NWK5" s="241"/>
      <c r="NWL5" s="241"/>
      <c r="NWM5" s="241"/>
      <c r="NWN5" s="241"/>
      <c r="NWO5" s="241"/>
      <c r="NWP5" s="241"/>
      <c r="NWQ5" s="241"/>
      <c r="NWR5" s="241"/>
      <c r="NWS5" s="241"/>
      <c r="NWT5" s="241"/>
      <c r="NWU5" s="241"/>
      <c r="NWV5" s="241"/>
      <c r="NWW5" s="241"/>
      <c r="NWX5" s="241"/>
      <c r="NWY5" s="241"/>
      <c r="NWZ5" s="241"/>
      <c r="NXA5" s="241"/>
      <c r="NXB5" s="241"/>
      <c r="NXC5" s="241"/>
      <c r="NXD5" s="241"/>
      <c r="NXE5" s="241"/>
      <c r="NXF5" s="241"/>
      <c r="NXG5" s="241"/>
      <c r="NXH5" s="241"/>
      <c r="NXI5" s="241"/>
      <c r="NXJ5" s="241"/>
      <c r="NXK5" s="241"/>
      <c r="NXL5" s="241"/>
      <c r="NXM5" s="241"/>
      <c r="NXN5" s="241"/>
      <c r="NXO5" s="241"/>
      <c r="NXP5" s="241"/>
      <c r="NXQ5" s="241"/>
      <c r="NXR5" s="241"/>
      <c r="NXS5" s="241"/>
      <c r="NXT5" s="241"/>
      <c r="NXU5" s="241"/>
      <c r="NXV5" s="241"/>
      <c r="NXW5" s="241"/>
      <c r="NXX5" s="241"/>
      <c r="NXY5" s="241"/>
      <c r="NXZ5" s="241"/>
      <c r="NYA5" s="241"/>
      <c r="NYB5" s="241"/>
      <c r="NYC5" s="241"/>
      <c r="NYD5" s="241"/>
      <c r="NYE5" s="241"/>
      <c r="NYF5" s="241"/>
      <c r="NYG5" s="241"/>
      <c r="NYH5" s="241"/>
      <c r="NYI5" s="241"/>
      <c r="NYJ5" s="241"/>
      <c r="NYK5" s="241"/>
      <c r="NYL5" s="241"/>
      <c r="NYM5" s="241"/>
      <c r="NYN5" s="241"/>
      <c r="NYO5" s="241"/>
      <c r="NYP5" s="241"/>
      <c r="NYQ5" s="241"/>
      <c r="NYR5" s="241"/>
      <c r="NYS5" s="241"/>
      <c r="NYT5" s="241"/>
      <c r="NYU5" s="241"/>
      <c r="NYV5" s="241"/>
      <c r="NYW5" s="241"/>
      <c r="NYX5" s="241"/>
      <c r="NYY5" s="241"/>
      <c r="NYZ5" s="241"/>
      <c r="NZA5" s="241"/>
      <c r="NZB5" s="241"/>
      <c r="NZC5" s="241"/>
      <c r="NZD5" s="241"/>
      <c r="NZE5" s="241"/>
      <c r="NZF5" s="241"/>
      <c r="NZG5" s="241"/>
      <c r="NZH5" s="241"/>
      <c r="NZI5" s="241"/>
      <c r="NZJ5" s="241"/>
      <c r="NZK5" s="241"/>
      <c r="NZL5" s="241"/>
      <c r="NZM5" s="241"/>
      <c r="NZN5" s="241"/>
      <c r="NZO5" s="241"/>
      <c r="NZP5" s="241"/>
      <c r="NZQ5" s="241"/>
      <c r="NZR5" s="241"/>
      <c r="NZS5" s="241"/>
      <c r="NZT5" s="241"/>
      <c r="NZU5" s="241"/>
      <c r="NZV5" s="241"/>
      <c r="NZW5" s="241"/>
      <c r="NZX5" s="241"/>
      <c r="NZY5" s="241"/>
      <c r="NZZ5" s="241"/>
      <c r="OAA5" s="241"/>
      <c r="OAB5" s="241"/>
      <c r="OAC5" s="241"/>
      <c r="OAD5" s="241"/>
      <c r="OAE5" s="241"/>
      <c r="OAF5" s="241"/>
      <c r="OAG5" s="241"/>
      <c r="OAH5" s="241"/>
      <c r="OAI5" s="241"/>
      <c r="OAJ5" s="241"/>
      <c r="OAK5" s="241"/>
      <c r="OAL5" s="241"/>
      <c r="OAM5" s="241"/>
      <c r="OAN5" s="241"/>
      <c r="OAO5" s="241"/>
      <c r="OAP5" s="241"/>
      <c r="OAQ5" s="241"/>
      <c r="OAR5" s="241"/>
      <c r="OAS5" s="241"/>
      <c r="OAT5" s="241"/>
      <c r="OAU5" s="241"/>
      <c r="OAV5" s="241"/>
      <c r="OAW5" s="241"/>
      <c r="OAX5" s="241"/>
      <c r="OAY5" s="241"/>
      <c r="OAZ5" s="241"/>
      <c r="OBA5" s="241"/>
      <c r="OBB5" s="241"/>
      <c r="OBC5" s="241"/>
      <c r="OBD5" s="241"/>
      <c r="OBE5" s="241"/>
      <c r="OBF5" s="241"/>
      <c r="OBG5" s="241"/>
      <c r="OBH5" s="241"/>
      <c r="OBI5" s="241"/>
      <c r="OBJ5" s="241"/>
      <c r="OBK5" s="241"/>
      <c r="OBL5" s="241"/>
      <c r="OBM5" s="241"/>
      <c r="OBN5" s="241"/>
      <c r="OBO5" s="241"/>
      <c r="OBP5" s="241"/>
      <c r="OBQ5" s="241"/>
      <c r="OBR5" s="241"/>
      <c r="OBS5" s="241"/>
      <c r="OBT5" s="241"/>
      <c r="OBU5" s="241"/>
      <c r="OBV5" s="241"/>
      <c r="OBW5" s="241"/>
      <c r="OBX5" s="241"/>
      <c r="OBY5" s="241"/>
      <c r="OBZ5" s="241"/>
      <c r="OCA5" s="241"/>
      <c r="OCB5" s="241"/>
      <c r="OCC5" s="241"/>
      <c r="OCD5" s="241"/>
      <c r="OCE5" s="241"/>
      <c r="OCF5" s="241"/>
      <c r="OCG5" s="241"/>
      <c r="OCH5" s="241"/>
      <c r="OCI5" s="241"/>
      <c r="OCJ5" s="241"/>
      <c r="OCK5" s="241"/>
      <c r="OCL5" s="241"/>
      <c r="OCM5" s="241"/>
      <c r="OCN5" s="241"/>
      <c r="OCO5" s="241"/>
      <c r="OCP5" s="241"/>
      <c r="OCQ5" s="241"/>
      <c r="OCR5" s="241"/>
      <c r="OCS5" s="241"/>
      <c r="OCT5" s="241"/>
      <c r="OCU5" s="241"/>
      <c r="OCV5" s="241"/>
      <c r="OCW5" s="241"/>
      <c r="OCX5" s="241"/>
      <c r="OCY5" s="241"/>
      <c r="OCZ5" s="241"/>
      <c r="ODA5" s="241"/>
      <c r="ODB5" s="241"/>
      <c r="ODC5" s="241"/>
      <c r="ODD5" s="241"/>
      <c r="ODE5" s="241"/>
      <c r="ODF5" s="241"/>
      <c r="ODG5" s="241"/>
      <c r="ODH5" s="241"/>
      <c r="ODI5" s="241"/>
      <c r="ODJ5" s="241"/>
      <c r="ODK5" s="241"/>
      <c r="ODL5" s="241"/>
      <c r="ODM5" s="241"/>
      <c r="ODN5" s="241"/>
      <c r="ODO5" s="241"/>
      <c r="ODP5" s="241"/>
      <c r="ODQ5" s="241"/>
      <c r="ODR5" s="241"/>
      <c r="ODS5" s="241"/>
      <c r="ODT5" s="241"/>
      <c r="ODU5" s="241"/>
      <c r="ODV5" s="241"/>
      <c r="ODW5" s="241"/>
      <c r="ODX5" s="241"/>
      <c r="ODY5" s="241"/>
      <c r="ODZ5" s="241"/>
      <c r="OEA5" s="241"/>
      <c r="OEB5" s="241"/>
      <c r="OEC5" s="241"/>
      <c r="OED5" s="241"/>
      <c r="OEE5" s="241"/>
      <c r="OEF5" s="241"/>
      <c r="OEG5" s="241"/>
      <c r="OEH5" s="241"/>
      <c r="OEI5" s="241"/>
      <c r="OEJ5" s="241"/>
      <c r="OEK5" s="241"/>
      <c r="OEL5" s="241"/>
      <c r="OEM5" s="241"/>
      <c r="OEN5" s="241"/>
      <c r="OEO5" s="241"/>
      <c r="OEP5" s="241"/>
      <c r="OEQ5" s="241"/>
      <c r="OER5" s="241"/>
      <c r="OES5" s="241"/>
      <c r="OET5" s="241"/>
      <c r="OEU5" s="241"/>
      <c r="OEV5" s="241"/>
      <c r="OEW5" s="241"/>
      <c r="OEX5" s="241"/>
      <c r="OEY5" s="241"/>
      <c r="OEZ5" s="241"/>
      <c r="OFA5" s="241"/>
      <c r="OFB5" s="241"/>
      <c r="OFC5" s="241"/>
      <c r="OFD5" s="241"/>
      <c r="OFE5" s="241"/>
      <c r="OFF5" s="241"/>
      <c r="OFG5" s="241"/>
      <c r="OFH5" s="241"/>
      <c r="OFI5" s="241"/>
      <c r="OFJ5" s="241"/>
      <c r="OFK5" s="241"/>
      <c r="OFL5" s="241"/>
      <c r="OFM5" s="241"/>
      <c r="OFN5" s="241"/>
      <c r="OFO5" s="241"/>
      <c r="OFP5" s="241"/>
      <c r="OFQ5" s="241"/>
      <c r="OFR5" s="241"/>
      <c r="OFS5" s="241"/>
      <c r="OFT5" s="241"/>
      <c r="OFU5" s="241"/>
      <c r="OFV5" s="241"/>
      <c r="OFW5" s="241"/>
      <c r="OFX5" s="241"/>
      <c r="OFY5" s="241"/>
      <c r="OFZ5" s="241"/>
      <c r="OGA5" s="241"/>
      <c r="OGB5" s="241"/>
      <c r="OGC5" s="241"/>
      <c r="OGD5" s="241"/>
      <c r="OGE5" s="241"/>
      <c r="OGF5" s="241"/>
      <c r="OGG5" s="241"/>
      <c r="OGH5" s="241"/>
      <c r="OGI5" s="241"/>
      <c r="OGJ5" s="241"/>
      <c r="OGK5" s="241"/>
      <c r="OGL5" s="241"/>
      <c r="OGM5" s="241"/>
      <c r="OGN5" s="241"/>
      <c r="OGO5" s="241"/>
      <c r="OGP5" s="241"/>
      <c r="OGQ5" s="241"/>
      <c r="OGR5" s="241"/>
      <c r="OGS5" s="241"/>
      <c r="OGT5" s="241"/>
      <c r="OGU5" s="241"/>
      <c r="OGV5" s="241"/>
      <c r="OGW5" s="241"/>
      <c r="OGX5" s="241"/>
      <c r="OGY5" s="241"/>
      <c r="OGZ5" s="241"/>
      <c r="OHA5" s="241"/>
      <c r="OHB5" s="241"/>
      <c r="OHC5" s="241"/>
      <c r="OHD5" s="241"/>
      <c r="OHE5" s="241"/>
      <c r="OHF5" s="241"/>
      <c r="OHG5" s="241"/>
      <c r="OHH5" s="241"/>
      <c r="OHI5" s="241"/>
      <c r="OHJ5" s="241"/>
      <c r="OHK5" s="241"/>
      <c r="OHL5" s="241"/>
      <c r="OHM5" s="241"/>
      <c r="OHN5" s="241"/>
      <c r="OHO5" s="241"/>
      <c r="OHP5" s="241"/>
      <c r="OHQ5" s="241"/>
      <c r="OHR5" s="241"/>
      <c r="OHS5" s="241"/>
      <c r="OHT5" s="241"/>
      <c r="OHU5" s="241"/>
      <c r="OHV5" s="241"/>
      <c r="OHW5" s="241"/>
      <c r="OHX5" s="241"/>
      <c r="OHY5" s="241"/>
      <c r="OHZ5" s="241"/>
      <c r="OIA5" s="241"/>
      <c r="OIB5" s="241"/>
      <c r="OIC5" s="241"/>
      <c r="OID5" s="241"/>
      <c r="OIE5" s="241"/>
      <c r="OIF5" s="241"/>
      <c r="OIG5" s="241"/>
      <c r="OIH5" s="241"/>
      <c r="OII5" s="241"/>
      <c r="OIJ5" s="241"/>
      <c r="OIK5" s="241"/>
      <c r="OIL5" s="241"/>
      <c r="OIM5" s="241"/>
      <c r="OIN5" s="241"/>
      <c r="OIO5" s="241"/>
      <c r="OIP5" s="241"/>
      <c r="OIQ5" s="241"/>
      <c r="OIR5" s="241"/>
      <c r="OIS5" s="241"/>
      <c r="OIT5" s="241"/>
      <c r="OIU5" s="241"/>
      <c r="OIV5" s="241"/>
      <c r="OIW5" s="241"/>
      <c r="OIX5" s="241"/>
      <c r="OIY5" s="241"/>
      <c r="OIZ5" s="241"/>
      <c r="OJA5" s="241"/>
      <c r="OJB5" s="241"/>
      <c r="OJC5" s="241"/>
      <c r="OJD5" s="241"/>
      <c r="OJE5" s="241"/>
      <c r="OJF5" s="241"/>
      <c r="OJG5" s="241"/>
      <c r="OJH5" s="241"/>
      <c r="OJI5" s="241"/>
      <c r="OJJ5" s="241"/>
      <c r="OJK5" s="241"/>
      <c r="OJL5" s="241"/>
      <c r="OJM5" s="241"/>
      <c r="OJN5" s="241"/>
      <c r="OJO5" s="241"/>
      <c r="OJP5" s="241"/>
      <c r="OJQ5" s="241"/>
      <c r="OJR5" s="241"/>
      <c r="OJS5" s="241"/>
      <c r="OJT5" s="241"/>
      <c r="OJU5" s="241"/>
      <c r="OJV5" s="241"/>
      <c r="OJW5" s="241"/>
      <c r="OJX5" s="241"/>
      <c r="OJY5" s="241"/>
      <c r="OJZ5" s="241"/>
      <c r="OKA5" s="241"/>
      <c r="OKB5" s="241"/>
      <c r="OKC5" s="241"/>
      <c r="OKD5" s="241"/>
      <c r="OKE5" s="241"/>
      <c r="OKF5" s="241"/>
      <c r="OKG5" s="241"/>
      <c r="OKH5" s="241"/>
      <c r="OKI5" s="241"/>
      <c r="OKJ5" s="241"/>
      <c r="OKK5" s="241"/>
      <c r="OKL5" s="241"/>
      <c r="OKM5" s="241"/>
      <c r="OKN5" s="241"/>
      <c r="OKO5" s="241"/>
      <c r="OKP5" s="241"/>
      <c r="OKQ5" s="241"/>
      <c r="OKR5" s="241"/>
      <c r="OKS5" s="241"/>
      <c r="OKT5" s="241"/>
      <c r="OKU5" s="241"/>
      <c r="OKV5" s="241"/>
      <c r="OKW5" s="241"/>
      <c r="OKX5" s="241"/>
      <c r="OKY5" s="241"/>
      <c r="OKZ5" s="241"/>
      <c r="OLA5" s="241"/>
      <c r="OLB5" s="241"/>
      <c r="OLC5" s="241"/>
      <c r="OLD5" s="241"/>
      <c r="OLE5" s="241"/>
      <c r="OLF5" s="241"/>
      <c r="OLG5" s="241"/>
      <c r="OLH5" s="241"/>
      <c r="OLI5" s="241"/>
      <c r="OLJ5" s="241"/>
      <c r="OLK5" s="241"/>
      <c r="OLL5" s="241"/>
      <c r="OLM5" s="241"/>
      <c r="OLN5" s="241"/>
      <c r="OLO5" s="241"/>
      <c r="OLP5" s="241"/>
      <c r="OLQ5" s="241"/>
      <c r="OLR5" s="241"/>
      <c r="OLS5" s="241"/>
      <c r="OLT5" s="241"/>
      <c r="OLU5" s="241"/>
      <c r="OLV5" s="241"/>
      <c r="OLW5" s="241"/>
      <c r="OLX5" s="241"/>
      <c r="OLY5" s="241"/>
      <c r="OLZ5" s="241"/>
      <c r="OMA5" s="241"/>
      <c r="OMB5" s="241"/>
      <c r="OMC5" s="241"/>
      <c r="OMD5" s="241"/>
      <c r="OME5" s="241"/>
      <c r="OMF5" s="241"/>
      <c r="OMG5" s="241"/>
      <c r="OMH5" s="241"/>
      <c r="OMI5" s="241"/>
      <c r="OMJ5" s="241"/>
      <c r="OMK5" s="241"/>
      <c r="OML5" s="241"/>
      <c r="OMM5" s="241"/>
      <c r="OMN5" s="241"/>
      <c r="OMO5" s="241"/>
      <c r="OMP5" s="241"/>
      <c r="OMQ5" s="241"/>
      <c r="OMR5" s="241"/>
      <c r="OMS5" s="241"/>
      <c r="OMT5" s="241"/>
      <c r="OMU5" s="241"/>
      <c r="OMV5" s="241"/>
      <c r="OMW5" s="241"/>
      <c r="OMX5" s="241"/>
      <c r="OMY5" s="241"/>
      <c r="OMZ5" s="241"/>
      <c r="ONA5" s="241"/>
      <c r="ONB5" s="241"/>
      <c r="ONC5" s="241"/>
      <c r="OND5" s="241"/>
      <c r="ONE5" s="241"/>
      <c r="ONF5" s="241"/>
      <c r="ONG5" s="241"/>
      <c r="ONH5" s="241"/>
      <c r="ONI5" s="241"/>
      <c r="ONJ5" s="241"/>
      <c r="ONK5" s="241"/>
      <c r="ONL5" s="241"/>
      <c r="ONM5" s="241"/>
      <c r="ONN5" s="241"/>
      <c r="ONO5" s="241"/>
      <c r="ONP5" s="241"/>
      <c r="ONQ5" s="241"/>
      <c r="ONR5" s="241"/>
      <c r="ONS5" s="241"/>
      <c r="ONT5" s="241"/>
      <c r="ONU5" s="241"/>
      <c r="ONV5" s="241"/>
      <c r="ONW5" s="241"/>
      <c r="ONX5" s="241"/>
      <c r="ONY5" s="241"/>
      <c r="ONZ5" s="241"/>
      <c r="OOA5" s="241"/>
      <c r="OOB5" s="241"/>
      <c r="OOC5" s="241"/>
      <c r="OOD5" s="241"/>
      <c r="OOE5" s="241"/>
      <c r="OOF5" s="241"/>
      <c r="OOG5" s="241"/>
      <c r="OOH5" s="241"/>
      <c r="OOI5" s="241"/>
      <c r="OOJ5" s="241"/>
      <c r="OOK5" s="241"/>
      <c r="OOL5" s="241"/>
      <c r="OOM5" s="241"/>
      <c r="OON5" s="241"/>
      <c r="OOO5" s="241"/>
      <c r="OOP5" s="241"/>
      <c r="OOQ5" s="241"/>
      <c r="OOR5" s="241"/>
      <c r="OOS5" s="241"/>
      <c r="OOT5" s="241"/>
      <c r="OOU5" s="241"/>
      <c r="OOV5" s="241"/>
      <c r="OOW5" s="241"/>
      <c r="OOX5" s="241"/>
      <c r="OOY5" s="241"/>
      <c r="OOZ5" s="241"/>
      <c r="OPA5" s="241"/>
      <c r="OPB5" s="241"/>
      <c r="OPC5" s="241"/>
      <c r="OPD5" s="241"/>
      <c r="OPE5" s="241"/>
      <c r="OPF5" s="241"/>
      <c r="OPG5" s="241"/>
      <c r="OPH5" s="241"/>
      <c r="OPI5" s="241"/>
      <c r="OPJ5" s="241"/>
      <c r="OPK5" s="241"/>
      <c r="OPL5" s="241"/>
      <c r="OPM5" s="241"/>
      <c r="OPN5" s="241"/>
      <c r="OPO5" s="241"/>
      <c r="OPP5" s="241"/>
      <c r="OPQ5" s="241"/>
      <c r="OPR5" s="241"/>
      <c r="OPS5" s="241"/>
      <c r="OPT5" s="241"/>
      <c r="OPU5" s="241"/>
      <c r="OPV5" s="241"/>
      <c r="OPW5" s="241"/>
      <c r="OPX5" s="241"/>
      <c r="OPY5" s="241"/>
      <c r="OPZ5" s="241"/>
      <c r="OQA5" s="241"/>
      <c r="OQB5" s="241"/>
      <c r="OQC5" s="241"/>
      <c r="OQD5" s="241"/>
      <c r="OQE5" s="241"/>
      <c r="OQF5" s="241"/>
      <c r="OQG5" s="241"/>
      <c r="OQH5" s="241"/>
      <c r="OQI5" s="241"/>
      <c r="OQJ5" s="241"/>
      <c r="OQK5" s="241"/>
      <c r="OQL5" s="241"/>
      <c r="OQM5" s="241"/>
      <c r="OQN5" s="241"/>
      <c r="OQO5" s="241"/>
      <c r="OQP5" s="241"/>
      <c r="OQQ5" s="241"/>
      <c r="OQR5" s="241"/>
      <c r="OQS5" s="241"/>
      <c r="OQT5" s="241"/>
      <c r="OQU5" s="241"/>
      <c r="OQV5" s="241"/>
      <c r="OQW5" s="241"/>
      <c r="OQX5" s="241"/>
      <c r="OQY5" s="241"/>
      <c r="OQZ5" s="241"/>
      <c r="ORA5" s="241"/>
      <c r="ORB5" s="241"/>
      <c r="ORC5" s="241"/>
      <c r="ORD5" s="241"/>
      <c r="ORE5" s="241"/>
      <c r="ORF5" s="241"/>
      <c r="ORG5" s="241"/>
      <c r="ORH5" s="241"/>
      <c r="ORI5" s="241"/>
      <c r="ORJ5" s="241"/>
      <c r="ORK5" s="241"/>
      <c r="ORL5" s="241"/>
      <c r="ORM5" s="241"/>
      <c r="ORN5" s="241"/>
      <c r="ORO5" s="241"/>
      <c r="ORP5" s="241"/>
      <c r="ORQ5" s="241"/>
      <c r="ORR5" s="241"/>
      <c r="ORS5" s="241"/>
      <c r="ORT5" s="241"/>
      <c r="ORU5" s="241"/>
      <c r="ORV5" s="241"/>
      <c r="ORW5" s="241"/>
      <c r="ORX5" s="241"/>
      <c r="ORY5" s="241"/>
      <c r="ORZ5" s="241"/>
      <c r="OSA5" s="241"/>
      <c r="OSB5" s="241"/>
      <c r="OSC5" s="241"/>
      <c r="OSD5" s="241"/>
      <c r="OSE5" s="241"/>
      <c r="OSF5" s="241"/>
      <c r="OSG5" s="241"/>
      <c r="OSH5" s="241"/>
      <c r="OSI5" s="241"/>
      <c r="OSJ5" s="241"/>
      <c r="OSK5" s="241"/>
      <c r="OSL5" s="241"/>
      <c r="OSM5" s="241"/>
      <c r="OSN5" s="241"/>
      <c r="OSO5" s="241"/>
      <c r="OSP5" s="241"/>
      <c r="OSQ5" s="241"/>
      <c r="OSR5" s="241"/>
      <c r="OSS5" s="241"/>
      <c r="OST5" s="241"/>
      <c r="OSU5" s="241"/>
      <c r="OSV5" s="241"/>
      <c r="OSW5" s="241"/>
      <c r="OSX5" s="241"/>
      <c r="OSY5" s="241"/>
      <c r="OSZ5" s="241"/>
      <c r="OTA5" s="241"/>
      <c r="OTB5" s="241"/>
      <c r="OTC5" s="241"/>
      <c r="OTD5" s="241"/>
      <c r="OTE5" s="241"/>
      <c r="OTF5" s="241"/>
      <c r="OTG5" s="241"/>
      <c r="OTH5" s="241"/>
      <c r="OTI5" s="241"/>
      <c r="OTJ5" s="241"/>
      <c r="OTK5" s="241"/>
      <c r="OTL5" s="241"/>
      <c r="OTM5" s="241"/>
      <c r="OTN5" s="241"/>
      <c r="OTO5" s="241"/>
      <c r="OTP5" s="241"/>
      <c r="OTQ5" s="241"/>
      <c r="OTR5" s="241"/>
      <c r="OTS5" s="241"/>
      <c r="OTT5" s="241"/>
      <c r="OTU5" s="241"/>
      <c r="OTV5" s="241"/>
      <c r="OTW5" s="241"/>
      <c r="OTX5" s="241"/>
      <c r="OTY5" s="241"/>
      <c r="OTZ5" s="241"/>
      <c r="OUA5" s="241"/>
      <c r="OUB5" s="241"/>
      <c r="OUC5" s="241"/>
      <c r="OUD5" s="241"/>
      <c r="OUE5" s="241"/>
      <c r="OUF5" s="241"/>
      <c r="OUG5" s="241"/>
      <c r="OUH5" s="241"/>
      <c r="OUI5" s="241"/>
      <c r="OUJ5" s="241"/>
      <c r="OUK5" s="241"/>
      <c r="OUL5" s="241"/>
      <c r="OUM5" s="241"/>
      <c r="OUN5" s="241"/>
      <c r="OUO5" s="241"/>
      <c r="OUP5" s="241"/>
      <c r="OUQ5" s="241"/>
      <c r="OUR5" s="241"/>
      <c r="OUS5" s="241"/>
      <c r="OUT5" s="241"/>
      <c r="OUU5" s="241"/>
      <c r="OUV5" s="241"/>
      <c r="OUW5" s="241"/>
      <c r="OUX5" s="241"/>
      <c r="OUY5" s="241"/>
      <c r="OUZ5" s="241"/>
      <c r="OVA5" s="241"/>
      <c r="OVB5" s="241"/>
      <c r="OVC5" s="241"/>
      <c r="OVD5" s="241"/>
      <c r="OVE5" s="241"/>
      <c r="OVF5" s="241"/>
      <c r="OVG5" s="241"/>
      <c r="OVH5" s="241"/>
      <c r="OVI5" s="241"/>
      <c r="OVJ5" s="241"/>
      <c r="OVK5" s="241"/>
      <c r="OVL5" s="241"/>
      <c r="OVM5" s="241"/>
      <c r="OVN5" s="241"/>
      <c r="OVO5" s="241"/>
      <c r="OVP5" s="241"/>
      <c r="OVQ5" s="241"/>
      <c r="OVR5" s="241"/>
      <c r="OVS5" s="241"/>
      <c r="OVT5" s="241"/>
      <c r="OVU5" s="241"/>
      <c r="OVV5" s="241"/>
      <c r="OVW5" s="241"/>
      <c r="OVX5" s="241"/>
      <c r="OVY5" s="241"/>
      <c r="OVZ5" s="241"/>
      <c r="OWA5" s="241"/>
      <c r="OWB5" s="241"/>
      <c r="OWC5" s="241"/>
      <c r="OWD5" s="241"/>
      <c r="OWE5" s="241"/>
      <c r="OWF5" s="241"/>
      <c r="OWG5" s="241"/>
      <c r="OWH5" s="241"/>
      <c r="OWI5" s="241"/>
      <c r="OWJ5" s="241"/>
      <c r="OWK5" s="241"/>
      <c r="OWL5" s="241"/>
      <c r="OWM5" s="241"/>
      <c r="OWN5" s="241"/>
      <c r="OWO5" s="241"/>
      <c r="OWP5" s="241"/>
      <c r="OWQ5" s="241"/>
      <c r="OWR5" s="241"/>
      <c r="OWS5" s="241"/>
      <c r="OWT5" s="241"/>
      <c r="OWU5" s="241"/>
      <c r="OWV5" s="241"/>
      <c r="OWW5" s="241"/>
      <c r="OWX5" s="241"/>
      <c r="OWY5" s="241"/>
      <c r="OWZ5" s="241"/>
      <c r="OXA5" s="241"/>
      <c r="OXB5" s="241"/>
      <c r="OXC5" s="241"/>
      <c r="OXD5" s="241"/>
      <c r="OXE5" s="241"/>
      <c r="OXF5" s="241"/>
      <c r="OXG5" s="241"/>
      <c r="OXH5" s="241"/>
      <c r="OXI5" s="241"/>
      <c r="OXJ5" s="241"/>
      <c r="OXK5" s="241"/>
      <c r="OXL5" s="241"/>
      <c r="OXM5" s="241"/>
      <c r="OXN5" s="241"/>
      <c r="OXO5" s="241"/>
      <c r="OXP5" s="241"/>
      <c r="OXQ5" s="241"/>
      <c r="OXR5" s="241"/>
      <c r="OXS5" s="241"/>
      <c r="OXT5" s="241"/>
      <c r="OXU5" s="241"/>
      <c r="OXV5" s="241"/>
      <c r="OXW5" s="241"/>
      <c r="OXX5" s="241"/>
      <c r="OXY5" s="241"/>
      <c r="OXZ5" s="241"/>
      <c r="OYA5" s="241"/>
      <c r="OYB5" s="241"/>
      <c r="OYC5" s="241"/>
      <c r="OYD5" s="241"/>
      <c r="OYE5" s="241"/>
      <c r="OYF5" s="241"/>
      <c r="OYG5" s="241"/>
      <c r="OYH5" s="241"/>
      <c r="OYI5" s="241"/>
      <c r="OYJ5" s="241"/>
      <c r="OYK5" s="241"/>
      <c r="OYL5" s="241"/>
      <c r="OYM5" s="241"/>
      <c r="OYN5" s="241"/>
      <c r="OYO5" s="241"/>
      <c r="OYP5" s="241"/>
      <c r="OYQ5" s="241"/>
      <c r="OYR5" s="241"/>
      <c r="OYS5" s="241"/>
      <c r="OYT5" s="241"/>
      <c r="OYU5" s="241"/>
      <c r="OYV5" s="241"/>
      <c r="OYW5" s="241"/>
      <c r="OYX5" s="241"/>
      <c r="OYY5" s="241"/>
      <c r="OYZ5" s="241"/>
      <c r="OZA5" s="241"/>
      <c r="OZB5" s="241"/>
      <c r="OZC5" s="241"/>
      <c r="OZD5" s="241"/>
      <c r="OZE5" s="241"/>
      <c r="OZF5" s="241"/>
      <c r="OZG5" s="241"/>
      <c r="OZH5" s="241"/>
      <c r="OZI5" s="241"/>
      <c r="OZJ5" s="241"/>
      <c r="OZK5" s="241"/>
      <c r="OZL5" s="241"/>
      <c r="OZM5" s="241"/>
      <c r="OZN5" s="241"/>
      <c r="OZO5" s="241"/>
      <c r="OZP5" s="241"/>
      <c r="OZQ5" s="241"/>
      <c r="OZR5" s="241"/>
      <c r="OZS5" s="241"/>
      <c r="OZT5" s="241"/>
      <c r="OZU5" s="241"/>
      <c r="OZV5" s="241"/>
      <c r="OZW5" s="241"/>
      <c r="OZX5" s="241"/>
      <c r="OZY5" s="241"/>
      <c r="OZZ5" s="241"/>
      <c r="PAA5" s="241"/>
      <c r="PAB5" s="241"/>
      <c r="PAC5" s="241"/>
      <c r="PAD5" s="241"/>
      <c r="PAE5" s="241"/>
      <c r="PAF5" s="241"/>
      <c r="PAG5" s="241"/>
      <c r="PAH5" s="241"/>
      <c r="PAI5" s="241"/>
      <c r="PAJ5" s="241"/>
      <c r="PAK5" s="241"/>
      <c r="PAL5" s="241"/>
      <c r="PAM5" s="241"/>
      <c r="PAN5" s="241"/>
      <c r="PAO5" s="241"/>
      <c r="PAP5" s="241"/>
      <c r="PAQ5" s="241"/>
      <c r="PAR5" s="241"/>
      <c r="PAS5" s="241"/>
      <c r="PAT5" s="241"/>
      <c r="PAU5" s="241"/>
      <c r="PAV5" s="241"/>
      <c r="PAW5" s="241"/>
      <c r="PAX5" s="241"/>
      <c r="PAY5" s="241"/>
      <c r="PAZ5" s="241"/>
      <c r="PBA5" s="241"/>
      <c r="PBB5" s="241"/>
      <c r="PBC5" s="241"/>
      <c r="PBD5" s="241"/>
      <c r="PBE5" s="241"/>
      <c r="PBF5" s="241"/>
      <c r="PBG5" s="241"/>
      <c r="PBH5" s="241"/>
      <c r="PBI5" s="241"/>
      <c r="PBJ5" s="241"/>
      <c r="PBK5" s="241"/>
      <c r="PBL5" s="241"/>
      <c r="PBM5" s="241"/>
      <c r="PBN5" s="241"/>
      <c r="PBO5" s="241"/>
      <c r="PBP5" s="241"/>
      <c r="PBQ5" s="241"/>
      <c r="PBR5" s="241"/>
      <c r="PBS5" s="241"/>
      <c r="PBT5" s="241"/>
      <c r="PBU5" s="241"/>
      <c r="PBV5" s="241"/>
      <c r="PBW5" s="241"/>
      <c r="PBX5" s="241"/>
      <c r="PBY5" s="241"/>
      <c r="PBZ5" s="241"/>
      <c r="PCA5" s="241"/>
      <c r="PCB5" s="241"/>
      <c r="PCC5" s="241"/>
      <c r="PCD5" s="241"/>
      <c r="PCE5" s="241"/>
      <c r="PCF5" s="241"/>
      <c r="PCG5" s="241"/>
      <c r="PCH5" s="241"/>
      <c r="PCI5" s="241"/>
      <c r="PCJ5" s="241"/>
      <c r="PCK5" s="241"/>
      <c r="PCL5" s="241"/>
      <c r="PCM5" s="241"/>
      <c r="PCN5" s="241"/>
      <c r="PCO5" s="241"/>
      <c r="PCP5" s="241"/>
      <c r="PCQ5" s="241"/>
      <c r="PCR5" s="241"/>
      <c r="PCS5" s="241"/>
      <c r="PCT5" s="241"/>
      <c r="PCU5" s="241"/>
      <c r="PCV5" s="241"/>
      <c r="PCW5" s="241"/>
      <c r="PCX5" s="241"/>
      <c r="PCY5" s="241"/>
      <c r="PCZ5" s="241"/>
      <c r="PDA5" s="241"/>
      <c r="PDB5" s="241"/>
      <c r="PDC5" s="241"/>
      <c r="PDD5" s="241"/>
      <c r="PDE5" s="241"/>
      <c r="PDF5" s="241"/>
      <c r="PDG5" s="241"/>
      <c r="PDH5" s="241"/>
      <c r="PDI5" s="241"/>
      <c r="PDJ5" s="241"/>
      <c r="PDK5" s="241"/>
      <c r="PDL5" s="241"/>
      <c r="PDM5" s="241"/>
      <c r="PDN5" s="241"/>
      <c r="PDO5" s="241"/>
      <c r="PDP5" s="241"/>
      <c r="PDQ5" s="241"/>
      <c r="PDR5" s="241"/>
      <c r="PDS5" s="241"/>
      <c r="PDT5" s="241"/>
      <c r="PDU5" s="241"/>
      <c r="PDV5" s="241"/>
      <c r="PDW5" s="241"/>
      <c r="PDX5" s="241"/>
      <c r="PDY5" s="241"/>
      <c r="PDZ5" s="241"/>
      <c r="PEA5" s="241"/>
      <c r="PEB5" s="241"/>
      <c r="PEC5" s="241"/>
      <c r="PED5" s="241"/>
      <c r="PEE5" s="241"/>
      <c r="PEF5" s="241"/>
      <c r="PEG5" s="241"/>
      <c r="PEH5" s="241"/>
      <c r="PEI5" s="241"/>
      <c r="PEJ5" s="241"/>
      <c r="PEK5" s="241"/>
      <c r="PEL5" s="241"/>
      <c r="PEM5" s="241"/>
      <c r="PEN5" s="241"/>
      <c r="PEO5" s="241"/>
      <c r="PEP5" s="241"/>
      <c r="PEQ5" s="241"/>
      <c r="PER5" s="241"/>
      <c r="PES5" s="241"/>
      <c r="PET5" s="241"/>
      <c r="PEU5" s="241"/>
      <c r="PEV5" s="241"/>
      <c r="PEW5" s="241"/>
      <c r="PEX5" s="241"/>
      <c r="PEY5" s="241"/>
      <c r="PEZ5" s="241"/>
      <c r="PFA5" s="241"/>
      <c r="PFB5" s="241"/>
      <c r="PFC5" s="241"/>
      <c r="PFD5" s="241"/>
      <c r="PFE5" s="241"/>
      <c r="PFF5" s="241"/>
      <c r="PFG5" s="241"/>
      <c r="PFH5" s="241"/>
      <c r="PFI5" s="241"/>
      <c r="PFJ5" s="241"/>
      <c r="PFK5" s="241"/>
      <c r="PFL5" s="241"/>
      <c r="PFM5" s="241"/>
      <c r="PFN5" s="241"/>
      <c r="PFO5" s="241"/>
      <c r="PFP5" s="241"/>
      <c r="PFQ5" s="241"/>
      <c r="PFR5" s="241"/>
      <c r="PFS5" s="241"/>
      <c r="PFT5" s="241"/>
      <c r="PFU5" s="241"/>
      <c r="PFV5" s="241"/>
      <c r="PFW5" s="241"/>
      <c r="PFX5" s="241"/>
      <c r="PFY5" s="241"/>
      <c r="PFZ5" s="241"/>
      <c r="PGA5" s="241"/>
      <c r="PGB5" s="241"/>
      <c r="PGC5" s="241"/>
      <c r="PGD5" s="241"/>
      <c r="PGE5" s="241"/>
      <c r="PGF5" s="241"/>
      <c r="PGG5" s="241"/>
      <c r="PGH5" s="241"/>
      <c r="PGI5" s="241"/>
      <c r="PGJ5" s="241"/>
      <c r="PGK5" s="241"/>
      <c r="PGL5" s="241"/>
      <c r="PGM5" s="241"/>
      <c r="PGN5" s="241"/>
      <c r="PGO5" s="241"/>
      <c r="PGP5" s="241"/>
      <c r="PGQ5" s="241"/>
      <c r="PGR5" s="241"/>
      <c r="PGS5" s="241"/>
      <c r="PGT5" s="241"/>
      <c r="PGU5" s="241"/>
      <c r="PGV5" s="241"/>
      <c r="PGW5" s="241"/>
      <c r="PGX5" s="241"/>
      <c r="PGY5" s="241"/>
      <c r="PGZ5" s="241"/>
      <c r="PHA5" s="241"/>
      <c r="PHB5" s="241"/>
      <c r="PHC5" s="241"/>
      <c r="PHD5" s="241"/>
      <c r="PHE5" s="241"/>
      <c r="PHF5" s="241"/>
      <c r="PHG5" s="241"/>
      <c r="PHH5" s="241"/>
      <c r="PHI5" s="241"/>
      <c r="PHJ5" s="241"/>
      <c r="PHK5" s="241"/>
      <c r="PHL5" s="241"/>
      <c r="PHM5" s="241"/>
      <c r="PHN5" s="241"/>
      <c r="PHO5" s="241"/>
      <c r="PHP5" s="241"/>
      <c r="PHQ5" s="241"/>
      <c r="PHR5" s="241"/>
      <c r="PHS5" s="241"/>
      <c r="PHT5" s="241"/>
      <c r="PHU5" s="241"/>
      <c r="PHV5" s="241"/>
      <c r="PHW5" s="241"/>
      <c r="PHX5" s="241"/>
      <c r="PHY5" s="241"/>
      <c r="PHZ5" s="241"/>
      <c r="PIA5" s="241"/>
      <c r="PIB5" s="241"/>
      <c r="PIC5" s="241"/>
      <c r="PID5" s="241"/>
      <c r="PIE5" s="241"/>
      <c r="PIF5" s="241"/>
      <c r="PIG5" s="241"/>
      <c r="PIH5" s="241"/>
      <c r="PII5" s="241"/>
      <c r="PIJ5" s="241"/>
      <c r="PIK5" s="241"/>
      <c r="PIL5" s="241"/>
      <c r="PIM5" s="241"/>
      <c r="PIN5" s="241"/>
      <c r="PIO5" s="241"/>
      <c r="PIP5" s="241"/>
      <c r="PIQ5" s="241"/>
      <c r="PIR5" s="241"/>
      <c r="PIS5" s="241"/>
      <c r="PIT5" s="241"/>
      <c r="PIU5" s="241"/>
      <c r="PIV5" s="241"/>
      <c r="PIW5" s="241"/>
      <c r="PIX5" s="241"/>
      <c r="PIY5" s="241"/>
      <c r="PIZ5" s="241"/>
      <c r="PJA5" s="241"/>
      <c r="PJB5" s="241"/>
      <c r="PJC5" s="241"/>
      <c r="PJD5" s="241"/>
      <c r="PJE5" s="241"/>
      <c r="PJF5" s="241"/>
      <c r="PJG5" s="241"/>
      <c r="PJH5" s="241"/>
      <c r="PJI5" s="241"/>
      <c r="PJJ5" s="241"/>
      <c r="PJK5" s="241"/>
      <c r="PJL5" s="241"/>
      <c r="PJM5" s="241"/>
      <c r="PJN5" s="241"/>
      <c r="PJO5" s="241"/>
      <c r="PJP5" s="241"/>
      <c r="PJQ5" s="241"/>
      <c r="PJR5" s="241"/>
      <c r="PJS5" s="241"/>
      <c r="PJT5" s="241"/>
      <c r="PJU5" s="241"/>
      <c r="PJV5" s="241"/>
      <c r="PJW5" s="241"/>
      <c r="PJX5" s="241"/>
      <c r="PJY5" s="241"/>
      <c r="PJZ5" s="241"/>
      <c r="PKA5" s="241"/>
      <c r="PKB5" s="241"/>
      <c r="PKC5" s="241"/>
      <c r="PKD5" s="241"/>
      <c r="PKE5" s="241"/>
      <c r="PKF5" s="241"/>
      <c r="PKG5" s="241"/>
      <c r="PKH5" s="241"/>
      <c r="PKI5" s="241"/>
      <c r="PKJ5" s="241"/>
      <c r="PKK5" s="241"/>
      <c r="PKL5" s="241"/>
      <c r="PKM5" s="241"/>
      <c r="PKN5" s="241"/>
      <c r="PKO5" s="241"/>
      <c r="PKP5" s="241"/>
      <c r="PKQ5" s="241"/>
      <c r="PKR5" s="241"/>
      <c r="PKS5" s="241"/>
      <c r="PKT5" s="241"/>
      <c r="PKU5" s="241"/>
      <c r="PKV5" s="241"/>
      <c r="PKW5" s="241"/>
      <c r="PKX5" s="241"/>
      <c r="PKY5" s="241"/>
      <c r="PKZ5" s="241"/>
      <c r="PLA5" s="241"/>
      <c r="PLB5" s="241"/>
      <c r="PLC5" s="241"/>
      <c r="PLD5" s="241"/>
      <c r="PLE5" s="241"/>
      <c r="PLF5" s="241"/>
      <c r="PLG5" s="241"/>
      <c r="PLH5" s="241"/>
      <c r="PLI5" s="241"/>
      <c r="PLJ5" s="241"/>
      <c r="PLK5" s="241"/>
      <c r="PLL5" s="241"/>
      <c r="PLM5" s="241"/>
      <c r="PLN5" s="241"/>
      <c r="PLO5" s="241"/>
      <c r="PLP5" s="241"/>
      <c r="PLQ5" s="241"/>
      <c r="PLR5" s="241"/>
      <c r="PLS5" s="241"/>
      <c r="PLT5" s="241"/>
      <c r="PLU5" s="241"/>
      <c r="PLV5" s="241"/>
      <c r="PLW5" s="241"/>
      <c r="PLX5" s="241"/>
      <c r="PLY5" s="241"/>
      <c r="PLZ5" s="241"/>
      <c r="PMA5" s="241"/>
      <c r="PMB5" s="241"/>
      <c r="PMC5" s="241"/>
      <c r="PMD5" s="241"/>
      <c r="PME5" s="241"/>
      <c r="PMF5" s="241"/>
      <c r="PMG5" s="241"/>
      <c r="PMH5" s="241"/>
      <c r="PMI5" s="241"/>
      <c r="PMJ5" s="241"/>
      <c r="PMK5" s="241"/>
      <c r="PML5" s="241"/>
      <c r="PMM5" s="241"/>
      <c r="PMN5" s="241"/>
      <c r="PMO5" s="241"/>
      <c r="PMP5" s="241"/>
      <c r="PMQ5" s="241"/>
      <c r="PMR5" s="241"/>
      <c r="PMS5" s="241"/>
      <c r="PMT5" s="241"/>
      <c r="PMU5" s="241"/>
      <c r="PMV5" s="241"/>
      <c r="PMW5" s="241"/>
      <c r="PMX5" s="241"/>
      <c r="PMY5" s="241"/>
      <c r="PMZ5" s="241"/>
      <c r="PNA5" s="241"/>
      <c r="PNB5" s="241"/>
      <c r="PNC5" s="241"/>
      <c r="PND5" s="241"/>
      <c r="PNE5" s="241"/>
      <c r="PNF5" s="241"/>
      <c r="PNG5" s="241"/>
      <c r="PNH5" s="241"/>
      <c r="PNI5" s="241"/>
      <c r="PNJ5" s="241"/>
      <c r="PNK5" s="241"/>
      <c r="PNL5" s="241"/>
      <c r="PNM5" s="241"/>
      <c r="PNN5" s="241"/>
      <c r="PNO5" s="241"/>
      <c r="PNP5" s="241"/>
      <c r="PNQ5" s="241"/>
      <c r="PNR5" s="241"/>
      <c r="PNS5" s="241"/>
      <c r="PNT5" s="241"/>
      <c r="PNU5" s="241"/>
      <c r="PNV5" s="241"/>
      <c r="PNW5" s="241"/>
      <c r="PNX5" s="241"/>
      <c r="PNY5" s="241"/>
      <c r="PNZ5" s="241"/>
      <c r="POA5" s="241"/>
      <c r="POB5" s="241"/>
      <c r="POC5" s="241"/>
      <c r="POD5" s="241"/>
      <c r="POE5" s="241"/>
      <c r="POF5" s="241"/>
      <c r="POG5" s="241"/>
      <c r="POH5" s="241"/>
      <c r="POI5" s="241"/>
      <c r="POJ5" s="241"/>
      <c r="POK5" s="241"/>
      <c r="POL5" s="241"/>
      <c r="POM5" s="241"/>
      <c r="PON5" s="241"/>
      <c r="POO5" s="241"/>
      <c r="POP5" s="241"/>
      <c r="POQ5" s="241"/>
      <c r="POR5" s="241"/>
      <c r="POS5" s="241"/>
      <c r="POT5" s="241"/>
      <c r="POU5" s="241"/>
      <c r="POV5" s="241"/>
      <c r="POW5" s="241"/>
      <c r="POX5" s="241"/>
      <c r="POY5" s="241"/>
      <c r="POZ5" s="241"/>
      <c r="PPA5" s="241"/>
      <c r="PPB5" s="241"/>
      <c r="PPC5" s="241"/>
      <c r="PPD5" s="241"/>
      <c r="PPE5" s="241"/>
      <c r="PPF5" s="241"/>
      <c r="PPG5" s="241"/>
      <c r="PPH5" s="241"/>
      <c r="PPI5" s="241"/>
      <c r="PPJ5" s="241"/>
      <c r="PPK5" s="241"/>
      <c r="PPL5" s="241"/>
      <c r="PPM5" s="241"/>
      <c r="PPN5" s="241"/>
      <c r="PPO5" s="241"/>
      <c r="PPP5" s="241"/>
      <c r="PPQ5" s="241"/>
      <c r="PPR5" s="241"/>
      <c r="PPS5" s="241"/>
      <c r="PPT5" s="241"/>
      <c r="PPU5" s="241"/>
      <c r="PPV5" s="241"/>
      <c r="PPW5" s="241"/>
      <c r="PPX5" s="241"/>
      <c r="PPY5" s="241"/>
      <c r="PPZ5" s="241"/>
      <c r="PQA5" s="241"/>
      <c r="PQB5" s="241"/>
      <c r="PQC5" s="241"/>
      <c r="PQD5" s="241"/>
      <c r="PQE5" s="241"/>
      <c r="PQF5" s="241"/>
      <c r="PQG5" s="241"/>
      <c r="PQH5" s="241"/>
      <c r="PQI5" s="241"/>
      <c r="PQJ5" s="241"/>
      <c r="PQK5" s="241"/>
      <c r="PQL5" s="241"/>
      <c r="PQM5" s="241"/>
      <c r="PQN5" s="241"/>
      <c r="PQO5" s="241"/>
      <c r="PQP5" s="241"/>
      <c r="PQQ5" s="241"/>
      <c r="PQR5" s="241"/>
      <c r="PQS5" s="241"/>
      <c r="PQT5" s="241"/>
      <c r="PQU5" s="241"/>
      <c r="PQV5" s="241"/>
      <c r="PQW5" s="241"/>
      <c r="PQX5" s="241"/>
      <c r="PQY5" s="241"/>
      <c r="PQZ5" s="241"/>
      <c r="PRA5" s="241"/>
      <c r="PRB5" s="241"/>
      <c r="PRC5" s="241"/>
      <c r="PRD5" s="241"/>
      <c r="PRE5" s="241"/>
      <c r="PRF5" s="241"/>
      <c r="PRG5" s="241"/>
      <c r="PRH5" s="241"/>
      <c r="PRI5" s="241"/>
      <c r="PRJ5" s="241"/>
      <c r="PRK5" s="241"/>
      <c r="PRL5" s="241"/>
      <c r="PRM5" s="241"/>
      <c r="PRN5" s="241"/>
      <c r="PRO5" s="241"/>
      <c r="PRP5" s="241"/>
      <c r="PRQ5" s="241"/>
      <c r="PRR5" s="241"/>
      <c r="PRS5" s="241"/>
      <c r="PRT5" s="241"/>
      <c r="PRU5" s="241"/>
      <c r="PRV5" s="241"/>
      <c r="PRW5" s="241"/>
      <c r="PRX5" s="241"/>
      <c r="PRY5" s="241"/>
      <c r="PRZ5" s="241"/>
      <c r="PSA5" s="241"/>
      <c r="PSB5" s="241"/>
      <c r="PSC5" s="241"/>
      <c r="PSD5" s="241"/>
      <c r="PSE5" s="241"/>
      <c r="PSF5" s="241"/>
      <c r="PSG5" s="241"/>
      <c r="PSH5" s="241"/>
      <c r="PSI5" s="241"/>
      <c r="PSJ5" s="241"/>
      <c r="PSK5" s="241"/>
      <c r="PSL5" s="241"/>
      <c r="PSM5" s="241"/>
      <c r="PSN5" s="241"/>
      <c r="PSO5" s="241"/>
      <c r="PSP5" s="241"/>
      <c r="PSQ5" s="241"/>
      <c r="PSR5" s="241"/>
      <c r="PSS5" s="241"/>
      <c r="PST5" s="241"/>
      <c r="PSU5" s="241"/>
      <c r="PSV5" s="241"/>
      <c r="PSW5" s="241"/>
      <c r="PSX5" s="241"/>
      <c r="PSY5" s="241"/>
      <c r="PSZ5" s="241"/>
      <c r="PTA5" s="241"/>
      <c r="PTB5" s="241"/>
      <c r="PTC5" s="241"/>
      <c r="PTD5" s="241"/>
      <c r="PTE5" s="241"/>
      <c r="PTF5" s="241"/>
      <c r="PTG5" s="241"/>
      <c r="PTH5" s="241"/>
      <c r="PTI5" s="241"/>
      <c r="PTJ5" s="241"/>
      <c r="PTK5" s="241"/>
      <c r="PTL5" s="241"/>
      <c r="PTM5" s="241"/>
      <c r="PTN5" s="241"/>
      <c r="PTO5" s="241"/>
      <c r="PTP5" s="241"/>
      <c r="PTQ5" s="241"/>
      <c r="PTR5" s="241"/>
      <c r="PTS5" s="241"/>
      <c r="PTT5" s="241"/>
      <c r="PTU5" s="241"/>
      <c r="PTV5" s="241"/>
      <c r="PTW5" s="241"/>
      <c r="PTX5" s="241"/>
      <c r="PTY5" s="241"/>
      <c r="PTZ5" s="241"/>
      <c r="PUA5" s="241"/>
      <c r="PUB5" s="241"/>
      <c r="PUC5" s="241"/>
      <c r="PUD5" s="241"/>
      <c r="PUE5" s="241"/>
      <c r="PUF5" s="241"/>
      <c r="PUG5" s="241"/>
      <c r="PUH5" s="241"/>
      <c r="PUI5" s="241"/>
      <c r="PUJ5" s="241"/>
      <c r="PUK5" s="241"/>
      <c r="PUL5" s="241"/>
      <c r="PUM5" s="241"/>
      <c r="PUN5" s="241"/>
      <c r="PUO5" s="241"/>
      <c r="PUP5" s="241"/>
      <c r="PUQ5" s="241"/>
      <c r="PUR5" s="241"/>
      <c r="PUS5" s="241"/>
      <c r="PUT5" s="241"/>
      <c r="PUU5" s="241"/>
      <c r="PUV5" s="241"/>
      <c r="PUW5" s="241"/>
      <c r="PUX5" s="241"/>
      <c r="PUY5" s="241"/>
      <c r="PUZ5" s="241"/>
      <c r="PVA5" s="241"/>
      <c r="PVB5" s="241"/>
      <c r="PVC5" s="241"/>
      <c r="PVD5" s="241"/>
      <c r="PVE5" s="241"/>
      <c r="PVF5" s="241"/>
      <c r="PVG5" s="241"/>
      <c r="PVH5" s="241"/>
      <c r="PVI5" s="241"/>
      <c r="PVJ5" s="241"/>
      <c r="PVK5" s="241"/>
      <c r="PVL5" s="241"/>
      <c r="PVM5" s="241"/>
      <c r="PVN5" s="241"/>
      <c r="PVO5" s="241"/>
      <c r="PVP5" s="241"/>
      <c r="PVQ5" s="241"/>
      <c r="PVR5" s="241"/>
      <c r="PVS5" s="241"/>
      <c r="PVT5" s="241"/>
      <c r="PVU5" s="241"/>
      <c r="PVV5" s="241"/>
      <c r="PVW5" s="241"/>
      <c r="PVX5" s="241"/>
      <c r="PVY5" s="241"/>
      <c r="PVZ5" s="241"/>
      <c r="PWA5" s="241"/>
      <c r="PWB5" s="241"/>
      <c r="PWC5" s="241"/>
      <c r="PWD5" s="241"/>
      <c r="PWE5" s="241"/>
      <c r="PWF5" s="241"/>
      <c r="PWG5" s="241"/>
      <c r="PWH5" s="241"/>
      <c r="PWI5" s="241"/>
      <c r="PWJ5" s="241"/>
      <c r="PWK5" s="241"/>
      <c r="PWL5" s="241"/>
      <c r="PWM5" s="241"/>
      <c r="PWN5" s="241"/>
      <c r="PWO5" s="241"/>
      <c r="PWP5" s="241"/>
      <c r="PWQ5" s="241"/>
      <c r="PWR5" s="241"/>
      <c r="PWS5" s="241"/>
      <c r="PWT5" s="241"/>
      <c r="PWU5" s="241"/>
      <c r="PWV5" s="241"/>
      <c r="PWW5" s="241"/>
      <c r="PWX5" s="241"/>
      <c r="PWY5" s="241"/>
      <c r="PWZ5" s="241"/>
      <c r="PXA5" s="241"/>
      <c r="PXB5" s="241"/>
      <c r="PXC5" s="241"/>
      <c r="PXD5" s="241"/>
      <c r="PXE5" s="241"/>
      <c r="PXF5" s="241"/>
      <c r="PXG5" s="241"/>
      <c r="PXH5" s="241"/>
      <c r="PXI5" s="241"/>
      <c r="PXJ5" s="241"/>
      <c r="PXK5" s="241"/>
      <c r="PXL5" s="241"/>
      <c r="PXM5" s="241"/>
      <c r="PXN5" s="241"/>
      <c r="PXO5" s="241"/>
      <c r="PXP5" s="241"/>
      <c r="PXQ5" s="241"/>
      <c r="PXR5" s="241"/>
      <c r="PXS5" s="241"/>
      <c r="PXT5" s="241"/>
      <c r="PXU5" s="241"/>
      <c r="PXV5" s="241"/>
      <c r="PXW5" s="241"/>
      <c r="PXX5" s="241"/>
      <c r="PXY5" s="241"/>
      <c r="PXZ5" s="241"/>
      <c r="PYA5" s="241"/>
      <c r="PYB5" s="241"/>
      <c r="PYC5" s="241"/>
      <c r="PYD5" s="241"/>
      <c r="PYE5" s="241"/>
      <c r="PYF5" s="241"/>
      <c r="PYG5" s="241"/>
      <c r="PYH5" s="241"/>
      <c r="PYI5" s="241"/>
      <c r="PYJ5" s="241"/>
      <c r="PYK5" s="241"/>
      <c r="PYL5" s="241"/>
      <c r="PYM5" s="241"/>
      <c r="PYN5" s="241"/>
      <c r="PYO5" s="241"/>
      <c r="PYP5" s="241"/>
      <c r="PYQ5" s="241"/>
      <c r="PYR5" s="241"/>
      <c r="PYS5" s="241"/>
      <c r="PYT5" s="241"/>
      <c r="PYU5" s="241"/>
      <c r="PYV5" s="241"/>
      <c r="PYW5" s="241"/>
      <c r="PYX5" s="241"/>
      <c r="PYY5" s="241"/>
      <c r="PYZ5" s="241"/>
      <c r="PZA5" s="241"/>
      <c r="PZB5" s="241"/>
      <c r="PZC5" s="241"/>
      <c r="PZD5" s="241"/>
      <c r="PZE5" s="241"/>
      <c r="PZF5" s="241"/>
      <c r="PZG5" s="241"/>
      <c r="PZH5" s="241"/>
      <c r="PZI5" s="241"/>
      <c r="PZJ5" s="241"/>
      <c r="PZK5" s="241"/>
      <c r="PZL5" s="241"/>
      <c r="PZM5" s="241"/>
      <c r="PZN5" s="241"/>
      <c r="PZO5" s="241"/>
      <c r="PZP5" s="241"/>
      <c r="PZQ5" s="241"/>
      <c r="PZR5" s="241"/>
      <c r="PZS5" s="241"/>
      <c r="PZT5" s="241"/>
      <c r="PZU5" s="241"/>
      <c r="PZV5" s="241"/>
      <c r="PZW5" s="241"/>
      <c r="PZX5" s="241"/>
      <c r="PZY5" s="241"/>
      <c r="PZZ5" s="241"/>
      <c r="QAA5" s="241"/>
      <c r="QAB5" s="241"/>
      <c r="QAC5" s="241"/>
      <c r="QAD5" s="241"/>
      <c r="QAE5" s="241"/>
      <c r="QAF5" s="241"/>
      <c r="QAG5" s="241"/>
      <c r="QAH5" s="241"/>
      <c r="QAI5" s="241"/>
      <c r="QAJ5" s="241"/>
      <c r="QAK5" s="241"/>
      <c r="QAL5" s="241"/>
      <c r="QAM5" s="241"/>
      <c r="QAN5" s="241"/>
      <c r="QAO5" s="241"/>
      <c r="QAP5" s="241"/>
      <c r="QAQ5" s="241"/>
      <c r="QAR5" s="241"/>
      <c r="QAS5" s="241"/>
      <c r="QAT5" s="241"/>
      <c r="QAU5" s="241"/>
      <c r="QAV5" s="241"/>
      <c r="QAW5" s="241"/>
      <c r="QAX5" s="241"/>
      <c r="QAY5" s="241"/>
      <c r="QAZ5" s="241"/>
      <c r="QBA5" s="241"/>
      <c r="QBB5" s="241"/>
      <c r="QBC5" s="241"/>
      <c r="QBD5" s="241"/>
      <c r="QBE5" s="241"/>
      <c r="QBF5" s="241"/>
      <c r="QBG5" s="241"/>
      <c r="QBH5" s="241"/>
      <c r="QBI5" s="241"/>
      <c r="QBJ5" s="241"/>
      <c r="QBK5" s="241"/>
      <c r="QBL5" s="241"/>
      <c r="QBM5" s="241"/>
      <c r="QBN5" s="241"/>
      <c r="QBO5" s="241"/>
      <c r="QBP5" s="241"/>
      <c r="QBQ5" s="241"/>
      <c r="QBR5" s="241"/>
      <c r="QBS5" s="241"/>
      <c r="QBT5" s="241"/>
      <c r="QBU5" s="241"/>
      <c r="QBV5" s="241"/>
      <c r="QBW5" s="241"/>
      <c r="QBX5" s="241"/>
      <c r="QBY5" s="241"/>
      <c r="QBZ5" s="241"/>
      <c r="QCA5" s="241"/>
      <c r="QCB5" s="241"/>
      <c r="QCC5" s="241"/>
      <c r="QCD5" s="241"/>
      <c r="QCE5" s="241"/>
      <c r="QCF5" s="241"/>
      <c r="QCG5" s="241"/>
      <c r="QCH5" s="241"/>
      <c r="QCI5" s="241"/>
      <c r="QCJ5" s="241"/>
      <c r="QCK5" s="241"/>
      <c r="QCL5" s="241"/>
      <c r="QCM5" s="241"/>
      <c r="QCN5" s="241"/>
      <c r="QCO5" s="241"/>
      <c r="QCP5" s="241"/>
      <c r="QCQ5" s="241"/>
      <c r="QCR5" s="241"/>
      <c r="QCS5" s="241"/>
      <c r="QCT5" s="241"/>
      <c r="QCU5" s="241"/>
      <c r="QCV5" s="241"/>
      <c r="QCW5" s="241"/>
      <c r="QCX5" s="241"/>
      <c r="QCY5" s="241"/>
      <c r="QCZ5" s="241"/>
      <c r="QDA5" s="241"/>
      <c r="QDB5" s="241"/>
      <c r="QDC5" s="241"/>
      <c r="QDD5" s="241"/>
      <c r="QDE5" s="241"/>
      <c r="QDF5" s="241"/>
      <c r="QDG5" s="241"/>
      <c r="QDH5" s="241"/>
      <c r="QDI5" s="241"/>
      <c r="QDJ5" s="241"/>
      <c r="QDK5" s="241"/>
      <c r="QDL5" s="241"/>
      <c r="QDM5" s="241"/>
      <c r="QDN5" s="241"/>
      <c r="QDO5" s="241"/>
      <c r="QDP5" s="241"/>
      <c r="QDQ5" s="241"/>
      <c r="QDR5" s="241"/>
      <c r="QDS5" s="241"/>
      <c r="QDT5" s="241"/>
      <c r="QDU5" s="241"/>
      <c r="QDV5" s="241"/>
      <c r="QDW5" s="241"/>
      <c r="QDX5" s="241"/>
      <c r="QDY5" s="241"/>
      <c r="QDZ5" s="241"/>
      <c r="QEA5" s="241"/>
      <c r="QEB5" s="241"/>
      <c r="QEC5" s="241"/>
      <c r="QED5" s="241"/>
      <c r="QEE5" s="241"/>
      <c r="QEF5" s="241"/>
      <c r="QEG5" s="241"/>
      <c r="QEH5" s="241"/>
      <c r="QEI5" s="241"/>
      <c r="QEJ5" s="241"/>
      <c r="QEK5" s="241"/>
      <c r="QEL5" s="241"/>
      <c r="QEM5" s="241"/>
      <c r="QEN5" s="241"/>
      <c r="QEO5" s="241"/>
      <c r="QEP5" s="241"/>
      <c r="QEQ5" s="241"/>
      <c r="QER5" s="241"/>
      <c r="QES5" s="241"/>
      <c r="QET5" s="241"/>
      <c r="QEU5" s="241"/>
      <c r="QEV5" s="241"/>
      <c r="QEW5" s="241"/>
      <c r="QEX5" s="241"/>
      <c r="QEY5" s="241"/>
      <c r="QEZ5" s="241"/>
      <c r="QFA5" s="241"/>
      <c r="QFB5" s="241"/>
      <c r="QFC5" s="241"/>
      <c r="QFD5" s="241"/>
      <c r="QFE5" s="241"/>
      <c r="QFF5" s="241"/>
      <c r="QFG5" s="241"/>
      <c r="QFH5" s="241"/>
      <c r="QFI5" s="241"/>
      <c r="QFJ5" s="241"/>
      <c r="QFK5" s="241"/>
      <c r="QFL5" s="241"/>
      <c r="QFM5" s="241"/>
      <c r="QFN5" s="241"/>
      <c r="QFO5" s="241"/>
      <c r="QFP5" s="241"/>
      <c r="QFQ5" s="241"/>
      <c r="QFR5" s="241"/>
      <c r="QFS5" s="241"/>
      <c r="QFT5" s="241"/>
      <c r="QFU5" s="241"/>
      <c r="QFV5" s="241"/>
      <c r="QFW5" s="241"/>
      <c r="QFX5" s="241"/>
      <c r="QFY5" s="241"/>
      <c r="QFZ5" s="241"/>
      <c r="QGA5" s="241"/>
      <c r="QGB5" s="241"/>
      <c r="QGC5" s="241"/>
      <c r="QGD5" s="241"/>
      <c r="QGE5" s="241"/>
      <c r="QGF5" s="241"/>
      <c r="QGG5" s="241"/>
      <c r="QGH5" s="241"/>
      <c r="QGI5" s="241"/>
      <c r="QGJ5" s="241"/>
      <c r="QGK5" s="241"/>
      <c r="QGL5" s="241"/>
      <c r="QGM5" s="241"/>
      <c r="QGN5" s="241"/>
      <c r="QGO5" s="241"/>
      <c r="QGP5" s="241"/>
      <c r="QGQ5" s="241"/>
      <c r="QGR5" s="241"/>
      <c r="QGS5" s="241"/>
      <c r="QGT5" s="241"/>
      <c r="QGU5" s="241"/>
      <c r="QGV5" s="241"/>
      <c r="QGW5" s="241"/>
      <c r="QGX5" s="241"/>
      <c r="QGY5" s="241"/>
      <c r="QGZ5" s="241"/>
      <c r="QHA5" s="241"/>
      <c r="QHB5" s="241"/>
      <c r="QHC5" s="241"/>
      <c r="QHD5" s="241"/>
      <c r="QHE5" s="241"/>
      <c r="QHF5" s="241"/>
      <c r="QHG5" s="241"/>
      <c r="QHH5" s="241"/>
      <c r="QHI5" s="241"/>
      <c r="QHJ5" s="241"/>
      <c r="QHK5" s="241"/>
      <c r="QHL5" s="241"/>
      <c r="QHM5" s="241"/>
      <c r="QHN5" s="241"/>
      <c r="QHO5" s="241"/>
      <c r="QHP5" s="241"/>
      <c r="QHQ5" s="241"/>
      <c r="QHR5" s="241"/>
      <c r="QHS5" s="241"/>
      <c r="QHT5" s="241"/>
      <c r="QHU5" s="241"/>
      <c r="QHV5" s="241"/>
      <c r="QHW5" s="241"/>
      <c r="QHX5" s="241"/>
      <c r="QHY5" s="241"/>
      <c r="QHZ5" s="241"/>
      <c r="QIA5" s="241"/>
      <c r="QIB5" s="241"/>
      <c r="QIC5" s="241"/>
      <c r="QID5" s="241"/>
      <c r="QIE5" s="241"/>
      <c r="QIF5" s="241"/>
      <c r="QIG5" s="241"/>
      <c r="QIH5" s="241"/>
      <c r="QII5" s="241"/>
      <c r="QIJ5" s="241"/>
      <c r="QIK5" s="241"/>
      <c r="QIL5" s="241"/>
      <c r="QIM5" s="241"/>
      <c r="QIN5" s="241"/>
      <c r="QIO5" s="241"/>
      <c r="QIP5" s="241"/>
      <c r="QIQ5" s="241"/>
      <c r="QIR5" s="241"/>
      <c r="QIS5" s="241"/>
      <c r="QIT5" s="241"/>
      <c r="QIU5" s="241"/>
      <c r="QIV5" s="241"/>
      <c r="QIW5" s="241"/>
      <c r="QIX5" s="241"/>
      <c r="QIY5" s="241"/>
      <c r="QIZ5" s="241"/>
      <c r="QJA5" s="241"/>
      <c r="QJB5" s="241"/>
      <c r="QJC5" s="241"/>
      <c r="QJD5" s="241"/>
      <c r="QJE5" s="241"/>
      <c r="QJF5" s="241"/>
      <c r="QJG5" s="241"/>
      <c r="QJH5" s="241"/>
      <c r="QJI5" s="241"/>
      <c r="QJJ5" s="241"/>
      <c r="QJK5" s="241"/>
      <c r="QJL5" s="241"/>
      <c r="QJM5" s="241"/>
      <c r="QJN5" s="241"/>
      <c r="QJO5" s="241"/>
      <c r="QJP5" s="241"/>
      <c r="QJQ5" s="241"/>
      <c r="QJR5" s="241"/>
      <c r="QJS5" s="241"/>
      <c r="QJT5" s="241"/>
      <c r="QJU5" s="241"/>
      <c r="QJV5" s="241"/>
      <c r="QJW5" s="241"/>
      <c r="QJX5" s="241"/>
      <c r="QJY5" s="241"/>
      <c r="QJZ5" s="241"/>
      <c r="QKA5" s="241"/>
      <c r="QKB5" s="241"/>
      <c r="QKC5" s="241"/>
      <c r="QKD5" s="241"/>
      <c r="QKE5" s="241"/>
      <c r="QKF5" s="241"/>
      <c r="QKG5" s="241"/>
      <c r="QKH5" s="241"/>
      <c r="QKI5" s="241"/>
      <c r="QKJ5" s="241"/>
      <c r="QKK5" s="241"/>
      <c r="QKL5" s="241"/>
      <c r="QKM5" s="241"/>
      <c r="QKN5" s="241"/>
      <c r="QKO5" s="241"/>
      <c r="QKP5" s="241"/>
      <c r="QKQ5" s="241"/>
      <c r="QKR5" s="241"/>
      <c r="QKS5" s="241"/>
      <c r="QKT5" s="241"/>
      <c r="QKU5" s="241"/>
      <c r="QKV5" s="241"/>
      <c r="QKW5" s="241"/>
      <c r="QKX5" s="241"/>
      <c r="QKY5" s="241"/>
      <c r="QKZ5" s="241"/>
      <c r="QLA5" s="241"/>
      <c r="QLB5" s="241"/>
      <c r="QLC5" s="241"/>
      <c r="QLD5" s="241"/>
      <c r="QLE5" s="241"/>
      <c r="QLF5" s="241"/>
      <c r="QLG5" s="241"/>
      <c r="QLH5" s="241"/>
      <c r="QLI5" s="241"/>
      <c r="QLJ5" s="241"/>
      <c r="QLK5" s="241"/>
      <c r="QLL5" s="241"/>
      <c r="QLM5" s="241"/>
      <c r="QLN5" s="241"/>
      <c r="QLO5" s="241"/>
      <c r="QLP5" s="241"/>
      <c r="QLQ5" s="241"/>
      <c r="QLR5" s="241"/>
      <c r="QLS5" s="241"/>
      <c r="QLT5" s="241"/>
      <c r="QLU5" s="241"/>
      <c r="QLV5" s="241"/>
      <c r="QLW5" s="241"/>
      <c r="QLX5" s="241"/>
      <c r="QLY5" s="241"/>
      <c r="QLZ5" s="241"/>
      <c r="QMA5" s="241"/>
      <c r="QMB5" s="241"/>
      <c r="QMC5" s="241"/>
      <c r="QMD5" s="241"/>
      <c r="QME5" s="241"/>
      <c r="QMF5" s="241"/>
      <c r="QMG5" s="241"/>
      <c r="QMH5" s="241"/>
      <c r="QMI5" s="241"/>
      <c r="QMJ5" s="241"/>
      <c r="QMK5" s="241"/>
      <c r="QML5" s="241"/>
      <c r="QMM5" s="241"/>
      <c r="QMN5" s="241"/>
      <c r="QMO5" s="241"/>
      <c r="QMP5" s="241"/>
      <c r="QMQ5" s="241"/>
      <c r="QMR5" s="241"/>
      <c r="QMS5" s="241"/>
      <c r="QMT5" s="241"/>
      <c r="QMU5" s="241"/>
      <c r="QMV5" s="241"/>
      <c r="QMW5" s="241"/>
      <c r="QMX5" s="241"/>
      <c r="QMY5" s="241"/>
      <c r="QMZ5" s="241"/>
      <c r="QNA5" s="241"/>
      <c r="QNB5" s="241"/>
      <c r="QNC5" s="241"/>
      <c r="QND5" s="241"/>
      <c r="QNE5" s="241"/>
      <c r="QNF5" s="241"/>
      <c r="QNG5" s="241"/>
      <c r="QNH5" s="241"/>
      <c r="QNI5" s="241"/>
      <c r="QNJ5" s="241"/>
      <c r="QNK5" s="241"/>
      <c r="QNL5" s="241"/>
      <c r="QNM5" s="241"/>
      <c r="QNN5" s="241"/>
      <c r="QNO5" s="241"/>
      <c r="QNP5" s="241"/>
      <c r="QNQ5" s="241"/>
      <c r="QNR5" s="241"/>
      <c r="QNS5" s="241"/>
      <c r="QNT5" s="241"/>
      <c r="QNU5" s="241"/>
      <c r="QNV5" s="241"/>
      <c r="QNW5" s="241"/>
      <c r="QNX5" s="241"/>
      <c r="QNY5" s="241"/>
      <c r="QNZ5" s="241"/>
      <c r="QOA5" s="241"/>
      <c r="QOB5" s="241"/>
      <c r="QOC5" s="241"/>
      <c r="QOD5" s="241"/>
      <c r="QOE5" s="241"/>
      <c r="QOF5" s="241"/>
      <c r="QOG5" s="241"/>
      <c r="QOH5" s="241"/>
      <c r="QOI5" s="241"/>
      <c r="QOJ5" s="241"/>
      <c r="QOK5" s="241"/>
      <c r="QOL5" s="241"/>
      <c r="QOM5" s="241"/>
      <c r="QON5" s="241"/>
      <c r="QOO5" s="241"/>
      <c r="QOP5" s="241"/>
      <c r="QOQ5" s="241"/>
      <c r="QOR5" s="241"/>
      <c r="QOS5" s="241"/>
      <c r="QOT5" s="241"/>
      <c r="QOU5" s="241"/>
      <c r="QOV5" s="241"/>
      <c r="QOW5" s="241"/>
      <c r="QOX5" s="241"/>
      <c r="QOY5" s="241"/>
      <c r="QOZ5" s="241"/>
      <c r="QPA5" s="241"/>
      <c r="QPB5" s="241"/>
      <c r="QPC5" s="241"/>
      <c r="QPD5" s="241"/>
      <c r="QPE5" s="241"/>
      <c r="QPF5" s="241"/>
      <c r="QPG5" s="241"/>
      <c r="QPH5" s="241"/>
      <c r="QPI5" s="241"/>
      <c r="QPJ5" s="241"/>
      <c r="QPK5" s="241"/>
      <c r="QPL5" s="241"/>
      <c r="QPM5" s="241"/>
      <c r="QPN5" s="241"/>
      <c r="QPO5" s="241"/>
      <c r="QPP5" s="241"/>
      <c r="QPQ5" s="241"/>
      <c r="QPR5" s="241"/>
      <c r="QPS5" s="241"/>
      <c r="QPT5" s="241"/>
      <c r="QPU5" s="241"/>
      <c r="QPV5" s="241"/>
      <c r="QPW5" s="241"/>
      <c r="QPX5" s="241"/>
      <c r="QPY5" s="241"/>
      <c r="QPZ5" s="241"/>
      <c r="QQA5" s="241"/>
      <c r="QQB5" s="241"/>
      <c r="QQC5" s="241"/>
      <c r="QQD5" s="241"/>
      <c r="QQE5" s="241"/>
      <c r="QQF5" s="241"/>
      <c r="QQG5" s="241"/>
      <c r="QQH5" s="241"/>
      <c r="QQI5" s="241"/>
      <c r="QQJ5" s="241"/>
      <c r="QQK5" s="241"/>
      <c r="QQL5" s="241"/>
      <c r="QQM5" s="241"/>
      <c r="QQN5" s="241"/>
      <c r="QQO5" s="241"/>
      <c r="QQP5" s="241"/>
      <c r="QQQ5" s="241"/>
      <c r="QQR5" s="241"/>
      <c r="QQS5" s="241"/>
      <c r="QQT5" s="241"/>
      <c r="QQU5" s="241"/>
      <c r="QQV5" s="241"/>
      <c r="QQW5" s="241"/>
      <c r="QQX5" s="241"/>
      <c r="QQY5" s="241"/>
      <c r="QQZ5" s="241"/>
      <c r="QRA5" s="241"/>
      <c r="QRB5" s="241"/>
      <c r="QRC5" s="241"/>
      <c r="QRD5" s="241"/>
      <c r="QRE5" s="241"/>
      <c r="QRF5" s="241"/>
      <c r="QRG5" s="241"/>
      <c r="QRH5" s="241"/>
      <c r="QRI5" s="241"/>
      <c r="QRJ5" s="241"/>
      <c r="QRK5" s="241"/>
      <c r="QRL5" s="241"/>
      <c r="QRM5" s="241"/>
      <c r="QRN5" s="241"/>
      <c r="QRO5" s="241"/>
      <c r="QRP5" s="241"/>
      <c r="QRQ5" s="241"/>
      <c r="QRR5" s="241"/>
      <c r="QRS5" s="241"/>
      <c r="QRT5" s="241"/>
      <c r="QRU5" s="241"/>
      <c r="QRV5" s="241"/>
      <c r="QRW5" s="241"/>
      <c r="QRX5" s="241"/>
      <c r="QRY5" s="241"/>
      <c r="QRZ5" s="241"/>
      <c r="QSA5" s="241"/>
      <c r="QSB5" s="241"/>
      <c r="QSC5" s="241"/>
      <c r="QSD5" s="241"/>
      <c r="QSE5" s="241"/>
      <c r="QSF5" s="241"/>
      <c r="QSG5" s="241"/>
      <c r="QSH5" s="241"/>
      <c r="QSI5" s="241"/>
      <c r="QSJ5" s="241"/>
      <c r="QSK5" s="241"/>
      <c r="QSL5" s="241"/>
      <c r="QSM5" s="241"/>
      <c r="QSN5" s="241"/>
      <c r="QSO5" s="241"/>
      <c r="QSP5" s="241"/>
      <c r="QSQ5" s="241"/>
      <c r="QSR5" s="241"/>
      <c r="QSS5" s="241"/>
      <c r="QST5" s="241"/>
      <c r="QSU5" s="241"/>
      <c r="QSV5" s="241"/>
      <c r="QSW5" s="241"/>
      <c r="QSX5" s="241"/>
      <c r="QSY5" s="241"/>
      <c r="QSZ5" s="241"/>
      <c r="QTA5" s="241"/>
      <c r="QTB5" s="241"/>
      <c r="QTC5" s="241"/>
      <c r="QTD5" s="241"/>
      <c r="QTE5" s="241"/>
      <c r="QTF5" s="241"/>
      <c r="QTG5" s="241"/>
      <c r="QTH5" s="241"/>
      <c r="QTI5" s="241"/>
      <c r="QTJ5" s="241"/>
      <c r="QTK5" s="241"/>
      <c r="QTL5" s="241"/>
      <c r="QTM5" s="241"/>
      <c r="QTN5" s="241"/>
      <c r="QTO5" s="241"/>
      <c r="QTP5" s="241"/>
      <c r="QTQ5" s="241"/>
      <c r="QTR5" s="241"/>
      <c r="QTS5" s="241"/>
      <c r="QTT5" s="241"/>
      <c r="QTU5" s="241"/>
      <c r="QTV5" s="241"/>
      <c r="QTW5" s="241"/>
      <c r="QTX5" s="241"/>
      <c r="QTY5" s="241"/>
      <c r="QTZ5" s="241"/>
      <c r="QUA5" s="241"/>
      <c r="QUB5" s="241"/>
      <c r="QUC5" s="241"/>
      <c r="QUD5" s="241"/>
      <c r="QUE5" s="241"/>
      <c r="QUF5" s="241"/>
      <c r="QUG5" s="241"/>
      <c r="QUH5" s="241"/>
      <c r="QUI5" s="241"/>
      <c r="QUJ5" s="241"/>
      <c r="QUK5" s="241"/>
      <c r="QUL5" s="241"/>
      <c r="QUM5" s="241"/>
      <c r="QUN5" s="241"/>
      <c r="QUO5" s="241"/>
      <c r="QUP5" s="241"/>
      <c r="QUQ5" s="241"/>
      <c r="QUR5" s="241"/>
      <c r="QUS5" s="241"/>
      <c r="QUT5" s="241"/>
      <c r="QUU5" s="241"/>
      <c r="QUV5" s="241"/>
      <c r="QUW5" s="241"/>
      <c r="QUX5" s="241"/>
      <c r="QUY5" s="241"/>
      <c r="QUZ5" s="241"/>
      <c r="QVA5" s="241"/>
      <c r="QVB5" s="241"/>
      <c r="QVC5" s="241"/>
      <c r="QVD5" s="241"/>
      <c r="QVE5" s="241"/>
      <c r="QVF5" s="241"/>
      <c r="QVG5" s="241"/>
      <c r="QVH5" s="241"/>
      <c r="QVI5" s="241"/>
      <c r="QVJ5" s="241"/>
      <c r="QVK5" s="241"/>
      <c r="QVL5" s="241"/>
      <c r="QVM5" s="241"/>
      <c r="QVN5" s="241"/>
      <c r="QVO5" s="241"/>
      <c r="QVP5" s="241"/>
      <c r="QVQ5" s="241"/>
      <c r="QVR5" s="241"/>
      <c r="QVS5" s="241"/>
      <c r="QVT5" s="241"/>
      <c r="QVU5" s="241"/>
      <c r="QVV5" s="241"/>
      <c r="QVW5" s="241"/>
      <c r="QVX5" s="241"/>
      <c r="QVY5" s="241"/>
      <c r="QVZ5" s="241"/>
      <c r="QWA5" s="241"/>
      <c r="QWB5" s="241"/>
      <c r="QWC5" s="241"/>
      <c r="QWD5" s="241"/>
      <c r="QWE5" s="241"/>
      <c r="QWF5" s="241"/>
      <c r="QWG5" s="241"/>
      <c r="QWH5" s="241"/>
      <c r="QWI5" s="241"/>
      <c r="QWJ5" s="241"/>
      <c r="QWK5" s="241"/>
      <c r="QWL5" s="241"/>
      <c r="QWM5" s="241"/>
      <c r="QWN5" s="241"/>
      <c r="QWO5" s="241"/>
      <c r="QWP5" s="241"/>
      <c r="QWQ5" s="241"/>
      <c r="QWR5" s="241"/>
      <c r="QWS5" s="241"/>
      <c r="QWT5" s="241"/>
      <c r="QWU5" s="241"/>
      <c r="QWV5" s="241"/>
      <c r="QWW5" s="241"/>
      <c r="QWX5" s="241"/>
      <c r="QWY5" s="241"/>
      <c r="QWZ5" s="241"/>
      <c r="QXA5" s="241"/>
      <c r="QXB5" s="241"/>
      <c r="QXC5" s="241"/>
      <c r="QXD5" s="241"/>
      <c r="QXE5" s="241"/>
      <c r="QXF5" s="241"/>
      <c r="QXG5" s="241"/>
      <c r="QXH5" s="241"/>
      <c r="QXI5" s="241"/>
      <c r="QXJ5" s="241"/>
      <c r="QXK5" s="241"/>
      <c r="QXL5" s="241"/>
      <c r="QXM5" s="241"/>
      <c r="QXN5" s="241"/>
      <c r="QXO5" s="241"/>
      <c r="QXP5" s="241"/>
      <c r="QXQ5" s="241"/>
      <c r="QXR5" s="241"/>
      <c r="QXS5" s="241"/>
      <c r="QXT5" s="241"/>
      <c r="QXU5" s="241"/>
      <c r="QXV5" s="241"/>
      <c r="QXW5" s="241"/>
      <c r="QXX5" s="241"/>
      <c r="QXY5" s="241"/>
      <c r="QXZ5" s="241"/>
      <c r="QYA5" s="241"/>
      <c r="QYB5" s="241"/>
      <c r="QYC5" s="241"/>
      <c r="QYD5" s="241"/>
      <c r="QYE5" s="241"/>
      <c r="QYF5" s="241"/>
      <c r="QYG5" s="241"/>
      <c r="QYH5" s="241"/>
      <c r="QYI5" s="241"/>
      <c r="QYJ5" s="241"/>
      <c r="QYK5" s="241"/>
      <c r="QYL5" s="241"/>
      <c r="QYM5" s="241"/>
      <c r="QYN5" s="241"/>
      <c r="QYO5" s="241"/>
      <c r="QYP5" s="241"/>
      <c r="QYQ5" s="241"/>
      <c r="QYR5" s="241"/>
      <c r="QYS5" s="241"/>
      <c r="QYT5" s="241"/>
      <c r="QYU5" s="241"/>
      <c r="QYV5" s="241"/>
      <c r="QYW5" s="241"/>
      <c r="QYX5" s="241"/>
      <c r="QYY5" s="241"/>
      <c r="QYZ5" s="241"/>
      <c r="QZA5" s="241"/>
      <c r="QZB5" s="241"/>
      <c r="QZC5" s="241"/>
      <c r="QZD5" s="241"/>
      <c r="QZE5" s="241"/>
      <c r="QZF5" s="241"/>
      <c r="QZG5" s="241"/>
      <c r="QZH5" s="241"/>
      <c r="QZI5" s="241"/>
      <c r="QZJ5" s="241"/>
      <c r="QZK5" s="241"/>
      <c r="QZL5" s="241"/>
      <c r="QZM5" s="241"/>
      <c r="QZN5" s="241"/>
      <c r="QZO5" s="241"/>
      <c r="QZP5" s="241"/>
      <c r="QZQ5" s="241"/>
      <c r="QZR5" s="241"/>
      <c r="QZS5" s="241"/>
      <c r="QZT5" s="241"/>
      <c r="QZU5" s="241"/>
      <c r="QZV5" s="241"/>
      <c r="QZW5" s="241"/>
      <c r="QZX5" s="241"/>
      <c r="QZY5" s="241"/>
      <c r="QZZ5" s="241"/>
      <c r="RAA5" s="241"/>
      <c r="RAB5" s="241"/>
      <c r="RAC5" s="241"/>
      <c r="RAD5" s="241"/>
      <c r="RAE5" s="241"/>
      <c r="RAF5" s="241"/>
      <c r="RAG5" s="241"/>
      <c r="RAH5" s="241"/>
      <c r="RAI5" s="241"/>
      <c r="RAJ5" s="241"/>
      <c r="RAK5" s="241"/>
      <c r="RAL5" s="241"/>
      <c r="RAM5" s="241"/>
      <c r="RAN5" s="241"/>
      <c r="RAO5" s="241"/>
      <c r="RAP5" s="241"/>
      <c r="RAQ5" s="241"/>
      <c r="RAR5" s="241"/>
      <c r="RAS5" s="241"/>
      <c r="RAT5" s="241"/>
      <c r="RAU5" s="241"/>
      <c r="RAV5" s="241"/>
      <c r="RAW5" s="241"/>
      <c r="RAX5" s="241"/>
      <c r="RAY5" s="241"/>
      <c r="RAZ5" s="241"/>
      <c r="RBA5" s="241"/>
      <c r="RBB5" s="241"/>
      <c r="RBC5" s="241"/>
      <c r="RBD5" s="241"/>
      <c r="RBE5" s="241"/>
      <c r="RBF5" s="241"/>
      <c r="RBG5" s="241"/>
      <c r="RBH5" s="241"/>
      <c r="RBI5" s="241"/>
      <c r="RBJ5" s="241"/>
      <c r="RBK5" s="241"/>
      <c r="RBL5" s="241"/>
      <c r="RBM5" s="241"/>
      <c r="RBN5" s="241"/>
      <c r="RBO5" s="241"/>
      <c r="RBP5" s="241"/>
      <c r="RBQ5" s="241"/>
      <c r="RBR5" s="241"/>
      <c r="RBS5" s="241"/>
      <c r="RBT5" s="241"/>
      <c r="RBU5" s="241"/>
      <c r="RBV5" s="241"/>
      <c r="RBW5" s="241"/>
      <c r="RBX5" s="241"/>
      <c r="RBY5" s="241"/>
      <c r="RBZ5" s="241"/>
      <c r="RCA5" s="241"/>
      <c r="RCB5" s="241"/>
      <c r="RCC5" s="241"/>
      <c r="RCD5" s="241"/>
      <c r="RCE5" s="241"/>
      <c r="RCF5" s="241"/>
      <c r="RCG5" s="241"/>
      <c r="RCH5" s="241"/>
      <c r="RCI5" s="241"/>
      <c r="RCJ5" s="241"/>
      <c r="RCK5" s="241"/>
      <c r="RCL5" s="241"/>
      <c r="RCM5" s="241"/>
      <c r="RCN5" s="241"/>
      <c r="RCO5" s="241"/>
      <c r="RCP5" s="241"/>
      <c r="RCQ5" s="241"/>
      <c r="RCR5" s="241"/>
      <c r="RCS5" s="241"/>
      <c r="RCT5" s="241"/>
      <c r="RCU5" s="241"/>
      <c r="RCV5" s="241"/>
      <c r="RCW5" s="241"/>
      <c r="RCX5" s="241"/>
      <c r="RCY5" s="241"/>
      <c r="RCZ5" s="241"/>
      <c r="RDA5" s="241"/>
      <c r="RDB5" s="241"/>
      <c r="RDC5" s="241"/>
      <c r="RDD5" s="241"/>
      <c r="RDE5" s="241"/>
      <c r="RDF5" s="241"/>
      <c r="RDG5" s="241"/>
      <c r="RDH5" s="241"/>
      <c r="RDI5" s="241"/>
      <c r="RDJ5" s="241"/>
      <c r="RDK5" s="241"/>
      <c r="RDL5" s="241"/>
      <c r="RDM5" s="241"/>
      <c r="RDN5" s="241"/>
      <c r="RDO5" s="241"/>
      <c r="RDP5" s="241"/>
      <c r="RDQ5" s="241"/>
      <c r="RDR5" s="241"/>
      <c r="RDS5" s="241"/>
      <c r="RDT5" s="241"/>
      <c r="RDU5" s="241"/>
      <c r="RDV5" s="241"/>
      <c r="RDW5" s="241"/>
      <c r="RDX5" s="241"/>
      <c r="RDY5" s="241"/>
      <c r="RDZ5" s="241"/>
      <c r="REA5" s="241"/>
      <c r="REB5" s="241"/>
      <c r="REC5" s="241"/>
      <c r="RED5" s="241"/>
      <c r="REE5" s="241"/>
      <c r="REF5" s="241"/>
      <c r="REG5" s="241"/>
      <c r="REH5" s="241"/>
      <c r="REI5" s="241"/>
      <c r="REJ5" s="241"/>
      <c r="REK5" s="241"/>
      <c r="REL5" s="241"/>
      <c r="REM5" s="241"/>
      <c r="REN5" s="241"/>
      <c r="REO5" s="241"/>
      <c r="REP5" s="241"/>
      <c r="REQ5" s="241"/>
      <c r="RER5" s="241"/>
      <c r="RES5" s="241"/>
      <c r="RET5" s="241"/>
      <c r="REU5" s="241"/>
      <c r="REV5" s="241"/>
      <c r="REW5" s="241"/>
      <c r="REX5" s="241"/>
      <c r="REY5" s="241"/>
      <c r="REZ5" s="241"/>
      <c r="RFA5" s="241"/>
      <c r="RFB5" s="241"/>
      <c r="RFC5" s="241"/>
      <c r="RFD5" s="241"/>
      <c r="RFE5" s="241"/>
      <c r="RFF5" s="241"/>
      <c r="RFG5" s="241"/>
      <c r="RFH5" s="241"/>
      <c r="RFI5" s="241"/>
      <c r="RFJ5" s="241"/>
      <c r="RFK5" s="241"/>
      <c r="RFL5" s="241"/>
      <c r="RFM5" s="241"/>
      <c r="RFN5" s="241"/>
      <c r="RFO5" s="241"/>
      <c r="RFP5" s="241"/>
      <c r="RFQ5" s="241"/>
      <c r="RFR5" s="241"/>
      <c r="RFS5" s="241"/>
      <c r="RFT5" s="241"/>
      <c r="RFU5" s="241"/>
      <c r="RFV5" s="241"/>
      <c r="RFW5" s="241"/>
      <c r="RFX5" s="241"/>
      <c r="RFY5" s="241"/>
      <c r="RFZ5" s="241"/>
      <c r="RGA5" s="241"/>
      <c r="RGB5" s="241"/>
      <c r="RGC5" s="241"/>
      <c r="RGD5" s="241"/>
      <c r="RGE5" s="241"/>
      <c r="RGF5" s="241"/>
      <c r="RGG5" s="241"/>
      <c r="RGH5" s="241"/>
      <c r="RGI5" s="241"/>
      <c r="RGJ5" s="241"/>
      <c r="RGK5" s="241"/>
      <c r="RGL5" s="241"/>
      <c r="RGM5" s="241"/>
      <c r="RGN5" s="241"/>
      <c r="RGO5" s="241"/>
      <c r="RGP5" s="241"/>
      <c r="RGQ5" s="241"/>
      <c r="RGR5" s="241"/>
      <c r="RGS5" s="241"/>
      <c r="RGT5" s="241"/>
      <c r="RGU5" s="241"/>
      <c r="RGV5" s="241"/>
      <c r="RGW5" s="241"/>
      <c r="RGX5" s="241"/>
      <c r="RGY5" s="241"/>
      <c r="RGZ5" s="241"/>
      <c r="RHA5" s="241"/>
      <c r="RHB5" s="241"/>
      <c r="RHC5" s="241"/>
      <c r="RHD5" s="241"/>
      <c r="RHE5" s="241"/>
      <c r="RHF5" s="241"/>
      <c r="RHG5" s="241"/>
      <c r="RHH5" s="241"/>
      <c r="RHI5" s="241"/>
      <c r="RHJ5" s="241"/>
      <c r="RHK5" s="241"/>
      <c r="RHL5" s="241"/>
      <c r="RHM5" s="241"/>
      <c r="RHN5" s="241"/>
      <c r="RHO5" s="241"/>
      <c r="RHP5" s="241"/>
      <c r="RHQ5" s="241"/>
      <c r="RHR5" s="241"/>
      <c r="RHS5" s="241"/>
      <c r="RHT5" s="241"/>
      <c r="RHU5" s="241"/>
      <c r="RHV5" s="241"/>
      <c r="RHW5" s="241"/>
      <c r="RHX5" s="241"/>
      <c r="RHY5" s="241"/>
      <c r="RHZ5" s="241"/>
      <c r="RIA5" s="241"/>
      <c r="RIB5" s="241"/>
      <c r="RIC5" s="241"/>
      <c r="RID5" s="241"/>
      <c r="RIE5" s="241"/>
      <c r="RIF5" s="241"/>
      <c r="RIG5" s="241"/>
      <c r="RIH5" s="241"/>
      <c r="RII5" s="241"/>
      <c r="RIJ5" s="241"/>
      <c r="RIK5" s="241"/>
      <c r="RIL5" s="241"/>
      <c r="RIM5" s="241"/>
      <c r="RIN5" s="241"/>
      <c r="RIO5" s="241"/>
      <c r="RIP5" s="241"/>
      <c r="RIQ5" s="241"/>
      <c r="RIR5" s="241"/>
      <c r="RIS5" s="241"/>
      <c r="RIT5" s="241"/>
      <c r="RIU5" s="241"/>
      <c r="RIV5" s="241"/>
      <c r="RIW5" s="241"/>
      <c r="RIX5" s="241"/>
      <c r="RIY5" s="241"/>
      <c r="RIZ5" s="241"/>
      <c r="RJA5" s="241"/>
      <c r="RJB5" s="241"/>
      <c r="RJC5" s="241"/>
      <c r="RJD5" s="241"/>
      <c r="RJE5" s="241"/>
      <c r="RJF5" s="241"/>
      <c r="RJG5" s="241"/>
      <c r="RJH5" s="241"/>
      <c r="RJI5" s="241"/>
      <c r="RJJ5" s="241"/>
      <c r="RJK5" s="241"/>
      <c r="RJL5" s="241"/>
      <c r="RJM5" s="241"/>
      <c r="RJN5" s="241"/>
      <c r="RJO5" s="241"/>
      <c r="RJP5" s="241"/>
      <c r="RJQ5" s="241"/>
      <c r="RJR5" s="241"/>
      <c r="RJS5" s="241"/>
      <c r="RJT5" s="241"/>
      <c r="RJU5" s="241"/>
      <c r="RJV5" s="241"/>
      <c r="RJW5" s="241"/>
      <c r="RJX5" s="241"/>
      <c r="RJY5" s="241"/>
      <c r="RJZ5" s="241"/>
      <c r="RKA5" s="241"/>
      <c r="RKB5" s="241"/>
      <c r="RKC5" s="241"/>
      <c r="RKD5" s="241"/>
      <c r="RKE5" s="241"/>
      <c r="RKF5" s="241"/>
      <c r="RKG5" s="241"/>
      <c r="RKH5" s="241"/>
      <c r="RKI5" s="241"/>
      <c r="RKJ5" s="241"/>
      <c r="RKK5" s="241"/>
      <c r="RKL5" s="241"/>
      <c r="RKM5" s="241"/>
      <c r="RKN5" s="241"/>
      <c r="RKO5" s="241"/>
      <c r="RKP5" s="241"/>
      <c r="RKQ5" s="241"/>
      <c r="RKR5" s="241"/>
      <c r="RKS5" s="241"/>
      <c r="RKT5" s="241"/>
      <c r="RKU5" s="241"/>
      <c r="RKV5" s="241"/>
      <c r="RKW5" s="241"/>
      <c r="RKX5" s="241"/>
      <c r="RKY5" s="241"/>
      <c r="RKZ5" s="241"/>
      <c r="RLA5" s="241"/>
      <c r="RLB5" s="241"/>
      <c r="RLC5" s="241"/>
      <c r="RLD5" s="241"/>
      <c r="RLE5" s="241"/>
      <c r="RLF5" s="241"/>
      <c r="RLG5" s="241"/>
      <c r="RLH5" s="241"/>
      <c r="RLI5" s="241"/>
      <c r="RLJ5" s="241"/>
      <c r="RLK5" s="241"/>
      <c r="RLL5" s="241"/>
      <c r="RLM5" s="241"/>
      <c r="RLN5" s="241"/>
      <c r="RLO5" s="241"/>
      <c r="RLP5" s="241"/>
      <c r="RLQ5" s="241"/>
      <c r="RLR5" s="241"/>
      <c r="RLS5" s="241"/>
      <c r="RLT5" s="241"/>
      <c r="RLU5" s="241"/>
      <c r="RLV5" s="241"/>
      <c r="RLW5" s="241"/>
      <c r="RLX5" s="241"/>
      <c r="RLY5" s="241"/>
      <c r="RLZ5" s="241"/>
      <c r="RMA5" s="241"/>
      <c r="RMB5" s="241"/>
      <c r="RMC5" s="241"/>
      <c r="RMD5" s="241"/>
      <c r="RME5" s="241"/>
      <c r="RMF5" s="241"/>
      <c r="RMG5" s="241"/>
      <c r="RMH5" s="241"/>
      <c r="RMI5" s="241"/>
      <c r="RMJ5" s="241"/>
      <c r="RMK5" s="241"/>
      <c r="RML5" s="241"/>
      <c r="RMM5" s="241"/>
      <c r="RMN5" s="241"/>
      <c r="RMO5" s="241"/>
      <c r="RMP5" s="241"/>
      <c r="RMQ5" s="241"/>
      <c r="RMR5" s="241"/>
      <c r="RMS5" s="241"/>
      <c r="RMT5" s="241"/>
      <c r="RMU5" s="241"/>
      <c r="RMV5" s="241"/>
      <c r="RMW5" s="241"/>
      <c r="RMX5" s="241"/>
      <c r="RMY5" s="241"/>
      <c r="RMZ5" s="241"/>
      <c r="RNA5" s="241"/>
      <c r="RNB5" s="241"/>
      <c r="RNC5" s="241"/>
      <c r="RND5" s="241"/>
      <c r="RNE5" s="241"/>
      <c r="RNF5" s="241"/>
      <c r="RNG5" s="241"/>
      <c r="RNH5" s="241"/>
      <c r="RNI5" s="241"/>
      <c r="RNJ5" s="241"/>
      <c r="RNK5" s="241"/>
      <c r="RNL5" s="241"/>
      <c r="RNM5" s="241"/>
      <c r="RNN5" s="241"/>
      <c r="RNO5" s="241"/>
      <c r="RNP5" s="241"/>
      <c r="RNQ5" s="241"/>
      <c r="RNR5" s="241"/>
      <c r="RNS5" s="241"/>
      <c r="RNT5" s="241"/>
      <c r="RNU5" s="241"/>
      <c r="RNV5" s="241"/>
      <c r="RNW5" s="241"/>
      <c r="RNX5" s="241"/>
      <c r="RNY5" s="241"/>
      <c r="RNZ5" s="241"/>
      <c r="ROA5" s="241"/>
      <c r="ROB5" s="241"/>
      <c r="ROC5" s="241"/>
      <c r="ROD5" s="241"/>
      <c r="ROE5" s="241"/>
      <c r="ROF5" s="241"/>
      <c r="ROG5" s="241"/>
      <c r="ROH5" s="241"/>
      <c r="ROI5" s="241"/>
      <c r="ROJ5" s="241"/>
      <c r="ROK5" s="241"/>
      <c r="ROL5" s="241"/>
      <c r="ROM5" s="241"/>
      <c r="RON5" s="241"/>
      <c r="ROO5" s="241"/>
      <c r="ROP5" s="241"/>
      <c r="ROQ5" s="241"/>
      <c r="ROR5" s="241"/>
      <c r="ROS5" s="241"/>
      <c r="ROT5" s="241"/>
      <c r="ROU5" s="241"/>
      <c r="ROV5" s="241"/>
      <c r="ROW5" s="241"/>
      <c r="ROX5" s="241"/>
      <c r="ROY5" s="241"/>
      <c r="ROZ5" s="241"/>
      <c r="RPA5" s="241"/>
      <c r="RPB5" s="241"/>
      <c r="RPC5" s="241"/>
      <c r="RPD5" s="241"/>
      <c r="RPE5" s="241"/>
      <c r="RPF5" s="241"/>
      <c r="RPG5" s="241"/>
      <c r="RPH5" s="241"/>
      <c r="RPI5" s="241"/>
      <c r="RPJ5" s="241"/>
      <c r="RPK5" s="241"/>
      <c r="RPL5" s="241"/>
      <c r="RPM5" s="241"/>
      <c r="RPN5" s="241"/>
      <c r="RPO5" s="241"/>
      <c r="RPP5" s="241"/>
      <c r="RPQ5" s="241"/>
      <c r="RPR5" s="241"/>
      <c r="RPS5" s="241"/>
      <c r="RPT5" s="241"/>
      <c r="RPU5" s="241"/>
      <c r="RPV5" s="241"/>
      <c r="RPW5" s="241"/>
      <c r="RPX5" s="241"/>
      <c r="RPY5" s="241"/>
      <c r="RPZ5" s="241"/>
      <c r="RQA5" s="241"/>
      <c r="RQB5" s="241"/>
      <c r="RQC5" s="241"/>
      <c r="RQD5" s="241"/>
      <c r="RQE5" s="241"/>
      <c r="RQF5" s="241"/>
      <c r="RQG5" s="241"/>
      <c r="RQH5" s="241"/>
      <c r="RQI5" s="241"/>
      <c r="RQJ5" s="241"/>
      <c r="RQK5" s="241"/>
      <c r="RQL5" s="241"/>
      <c r="RQM5" s="241"/>
      <c r="RQN5" s="241"/>
      <c r="RQO5" s="241"/>
      <c r="RQP5" s="241"/>
      <c r="RQQ5" s="241"/>
      <c r="RQR5" s="241"/>
      <c r="RQS5" s="241"/>
      <c r="RQT5" s="241"/>
      <c r="RQU5" s="241"/>
      <c r="RQV5" s="241"/>
      <c r="RQW5" s="241"/>
      <c r="RQX5" s="241"/>
      <c r="RQY5" s="241"/>
      <c r="RQZ5" s="241"/>
      <c r="RRA5" s="241"/>
      <c r="RRB5" s="241"/>
      <c r="RRC5" s="241"/>
      <c r="RRD5" s="241"/>
      <c r="RRE5" s="241"/>
      <c r="RRF5" s="241"/>
      <c r="RRG5" s="241"/>
      <c r="RRH5" s="241"/>
      <c r="RRI5" s="241"/>
      <c r="RRJ5" s="241"/>
      <c r="RRK5" s="241"/>
      <c r="RRL5" s="241"/>
      <c r="RRM5" s="241"/>
      <c r="RRN5" s="241"/>
      <c r="RRO5" s="241"/>
      <c r="RRP5" s="241"/>
      <c r="RRQ5" s="241"/>
      <c r="RRR5" s="241"/>
      <c r="RRS5" s="241"/>
      <c r="RRT5" s="241"/>
      <c r="RRU5" s="241"/>
      <c r="RRV5" s="241"/>
      <c r="RRW5" s="241"/>
      <c r="RRX5" s="241"/>
      <c r="RRY5" s="241"/>
      <c r="RRZ5" s="241"/>
      <c r="RSA5" s="241"/>
      <c r="RSB5" s="241"/>
      <c r="RSC5" s="241"/>
      <c r="RSD5" s="241"/>
      <c r="RSE5" s="241"/>
      <c r="RSF5" s="241"/>
      <c r="RSG5" s="241"/>
      <c r="RSH5" s="241"/>
      <c r="RSI5" s="241"/>
      <c r="RSJ5" s="241"/>
      <c r="RSK5" s="241"/>
      <c r="RSL5" s="241"/>
      <c r="RSM5" s="241"/>
      <c r="RSN5" s="241"/>
      <c r="RSO5" s="241"/>
      <c r="RSP5" s="241"/>
      <c r="RSQ5" s="241"/>
      <c r="RSR5" s="241"/>
      <c r="RSS5" s="241"/>
      <c r="RST5" s="241"/>
      <c r="RSU5" s="241"/>
      <c r="RSV5" s="241"/>
      <c r="RSW5" s="241"/>
      <c r="RSX5" s="241"/>
      <c r="RSY5" s="241"/>
      <c r="RSZ5" s="241"/>
      <c r="RTA5" s="241"/>
      <c r="RTB5" s="241"/>
      <c r="RTC5" s="241"/>
      <c r="RTD5" s="241"/>
      <c r="RTE5" s="241"/>
      <c r="RTF5" s="241"/>
      <c r="RTG5" s="241"/>
      <c r="RTH5" s="241"/>
      <c r="RTI5" s="241"/>
      <c r="RTJ5" s="241"/>
      <c r="RTK5" s="241"/>
      <c r="RTL5" s="241"/>
      <c r="RTM5" s="241"/>
      <c r="RTN5" s="241"/>
      <c r="RTO5" s="241"/>
      <c r="RTP5" s="241"/>
      <c r="RTQ5" s="241"/>
      <c r="RTR5" s="241"/>
      <c r="RTS5" s="241"/>
      <c r="RTT5" s="241"/>
      <c r="RTU5" s="241"/>
      <c r="RTV5" s="241"/>
      <c r="RTW5" s="241"/>
      <c r="RTX5" s="241"/>
      <c r="RTY5" s="241"/>
      <c r="RTZ5" s="241"/>
      <c r="RUA5" s="241"/>
      <c r="RUB5" s="241"/>
      <c r="RUC5" s="241"/>
      <c r="RUD5" s="241"/>
      <c r="RUE5" s="241"/>
      <c r="RUF5" s="241"/>
      <c r="RUG5" s="241"/>
      <c r="RUH5" s="241"/>
      <c r="RUI5" s="241"/>
      <c r="RUJ5" s="241"/>
      <c r="RUK5" s="241"/>
      <c r="RUL5" s="241"/>
      <c r="RUM5" s="241"/>
      <c r="RUN5" s="241"/>
      <c r="RUO5" s="241"/>
      <c r="RUP5" s="241"/>
      <c r="RUQ5" s="241"/>
      <c r="RUR5" s="241"/>
      <c r="RUS5" s="241"/>
      <c r="RUT5" s="241"/>
      <c r="RUU5" s="241"/>
      <c r="RUV5" s="241"/>
      <c r="RUW5" s="241"/>
      <c r="RUX5" s="241"/>
      <c r="RUY5" s="241"/>
      <c r="RUZ5" s="241"/>
      <c r="RVA5" s="241"/>
      <c r="RVB5" s="241"/>
      <c r="RVC5" s="241"/>
      <c r="RVD5" s="241"/>
      <c r="RVE5" s="241"/>
      <c r="RVF5" s="241"/>
      <c r="RVG5" s="241"/>
      <c r="RVH5" s="241"/>
      <c r="RVI5" s="241"/>
      <c r="RVJ5" s="241"/>
      <c r="RVK5" s="241"/>
      <c r="RVL5" s="241"/>
      <c r="RVM5" s="241"/>
      <c r="RVN5" s="241"/>
      <c r="RVO5" s="241"/>
      <c r="RVP5" s="241"/>
      <c r="RVQ5" s="241"/>
      <c r="RVR5" s="241"/>
      <c r="RVS5" s="241"/>
      <c r="RVT5" s="241"/>
      <c r="RVU5" s="241"/>
      <c r="RVV5" s="241"/>
      <c r="RVW5" s="241"/>
      <c r="RVX5" s="241"/>
      <c r="RVY5" s="241"/>
      <c r="RVZ5" s="241"/>
      <c r="RWA5" s="241"/>
      <c r="RWB5" s="241"/>
      <c r="RWC5" s="241"/>
      <c r="RWD5" s="241"/>
      <c r="RWE5" s="241"/>
      <c r="RWF5" s="241"/>
      <c r="RWG5" s="241"/>
      <c r="RWH5" s="241"/>
      <c r="RWI5" s="241"/>
      <c r="RWJ5" s="241"/>
      <c r="RWK5" s="241"/>
      <c r="RWL5" s="241"/>
      <c r="RWM5" s="241"/>
      <c r="RWN5" s="241"/>
      <c r="RWO5" s="241"/>
      <c r="RWP5" s="241"/>
      <c r="RWQ5" s="241"/>
      <c r="RWR5" s="241"/>
      <c r="RWS5" s="241"/>
      <c r="RWT5" s="241"/>
      <c r="RWU5" s="241"/>
      <c r="RWV5" s="241"/>
      <c r="RWW5" s="241"/>
      <c r="RWX5" s="241"/>
      <c r="RWY5" s="241"/>
      <c r="RWZ5" s="241"/>
      <c r="RXA5" s="241"/>
      <c r="RXB5" s="241"/>
      <c r="RXC5" s="241"/>
      <c r="RXD5" s="241"/>
      <c r="RXE5" s="241"/>
      <c r="RXF5" s="241"/>
      <c r="RXG5" s="241"/>
      <c r="RXH5" s="241"/>
      <c r="RXI5" s="241"/>
      <c r="RXJ5" s="241"/>
      <c r="RXK5" s="241"/>
      <c r="RXL5" s="241"/>
      <c r="RXM5" s="241"/>
      <c r="RXN5" s="241"/>
      <c r="RXO5" s="241"/>
      <c r="RXP5" s="241"/>
      <c r="RXQ5" s="241"/>
      <c r="RXR5" s="241"/>
      <c r="RXS5" s="241"/>
      <c r="RXT5" s="241"/>
      <c r="RXU5" s="241"/>
      <c r="RXV5" s="241"/>
      <c r="RXW5" s="241"/>
      <c r="RXX5" s="241"/>
      <c r="RXY5" s="241"/>
      <c r="RXZ5" s="241"/>
      <c r="RYA5" s="241"/>
      <c r="RYB5" s="241"/>
      <c r="RYC5" s="241"/>
      <c r="RYD5" s="241"/>
      <c r="RYE5" s="241"/>
      <c r="RYF5" s="241"/>
      <c r="RYG5" s="241"/>
      <c r="RYH5" s="241"/>
      <c r="RYI5" s="241"/>
      <c r="RYJ5" s="241"/>
      <c r="RYK5" s="241"/>
      <c r="RYL5" s="241"/>
      <c r="RYM5" s="241"/>
      <c r="RYN5" s="241"/>
      <c r="RYO5" s="241"/>
      <c r="RYP5" s="241"/>
      <c r="RYQ5" s="241"/>
      <c r="RYR5" s="241"/>
      <c r="RYS5" s="241"/>
      <c r="RYT5" s="241"/>
      <c r="RYU5" s="241"/>
      <c r="RYV5" s="241"/>
      <c r="RYW5" s="241"/>
      <c r="RYX5" s="241"/>
      <c r="RYY5" s="241"/>
      <c r="RYZ5" s="241"/>
      <c r="RZA5" s="241"/>
      <c r="RZB5" s="241"/>
      <c r="RZC5" s="241"/>
      <c r="RZD5" s="241"/>
      <c r="RZE5" s="241"/>
      <c r="RZF5" s="241"/>
      <c r="RZG5" s="241"/>
      <c r="RZH5" s="241"/>
      <c r="RZI5" s="241"/>
      <c r="RZJ5" s="241"/>
      <c r="RZK5" s="241"/>
      <c r="RZL5" s="241"/>
      <c r="RZM5" s="241"/>
      <c r="RZN5" s="241"/>
      <c r="RZO5" s="241"/>
      <c r="RZP5" s="241"/>
      <c r="RZQ5" s="241"/>
      <c r="RZR5" s="241"/>
      <c r="RZS5" s="241"/>
      <c r="RZT5" s="241"/>
      <c r="RZU5" s="241"/>
      <c r="RZV5" s="241"/>
      <c r="RZW5" s="241"/>
      <c r="RZX5" s="241"/>
      <c r="RZY5" s="241"/>
      <c r="RZZ5" s="241"/>
      <c r="SAA5" s="241"/>
      <c r="SAB5" s="241"/>
      <c r="SAC5" s="241"/>
      <c r="SAD5" s="241"/>
      <c r="SAE5" s="241"/>
      <c r="SAF5" s="241"/>
      <c r="SAG5" s="241"/>
      <c r="SAH5" s="241"/>
      <c r="SAI5" s="241"/>
      <c r="SAJ5" s="241"/>
      <c r="SAK5" s="241"/>
      <c r="SAL5" s="241"/>
      <c r="SAM5" s="241"/>
      <c r="SAN5" s="241"/>
      <c r="SAO5" s="241"/>
      <c r="SAP5" s="241"/>
      <c r="SAQ5" s="241"/>
      <c r="SAR5" s="241"/>
      <c r="SAS5" s="241"/>
      <c r="SAT5" s="241"/>
      <c r="SAU5" s="241"/>
      <c r="SAV5" s="241"/>
      <c r="SAW5" s="241"/>
      <c r="SAX5" s="241"/>
      <c r="SAY5" s="241"/>
      <c r="SAZ5" s="241"/>
      <c r="SBA5" s="241"/>
      <c r="SBB5" s="241"/>
      <c r="SBC5" s="241"/>
      <c r="SBD5" s="241"/>
      <c r="SBE5" s="241"/>
      <c r="SBF5" s="241"/>
      <c r="SBG5" s="241"/>
      <c r="SBH5" s="241"/>
      <c r="SBI5" s="241"/>
      <c r="SBJ5" s="241"/>
      <c r="SBK5" s="241"/>
      <c r="SBL5" s="241"/>
      <c r="SBM5" s="241"/>
      <c r="SBN5" s="241"/>
      <c r="SBO5" s="241"/>
      <c r="SBP5" s="241"/>
      <c r="SBQ5" s="241"/>
      <c r="SBR5" s="241"/>
      <c r="SBS5" s="241"/>
      <c r="SBT5" s="241"/>
      <c r="SBU5" s="241"/>
      <c r="SBV5" s="241"/>
      <c r="SBW5" s="241"/>
      <c r="SBX5" s="241"/>
      <c r="SBY5" s="241"/>
      <c r="SBZ5" s="241"/>
      <c r="SCA5" s="241"/>
      <c r="SCB5" s="241"/>
      <c r="SCC5" s="241"/>
      <c r="SCD5" s="241"/>
      <c r="SCE5" s="241"/>
      <c r="SCF5" s="241"/>
      <c r="SCG5" s="241"/>
      <c r="SCH5" s="241"/>
      <c r="SCI5" s="241"/>
      <c r="SCJ5" s="241"/>
      <c r="SCK5" s="241"/>
      <c r="SCL5" s="241"/>
      <c r="SCM5" s="241"/>
      <c r="SCN5" s="241"/>
      <c r="SCO5" s="241"/>
      <c r="SCP5" s="241"/>
      <c r="SCQ5" s="241"/>
      <c r="SCR5" s="241"/>
      <c r="SCS5" s="241"/>
      <c r="SCT5" s="241"/>
      <c r="SCU5" s="241"/>
      <c r="SCV5" s="241"/>
      <c r="SCW5" s="241"/>
      <c r="SCX5" s="241"/>
      <c r="SCY5" s="241"/>
      <c r="SCZ5" s="241"/>
      <c r="SDA5" s="241"/>
      <c r="SDB5" s="241"/>
      <c r="SDC5" s="241"/>
      <c r="SDD5" s="241"/>
      <c r="SDE5" s="241"/>
      <c r="SDF5" s="241"/>
      <c r="SDG5" s="241"/>
      <c r="SDH5" s="241"/>
      <c r="SDI5" s="241"/>
      <c r="SDJ5" s="241"/>
      <c r="SDK5" s="241"/>
      <c r="SDL5" s="241"/>
      <c r="SDM5" s="241"/>
      <c r="SDN5" s="241"/>
      <c r="SDO5" s="241"/>
      <c r="SDP5" s="241"/>
      <c r="SDQ5" s="241"/>
      <c r="SDR5" s="241"/>
      <c r="SDS5" s="241"/>
      <c r="SDT5" s="241"/>
      <c r="SDU5" s="241"/>
      <c r="SDV5" s="241"/>
      <c r="SDW5" s="241"/>
      <c r="SDX5" s="241"/>
      <c r="SDY5" s="241"/>
      <c r="SDZ5" s="241"/>
      <c r="SEA5" s="241"/>
      <c r="SEB5" s="241"/>
      <c r="SEC5" s="241"/>
      <c r="SED5" s="241"/>
      <c r="SEE5" s="241"/>
      <c r="SEF5" s="241"/>
      <c r="SEG5" s="241"/>
      <c r="SEH5" s="241"/>
      <c r="SEI5" s="241"/>
      <c r="SEJ5" s="241"/>
      <c r="SEK5" s="241"/>
      <c r="SEL5" s="241"/>
      <c r="SEM5" s="241"/>
      <c r="SEN5" s="241"/>
      <c r="SEO5" s="241"/>
      <c r="SEP5" s="241"/>
      <c r="SEQ5" s="241"/>
      <c r="SER5" s="241"/>
      <c r="SES5" s="241"/>
      <c r="SET5" s="241"/>
      <c r="SEU5" s="241"/>
      <c r="SEV5" s="241"/>
      <c r="SEW5" s="241"/>
      <c r="SEX5" s="241"/>
      <c r="SEY5" s="241"/>
      <c r="SEZ5" s="241"/>
      <c r="SFA5" s="241"/>
      <c r="SFB5" s="241"/>
      <c r="SFC5" s="241"/>
      <c r="SFD5" s="241"/>
      <c r="SFE5" s="241"/>
      <c r="SFF5" s="241"/>
      <c r="SFG5" s="241"/>
      <c r="SFH5" s="241"/>
      <c r="SFI5" s="241"/>
      <c r="SFJ5" s="241"/>
      <c r="SFK5" s="241"/>
      <c r="SFL5" s="241"/>
      <c r="SFM5" s="241"/>
      <c r="SFN5" s="241"/>
      <c r="SFO5" s="241"/>
      <c r="SFP5" s="241"/>
      <c r="SFQ5" s="241"/>
      <c r="SFR5" s="241"/>
      <c r="SFS5" s="241"/>
      <c r="SFT5" s="241"/>
      <c r="SFU5" s="241"/>
      <c r="SFV5" s="241"/>
      <c r="SFW5" s="241"/>
      <c r="SFX5" s="241"/>
      <c r="SFY5" s="241"/>
      <c r="SFZ5" s="241"/>
      <c r="SGA5" s="241"/>
      <c r="SGB5" s="241"/>
      <c r="SGC5" s="241"/>
      <c r="SGD5" s="241"/>
      <c r="SGE5" s="241"/>
      <c r="SGF5" s="241"/>
      <c r="SGG5" s="241"/>
      <c r="SGH5" s="241"/>
      <c r="SGI5" s="241"/>
      <c r="SGJ5" s="241"/>
      <c r="SGK5" s="241"/>
      <c r="SGL5" s="241"/>
      <c r="SGM5" s="241"/>
      <c r="SGN5" s="241"/>
      <c r="SGO5" s="241"/>
      <c r="SGP5" s="241"/>
      <c r="SGQ5" s="241"/>
      <c r="SGR5" s="241"/>
      <c r="SGS5" s="241"/>
      <c r="SGT5" s="241"/>
      <c r="SGU5" s="241"/>
      <c r="SGV5" s="241"/>
      <c r="SGW5" s="241"/>
      <c r="SGX5" s="241"/>
      <c r="SGY5" s="241"/>
      <c r="SGZ5" s="241"/>
      <c r="SHA5" s="241"/>
      <c r="SHB5" s="241"/>
      <c r="SHC5" s="241"/>
      <c r="SHD5" s="241"/>
      <c r="SHE5" s="241"/>
      <c r="SHF5" s="241"/>
      <c r="SHG5" s="241"/>
      <c r="SHH5" s="241"/>
      <c r="SHI5" s="241"/>
      <c r="SHJ5" s="241"/>
      <c r="SHK5" s="241"/>
      <c r="SHL5" s="241"/>
      <c r="SHM5" s="241"/>
      <c r="SHN5" s="241"/>
      <c r="SHO5" s="241"/>
      <c r="SHP5" s="241"/>
      <c r="SHQ5" s="241"/>
      <c r="SHR5" s="241"/>
      <c r="SHS5" s="241"/>
      <c r="SHT5" s="241"/>
      <c r="SHU5" s="241"/>
      <c r="SHV5" s="241"/>
      <c r="SHW5" s="241"/>
      <c r="SHX5" s="241"/>
      <c r="SHY5" s="241"/>
      <c r="SHZ5" s="241"/>
      <c r="SIA5" s="241"/>
      <c r="SIB5" s="241"/>
      <c r="SIC5" s="241"/>
      <c r="SID5" s="241"/>
      <c r="SIE5" s="241"/>
      <c r="SIF5" s="241"/>
      <c r="SIG5" s="241"/>
      <c r="SIH5" s="241"/>
      <c r="SII5" s="241"/>
      <c r="SIJ5" s="241"/>
      <c r="SIK5" s="241"/>
      <c r="SIL5" s="241"/>
      <c r="SIM5" s="241"/>
      <c r="SIN5" s="241"/>
      <c r="SIO5" s="241"/>
      <c r="SIP5" s="241"/>
      <c r="SIQ5" s="241"/>
      <c r="SIR5" s="241"/>
      <c r="SIS5" s="241"/>
      <c r="SIT5" s="241"/>
      <c r="SIU5" s="241"/>
      <c r="SIV5" s="241"/>
      <c r="SIW5" s="241"/>
      <c r="SIX5" s="241"/>
      <c r="SIY5" s="241"/>
      <c r="SIZ5" s="241"/>
      <c r="SJA5" s="241"/>
      <c r="SJB5" s="241"/>
      <c r="SJC5" s="241"/>
      <c r="SJD5" s="241"/>
      <c r="SJE5" s="241"/>
      <c r="SJF5" s="241"/>
      <c r="SJG5" s="241"/>
      <c r="SJH5" s="241"/>
      <c r="SJI5" s="241"/>
      <c r="SJJ5" s="241"/>
      <c r="SJK5" s="241"/>
      <c r="SJL5" s="241"/>
      <c r="SJM5" s="241"/>
      <c r="SJN5" s="241"/>
      <c r="SJO5" s="241"/>
      <c r="SJP5" s="241"/>
      <c r="SJQ5" s="241"/>
      <c r="SJR5" s="241"/>
      <c r="SJS5" s="241"/>
      <c r="SJT5" s="241"/>
      <c r="SJU5" s="241"/>
      <c r="SJV5" s="241"/>
      <c r="SJW5" s="241"/>
      <c r="SJX5" s="241"/>
      <c r="SJY5" s="241"/>
      <c r="SJZ5" s="241"/>
      <c r="SKA5" s="241"/>
      <c r="SKB5" s="241"/>
      <c r="SKC5" s="241"/>
      <c r="SKD5" s="241"/>
      <c r="SKE5" s="241"/>
      <c r="SKF5" s="241"/>
      <c r="SKG5" s="241"/>
      <c r="SKH5" s="241"/>
      <c r="SKI5" s="241"/>
      <c r="SKJ5" s="241"/>
      <c r="SKK5" s="241"/>
      <c r="SKL5" s="241"/>
      <c r="SKM5" s="241"/>
      <c r="SKN5" s="241"/>
      <c r="SKO5" s="241"/>
      <c r="SKP5" s="241"/>
      <c r="SKQ5" s="241"/>
      <c r="SKR5" s="241"/>
      <c r="SKS5" s="241"/>
      <c r="SKT5" s="241"/>
      <c r="SKU5" s="241"/>
      <c r="SKV5" s="241"/>
      <c r="SKW5" s="241"/>
      <c r="SKX5" s="241"/>
      <c r="SKY5" s="241"/>
      <c r="SKZ5" s="241"/>
      <c r="SLA5" s="241"/>
      <c r="SLB5" s="241"/>
      <c r="SLC5" s="241"/>
      <c r="SLD5" s="241"/>
      <c r="SLE5" s="241"/>
      <c r="SLF5" s="241"/>
      <c r="SLG5" s="241"/>
      <c r="SLH5" s="241"/>
      <c r="SLI5" s="241"/>
      <c r="SLJ5" s="241"/>
      <c r="SLK5" s="241"/>
      <c r="SLL5" s="241"/>
      <c r="SLM5" s="241"/>
      <c r="SLN5" s="241"/>
      <c r="SLO5" s="241"/>
      <c r="SLP5" s="241"/>
      <c r="SLQ5" s="241"/>
      <c r="SLR5" s="241"/>
      <c r="SLS5" s="241"/>
      <c r="SLT5" s="241"/>
      <c r="SLU5" s="241"/>
      <c r="SLV5" s="241"/>
      <c r="SLW5" s="241"/>
      <c r="SLX5" s="241"/>
      <c r="SLY5" s="241"/>
      <c r="SLZ5" s="241"/>
      <c r="SMA5" s="241"/>
      <c r="SMB5" s="241"/>
      <c r="SMC5" s="241"/>
      <c r="SMD5" s="241"/>
      <c r="SME5" s="241"/>
      <c r="SMF5" s="241"/>
      <c r="SMG5" s="241"/>
      <c r="SMH5" s="241"/>
      <c r="SMI5" s="241"/>
      <c r="SMJ5" s="241"/>
      <c r="SMK5" s="241"/>
      <c r="SML5" s="241"/>
      <c r="SMM5" s="241"/>
      <c r="SMN5" s="241"/>
      <c r="SMO5" s="241"/>
      <c r="SMP5" s="241"/>
      <c r="SMQ5" s="241"/>
      <c r="SMR5" s="241"/>
      <c r="SMS5" s="241"/>
      <c r="SMT5" s="241"/>
      <c r="SMU5" s="241"/>
      <c r="SMV5" s="241"/>
      <c r="SMW5" s="241"/>
      <c r="SMX5" s="241"/>
      <c r="SMY5" s="241"/>
      <c r="SMZ5" s="241"/>
      <c r="SNA5" s="241"/>
      <c r="SNB5" s="241"/>
      <c r="SNC5" s="241"/>
      <c r="SND5" s="241"/>
      <c r="SNE5" s="241"/>
      <c r="SNF5" s="241"/>
      <c r="SNG5" s="241"/>
      <c r="SNH5" s="241"/>
      <c r="SNI5" s="241"/>
      <c r="SNJ5" s="241"/>
      <c r="SNK5" s="241"/>
      <c r="SNL5" s="241"/>
      <c r="SNM5" s="241"/>
      <c r="SNN5" s="241"/>
      <c r="SNO5" s="241"/>
      <c r="SNP5" s="241"/>
      <c r="SNQ5" s="241"/>
      <c r="SNR5" s="241"/>
      <c r="SNS5" s="241"/>
      <c r="SNT5" s="241"/>
      <c r="SNU5" s="241"/>
      <c r="SNV5" s="241"/>
      <c r="SNW5" s="241"/>
      <c r="SNX5" s="241"/>
      <c r="SNY5" s="241"/>
      <c r="SNZ5" s="241"/>
      <c r="SOA5" s="241"/>
      <c r="SOB5" s="241"/>
      <c r="SOC5" s="241"/>
      <c r="SOD5" s="241"/>
      <c r="SOE5" s="241"/>
      <c r="SOF5" s="241"/>
      <c r="SOG5" s="241"/>
      <c r="SOH5" s="241"/>
      <c r="SOI5" s="241"/>
      <c r="SOJ5" s="241"/>
      <c r="SOK5" s="241"/>
      <c r="SOL5" s="241"/>
      <c r="SOM5" s="241"/>
      <c r="SON5" s="241"/>
      <c r="SOO5" s="241"/>
      <c r="SOP5" s="241"/>
      <c r="SOQ5" s="241"/>
      <c r="SOR5" s="241"/>
      <c r="SOS5" s="241"/>
      <c r="SOT5" s="241"/>
      <c r="SOU5" s="241"/>
      <c r="SOV5" s="241"/>
      <c r="SOW5" s="241"/>
      <c r="SOX5" s="241"/>
      <c r="SOY5" s="241"/>
      <c r="SOZ5" s="241"/>
      <c r="SPA5" s="241"/>
      <c r="SPB5" s="241"/>
      <c r="SPC5" s="241"/>
      <c r="SPD5" s="241"/>
      <c r="SPE5" s="241"/>
      <c r="SPF5" s="241"/>
      <c r="SPG5" s="241"/>
      <c r="SPH5" s="241"/>
      <c r="SPI5" s="241"/>
      <c r="SPJ5" s="241"/>
      <c r="SPK5" s="241"/>
      <c r="SPL5" s="241"/>
      <c r="SPM5" s="241"/>
      <c r="SPN5" s="241"/>
      <c r="SPO5" s="241"/>
      <c r="SPP5" s="241"/>
      <c r="SPQ5" s="241"/>
      <c r="SPR5" s="241"/>
      <c r="SPS5" s="241"/>
      <c r="SPT5" s="241"/>
      <c r="SPU5" s="241"/>
      <c r="SPV5" s="241"/>
      <c r="SPW5" s="241"/>
      <c r="SPX5" s="241"/>
      <c r="SPY5" s="241"/>
      <c r="SPZ5" s="241"/>
      <c r="SQA5" s="241"/>
      <c r="SQB5" s="241"/>
      <c r="SQC5" s="241"/>
      <c r="SQD5" s="241"/>
      <c r="SQE5" s="241"/>
      <c r="SQF5" s="241"/>
      <c r="SQG5" s="241"/>
      <c r="SQH5" s="241"/>
      <c r="SQI5" s="241"/>
      <c r="SQJ5" s="241"/>
      <c r="SQK5" s="241"/>
      <c r="SQL5" s="241"/>
      <c r="SQM5" s="241"/>
      <c r="SQN5" s="241"/>
      <c r="SQO5" s="241"/>
      <c r="SQP5" s="241"/>
      <c r="SQQ5" s="241"/>
      <c r="SQR5" s="241"/>
      <c r="SQS5" s="241"/>
      <c r="SQT5" s="241"/>
      <c r="SQU5" s="241"/>
      <c r="SQV5" s="241"/>
      <c r="SQW5" s="241"/>
      <c r="SQX5" s="241"/>
      <c r="SQY5" s="241"/>
      <c r="SQZ5" s="241"/>
      <c r="SRA5" s="241"/>
      <c r="SRB5" s="241"/>
      <c r="SRC5" s="241"/>
      <c r="SRD5" s="241"/>
      <c r="SRE5" s="241"/>
      <c r="SRF5" s="241"/>
      <c r="SRG5" s="241"/>
      <c r="SRH5" s="241"/>
      <c r="SRI5" s="241"/>
      <c r="SRJ5" s="241"/>
      <c r="SRK5" s="241"/>
      <c r="SRL5" s="241"/>
      <c r="SRM5" s="241"/>
      <c r="SRN5" s="241"/>
      <c r="SRO5" s="241"/>
      <c r="SRP5" s="241"/>
      <c r="SRQ5" s="241"/>
      <c r="SRR5" s="241"/>
      <c r="SRS5" s="241"/>
      <c r="SRT5" s="241"/>
      <c r="SRU5" s="241"/>
      <c r="SRV5" s="241"/>
      <c r="SRW5" s="241"/>
      <c r="SRX5" s="241"/>
      <c r="SRY5" s="241"/>
      <c r="SRZ5" s="241"/>
      <c r="SSA5" s="241"/>
      <c r="SSB5" s="241"/>
      <c r="SSC5" s="241"/>
      <c r="SSD5" s="241"/>
      <c r="SSE5" s="241"/>
      <c r="SSF5" s="241"/>
      <c r="SSG5" s="241"/>
      <c r="SSH5" s="241"/>
      <c r="SSI5" s="241"/>
      <c r="SSJ5" s="241"/>
      <c r="SSK5" s="241"/>
      <c r="SSL5" s="241"/>
      <c r="SSM5" s="241"/>
      <c r="SSN5" s="241"/>
      <c r="SSO5" s="241"/>
      <c r="SSP5" s="241"/>
      <c r="SSQ5" s="241"/>
      <c r="SSR5" s="241"/>
      <c r="SSS5" s="241"/>
      <c r="SST5" s="241"/>
      <c r="SSU5" s="241"/>
      <c r="SSV5" s="241"/>
      <c r="SSW5" s="241"/>
      <c r="SSX5" s="241"/>
      <c r="SSY5" s="241"/>
      <c r="SSZ5" s="241"/>
      <c r="STA5" s="241"/>
      <c r="STB5" s="241"/>
      <c r="STC5" s="241"/>
      <c r="STD5" s="241"/>
      <c r="STE5" s="241"/>
      <c r="STF5" s="241"/>
      <c r="STG5" s="241"/>
      <c r="STH5" s="241"/>
      <c r="STI5" s="241"/>
      <c r="STJ5" s="241"/>
      <c r="STK5" s="241"/>
      <c r="STL5" s="241"/>
      <c r="STM5" s="241"/>
      <c r="STN5" s="241"/>
      <c r="STO5" s="241"/>
      <c r="STP5" s="241"/>
      <c r="STQ5" s="241"/>
      <c r="STR5" s="241"/>
      <c r="STS5" s="241"/>
      <c r="STT5" s="241"/>
      <c r="STU5" s="241"/>
      <c r="STV5" s="241"/>
      <c r="STW5" s="241"/>
      <c r="STX5" s="241"/>
      <c r="STY5" s="241"/>
      <c r="STZ5" s="241"/>
      <c r="SUA5" s="241"/>
      <c r="SUB5" s="241"/>
      <c r="SUC5" s="241"/>
      <c r="SUD5" s="241"/>
      <c r="SUE5" s="241"/>
      <c r="SUF5" s="241"/>
      <c r="SUG5" s="241"/>
      <c r="SUH5" s="241"/>
      <c r="SUI5" s="241"/>
      <c r="SUJ5" s="241"/>
      <c r="SUK5" s="241"/>
      <c r="SUL5" s="241"/>
      <c r="SUM5" s="241"/>
      <c r="SUN5" s="241"/>
      <c r="SUO5" s="241"/>
      <c r="SUP5" s="241"/>
      <c r="SUQ5" s="241"/>
      <c r="SUR5" s="241"/>
      <c r="SUS5" s="241"/>
      <c r="SUT5" s="241"/>
      <c r="SUU5" s="241"/>
      <c r="SUV5" s="241"/>
      <c r="SUW5" s="241"/>
      <c r="SUX5" s="241"/>
      <c r="SUY5" s="241"/>
      <c r="SUZ5" s="241"/>
      <c r="SVA5" s="241"/>
      <c r="SVB5" s="241"/>
      <c r="SVC5" s="241"/>
      <c r="SVD5" s="241"/>
      <c r="SVE5" s="241"/>
      <c r="SVF5" s="241"/>
      <c r="SVG5" s="241"/>
      <c r="SVH5" s="241"/>
      <c r="SVI5" s="241"/>
      <c r="SVJ5" s="241"/>
      <c r="SVK5" s="241"/>
      <c r="SVL5" s="241"/>
      <c r="SVM5" s="241"/>
      <c r="SVN5" s="241"/>
      <c r="SVO5" s="241"/>
      <c r="SVP5" s="241"/>
      <c r="SVQ5" s="241"/>
      <c r="SVR5" s="241"/>
      <c r="SVS5" s="241"/>
      <c r="SVT5" s="241"/>
      <c r="SVU5" s="241"/>
      <c r="SVV5" s="241"/>
      <c r="SVW5" s="241"/>
      <c r="SVX5" s="241"/>
      <c r="SVY5" s="241"/>
      <c r="SVZ5" s="241"/>
      <c r="SWA5" s="241"/>
      <c r="SWB5" s="241"/>
      <c r="SWC5" s="241"/>
      <c r="SWD5" s="241"/>
      <c r="SWE5" s="241"/>
      <c r="SWF5" s="241"/>
      <c r="SWG5" s="241"/>
      <c r="SWH5" s="241"/>
      <c r="SWI5" s="241"/>
      <c r="SWJ5" s="241"/>
      <c r="SWK5" s="241"/>
      <c r="SWL5" s="241"/>
      <c r="SWM5" s="241"/>
      <c r="SWN5" s="241"/>
      <c r="SWO5" s="241"/>
      <c r="SWP5" s="241"/>
      <c r="SWQ5" s="241"/>
      <c r="SWR5" s="241"/>
      <c r="SWS5" s="241"/>
      <c r="SWT5" s="241"/>
      <c r="SWU5" s="241"/>
      <c r="SWV5" s="241"/>
      <c r="SWW5" s="241"/>
      <c r="SWX5" s="241"/>
      <c r="SWY5" s="241"/>
      <c r="SWZ5" s="241"/>
      <c r="SXA5" s="241"/>
      <c r="SXB5" s="241"/>
      <c r="SXC5" s="241"/>
      <c r="SXD5" s="241"/>
      <c r="SXE5" s="241"/>
      <c r="SXF5" s="241"/>
      <c r="SXG5" s="241"/>
      <c r="SXH5" s="241"/>
      <c r="SXI5" s="241"/>
      <c r="SXJ5" s="241"/>
      <c r="SXK5" s="241"/>
      <c r="SXL5" s="241"/>
      <c r="SXM5" s="241"/>
      <c r="SXN5" s="241"/>
      <c r="SXO5" s="241"/>
      <c r="SXP5" s="241"/>
      <c r="SXQ5" s="241"/>
      <c r="SXR5" s="241"/>
      <c r="SXS5" s="241"/>
      <c r="SXT5" s="241"/>
      <c r="SXU5" s="241"/>
      <c r="SXV5" s="241"/>
      <c r="SXW5" s="241"/>
      <c r="SXX5" s="241"/>
      <c r="SXY5" s="241"/>
      <c r="SXZ5" s="241"/>
      <c r="SYA5" s="241"/>
      <c r="SYB5" s="241"/>
      <c r="SYC5" s="241"/>
      <c r="SYD5" s="241"/>
      <c r="SYE5" s="241"/>
      <c r="SYF5" s="241"/>
      <c r="SYG5" s="241"/>
      <c r="SYH5" s="241"/>
      <c r="SYI5" s="241"/>
      <c r="SYJ5" s="241"/>
      <c r="SYK5" s="241"/>
      <c r="SYL5" s="241"/>
      <c r="SYM5" s="241"/>
      <c r="SYN5" s="241"/>
      <c r="SYO5" s="241"/>
      <c r="SYP5" s="241"/>
      <c r="SYQ5" s="241"/>
      <c r="SYR5" s="241"/>
      <c r="SYS5" s="241"/>
      <c r="SYT5" s="241"/>
      <c r="SYU5" s="241"/>
      <c r="SYV5" s="241"/>
      <c r="SYW5" s="241"/>
      <c r="SYX5" s="241"/>
      <c r="SYY5" s="241"/>
      <c r="SYZ5" s="241"/>
      <c r="SZA5" s="241"/>
      <c r="SZB5" s="241"/>
      <c r="SZC5" s="241"/>
      <c r="SZD5" s="241"/>
      <c r="SZE5" s="241"/>
      <c r="SZF5" s="241"/>
      <c r="SZG5" s="241"/>
      <c r="SZH5" s="241"/>
      <c r="SZI5" s="241"/>
      <c r="SZJ5" s="241"/>
      <c r="SZK5" s="241"/>
      <c r="SZL5" s="241"/>
      <c r="SZM5" s="241"/>
      <c r="SZN5" s="241"/>
      <c r="SZO5" s="241"/>
      <c r="SZP5" s="241"/>
      <c r="SZQ5" s="241"/>
      <c r="SZR5" s="241"/>
      <c r="SZS5" s="241"/>
      <c r="SZT5" s="241"/>
      <c r="SZU5" s="241"/>
      <c r="SZV5" s="241"/>
      <c r="SZW5" s="241"/>
      <c r="SZX5" s="241"/>
      <c r="SZY5" s="241"/>
      <c r="SZZ5" s="241"/>
      <c r="TAA5" s="241"/>
      <c r="TAB5" s="241"/>
      <c r="TAC5" s="241"/>
      <c r="TAD5" s="241"/>
      <c r="TAE5" s="241"/>
      <c r="TAF5" s="241"/>
      <c r="TAG5" s="241"/>
      <c r="TAH5" s="241"/>
      <c r="TAI5" s="241"/>
      <c r="TAJ5" s="241"/>
      <c r="TAK5" s="241"/>
      <c r="TAL5" s="241"/>
      <c r="TAM5" s="241"/>
      <c r="TAN5" s="241"/>
      <c r="TAO5" s="241"/>
      <c r="TAP5" s="241"/>
      <c r="TAQ5" s="241"/>
      <c r="TAR5" s="241"/>
      <c r="TAS5" s="241"/>
      <c r="TAT5" s="241"/>
      <c r="TAU5" s="241"/>
      <c r="TAV5" s="241"/>
      <c r="TAW5" s="241"/>
      <c r="TAX5" s="241"/>
      <c r="TAY5" s="241"/>
      <c r="TAZ5" s="241"/>
      <c r="TBA5" s="241"/>
      <c r="TBB5" s="241"/>
      <c r="TBC5" s="241"/>
      <c r="TBD5" s="241"/>
      <c r="TBE5" s="241"/>
      <c r="TBF5" s="241"/>
      <c r="TBG5" s="241"/>
      <c r="TBH5" s="241"/>
      <c r="TBI5" s="241"/>
      <c r="TBJ5" s="241"/>
      <c r="TBK5" s="241"/>
      <c r="TBL5" s="241"/>
      <c r="TBM5" s="241"/>
      <c r="TBN5" s="241"/>
      <c r="TBO5" s="241"/>
      <c r="TBP5" s="241"/>
      <c r="TBQ5" s="241"/>
      <c r="TBR5" s="241"/>
      <c r="TBS5" s="241"/>
      <c r="TBT5" s="241"/>
      <c r="TBU5" s="241"/>
      <c r="TBV5" s="241"/>
      <c r="TBW5" s="241"/>
      <c r="TBX5" s="241"/>
      <c r="TBY5" s="241"/>
      <c r="TBZ5" s="241"/>
      <c r="TCA5" s="241"/>
      <c r="TCB5" s="241"/>
      <c r="TCC5" s="241"/>
      <c r="TCD5" s="241"/>
      <c r="TCE5" s="241"/>
      <c r="TCF5" s="241"/>
      <c r="TCG5" s="241"/>
      <c r="TCH5" s="241"/>
      <c r="TCI5" s="241"/>
      <c r="TCJ5" s="241"/>
      <c r="TCK5" s="241"/>
      <c r="TCL5" s="241"/>
      <c r="TCM5" s="241"/>
      <c r="TCN5" s="241"/>
      <c r="TCO5" s="241"/>
      <c r="TCP5" s="241"/>
      <c r="TCQ5" s="241"/>
      <c r="TCR5" s="241"/>
      <c r="TCS5" s="241"/>
      <c r="TCT5" s="241"/>
      <c r="TCU5" s="241"/>
      <c r="TCV5" s="241"/>
      <c r="TCW5" s="241"/>
      <c r="TCX5" s="241"/>
      <c r="TCY5" s="241"/>
      <c r="TCZ5" s="241"/>
      <c r="TDA5" s="241"/>
      <c r="TDB5" s="241"/>
      <c r="TDC5" s="241"/>
      <c r="TDD5" s="241"/>
      <c r="TDE5" s="241"/>
      <c r="TDF5" s="241"/>
      <c r="TDG5" s="241"/>
      <c r="TDH5" s="241"/>
      <c r="TDI5" s="241"/>
      <c r="TDJ5" s="241"/>
      <c r="TDK5" s="241"/>
      <c r="TDL5" s="241"/>
      <c r="TDM5" s="241"/>
      <c r="TDN5" s="241"/>
      <c r="TDO5" s="241"/>
      <c r="TDP5" s="241"/>
      <c r="TDQ5" s="241"/>
      <c r="TDR5" s="241"/>
      <c r="TDS5" s="241"/>
      <c r="TDT5" s="241"/>
      <c r="TDU5" s="241"/>
      <c r="TDV5" s="241"/>
      <c r="TDW5" s="241"/>
      <c r="TDX5" s="241"/>
      <c r="TDY5" s="241"/>
      <c r="TDZ5" s="241"/>
      <c r="TEA5" s="241"/>
      <c r="TEB5" s="241"/>
      <c r="TEC5" s="241"/>
      <c r="TED5" s="241"/>
      <c r="TEE5" s="241"/>
      <c r="TEF5" s="241"/>
      <c r="TEG5" s="241"/>
      <c r="TEH5" s="241"/>
      <c r="TEI5" s="241"/>
      <c r="TEJ5" s="241"/>
      <c r="TEK5" s="241"/>
      <c r="TEL5" s="241"/>
      <c r="TEM5" s="241"/>
      <c r="TEN5" s="241"/>
      <c r="TEO5" s="241"/>
      <c r="TEP5" s="241"/>
      <c r="TEQ5" s="241"/>
      <c r="TER5" s="241"/>
      <c r="TES5" s="241"/>
      <c r="TET5" s="241"/>
      <c r="TEU5" s="241"/>
      <c r="TEV5" s="241"/>
      <c r="TEW5" s="241"/>
      <c r="TEX5" s="241"/>
      <c r="TEY5" s="241"/>
      <c r="TEZ5" s="241"/>
      <c r="TFA5" s="241"/>
      <c r="TFB5" s="241"/>
      <c r="TFC5" s="241"/>
      <c r="TFD5" s="241"/>
      <c r="TFE5" s="241"/>
      <c r="TFF5" s="241"/>
      <c r="TFG5" s="241"/>
      <c r="TFH5" s="241"/>
      <c r="TFI5" s="241"/>
      <c r="TFJ5" s="241"/>
      <c r="TFK5" s="241"/>
      <c r="TFL5" s="241"/>
      <c r="TFM5" s="241"/>
      <c r="TFN5" s="241"/>
      <c r="TFO5" s="241"/>
      <c r="TFP5" s="241"/>
      <c r="TFQ5" s="241"/>
      <c r="TFR5" s="241"/>
      <c r="TFS5" s="241"/>
      <c r="TFT5" s="241"/>
      <c r="TFU5" s="241"/>
      <c r="TFV5" s="241"/>
      <c r="TFW5" s="241"/>
      <c r="TFX5" s="241"/>
      <c r="TFY5" s="241"/>
      <c r="TFZ5" s="241"/>
      <c r="TGA5" s="241"/>
      <c r="TGB5" s="241"/>
      <c r="TGC5" s="241"/>
      <c r="TGD5" s="241"/>
      <c r="TGE5" s="241"/>
      <c r="TGF5" s="241"/>
      <c r="TGG5" s="241"/>
      <c r="TGH5" s="241"/>
      <c r="TGI5" s="241"/>
      <c r="TGJ5" s="241"/>
      <c r="TGK5" s="241"/>
      <c r="TGL5" s="241"/>
      <c r="TGM5" s="241"/>
      <c r="TGN5" s="241"/>
      <c r="TGO5" s="241"/>
      <c r="TGP5" s="241"/>
      <c r="TGQ5" s="241"/>
      <c r="TGR5" s="241"/>
      <c r="TGS5" s="241"/>
      <c r="TGT5" s="241"/>
      <c r="TGU5" s="241"/>
      <c r="TGV5" s="241"/>
      <c r="TGW5" s="241"/>
      <c r="TGX5" s="241"/>
      <c r="TGY5" s="241"/>
      <c r="TGZ5" s="241"/>
      <c r="THA5" s="241"/>
      <c r="THB5" s="241"/>
      <c r="THC5" s="241"/>
      <c r="THD5" s="241"/>
      <c r="THE5" s="241"/>
      <c r="THF5" s="241"/>
      <c r="THG5" s="241"/>
      <c r="THH5" s="241"/>
      <c r="THI5" s="241"/>
      <c r="THJ5" s="241"/>
      <c r="THK5" s="241"/>
      <c r="THL5" s="241"/>
      <c r="THM5" s="241"/>
      <c r="THN5" s="241"/>
      <c r="THO5" s="241"/>
      <c r="THP5" s="241"/>
      <c r="THQ5" s="241"/>
      <c r="THR5" s="241"/>
      <c r="THS5" s="241"/>
      <c r="THT5" s="241"/>
      <c r="THU5" s="241"/>
      <c r="THV5" s="241"/>
      <c r="THW5" s="241"/>
      <c r="THX5" s="241"/>
      <c r="THY5" s="241"/>
      <c r="THZ5" s="241"/>
      <c r="TIA5" s="241"/>
      <c r="TIB5" s="241"/>
      <c r="TIC5" s="241"/>
      <c r="TID5" s="241"/>
      <c r="TIE5" s="241"/>
      <c r="TIF5" s="241"/>
      <c r="TIG5" s="241"/>
      <c r="TIH5" s="241"/>
      <c r="TII5" s="241"/>
      <c r="TIJ5" s="241"/>
      <c r="TIK5" s="241"/>
      <c r="TIL5" s="241"/>
      <c r="TIM5" s="241"/>
      <c r="TIN5" s="241"/>
      <c r="TIO5" s="241"/>
      <c r="TIP5" s="241"/>
      <c r="TIQ5" s="241"/>
      <c r="TIR5" s="241"/>
      <c r="TIS5" s="241"/>
      <c r="TIT5" s="241"/>
      <c r="TIU5" s="241"/>
      <c r="TIV5" s="241"/>
      <c r="TIW5" s="241"/>
      <c r="TIX5" s="241"/>
      <c r="TIY5" s="241"/>
      <c r="TIZ5" s="241"/>
      <c r="TJA5" s="241"/>
      <c r="TJB5" s="241"/>
      <c r="TJC5" s="241"/>
      <c r="TJD5" s="241"/>
      <c r="TJE5" s="241"/>
      <c r="TJF5" s="241"/>
      <c r="TJG5" s="241"/>
      <c r="TJH5" s="241"/>
      <c r="TJI5" s="241"/>
      <c r="TJJ5" s="241"/>
      <c r="TJK5" s="241"/>
      <c r="TJL5" s="241"/>
      <c r="TJM5" s="241"/>
      <c r="TJN5" s="241"/>
      <c r="TJO5" s="241"/>
      <c r="TJP5" s="241"/>
      <c r="TJQ5" s="241"/>
      <c r="TJR5" s="241"/>
      <c r="TJS5" s="241"/>
      <c r="TJT5" s="241"/>
      <c r="TJU5" s="241"/>
      <c r="TJV5" s="241"/>
      <c r="TJW5" s="241"/>
      <c r="TJX5" s="241"/>
      <c r="TJY5" s="241"/>
      <c r="TJZ5" s="241"/>
      <c r="TKA5" s="241"/>
      <c r="TKB5" s="241"/>
      <c r="TKC5" s="241"/>
      <c r="TKD5" s="241"/>
      <c r="TKE5" s="241"/>
      <c r="TKF5" s="241"/>
      <c r="TKG5" s="241"/>
      <c r="TKH5" s="241"/>
      <c r="TKI5" s="241"/>
      <c r="TKJ5" s="241"/>
      <c r="TKK5" s="241"/>
      <c r="TKL5" s="241"/>
      <c r="TKM5" s="241"/>
      <c r="TKN5" s="241"/>
      <c r="TKO5" s="241"/>
      <c r="TKP5" s="241"/>
      <c r="TKQ5" s="241"/>
      <c r="TKR5" s="241"/>
      <c r="TKS5" s="241"/>
      <c r="TKT5" s="241"/>
      <c r="TKU5" s="241"/>
      <c r="TKV5" s="241"/>
      <c r="TKW5" s="241"/>
      <c r="TKX5" s="241"/>
      <c r="TKY5" s="241"/>
      <c r="TKZ5" s="241"/>
      <c r="TLA5" s="241"/>
      <c r="TLB5" s="241"/>
      <c r="TLC5" s="241"/>
      <c r="TLD5" s="241"/>
      <c r="TLE5" s="241"/>
      <c r="TLF5" s="241"/>
      <c r="TLG5" s="241"/>
      <c r="TLH5" s="241"/>
      <c r="TLI5" s="241"/>
      <c r="TLJ5" s="241"/>
      <c r="TLK5" s="241"/>
      <c r="TLL5" s="241"/>
      <c r="TLM5" s="241"/>
      <c r="TLN5" s="241"/>
      <c r="TLO5" s="241"/>
      <c r="TLP5" s="241"/>
      <c r="TLQ5" s="241"/>
      <c r="TLR5" s="241"/>
      <c r="TLS5" s="241"/>
      <c r="TLT5" s="241"/>
      <c r="TLU5" s="241"/>
      <c r="TLV5" s="241"/>
      <c r="TLW5" s="241"/>
      <c r="TLX5" s="241"/>
      <c r="TLY5" s="241"/>
      <c r="TLZ5" s="241"/>
      <c r="TMA5" s="241"/>
      <c r="TMB5" s="241"/>
      <c r="TMC5" s="241"/>
      <c r="TMD5" s="241"/>
      <c r="TME5" s="241"/>
      <c r="TMF5" s="241"/>
      <c r="TMG5" s="241"/>
      <c r="TMH5" s="241"/>
      <c r="TMI5" s="241"/>
      <c r="TMJ5" s="241"/>
      <c r="TMK5" s="241"/>
      <c r="TML5" s="241"/>
      <c r="TMM5" s="241"/>
      <c r="TMN5" s="241"/>
      <c r="TMO5" s="241"/>
      <c r="TMP5" s="241"/>
      <c r="TMQ5" s="241"/>
      <c r="TMR5" s="241"/>
      <c r="TMS5" s="241"/>
      <c r="TMT5" s="241"/>
      <c r="TMU5" s="241"/>
      <c r="TMV5" s="241"/>
      <c r="TMW5" s="241"/>
      <c r="TMX5" s="241"/>
      <c r="TMY5" s="241"/>
      <c r="TMZ5" s="241"/>
      <c r="TNA5" s="241"/>
      <c r="TNB5" s="241"/>
      <c r="TNC5" s="241"/>
      <c r="TND5" s="241"/>
      <c r="TNE5" s="241"/>
      <c r="TNF5" s="241"/>
      <c r="TNG5" s="241"/>
      <c r="TNH5" s="241"/>
      <c r="TNI5" s="241"/>
      <c r="TNJ5" s="241"/>
      <c r="TNK5" s="241"/>
      <c r="TNL5" s="241"/>
      <c r="TNM5" s="241"/>
      <c r="TNN5" s="241"/>
      <c r="TNO5" s="241"/>
      <c r="TNP5" s="241"/>
      <c r="TNQ5" s="241"/>
      <c r="TNR5" s="241"/>
      <c r="TNS5" s="241"/>
      <c r="TNT5" s="241"/>
      <c r="TNU5" s="241"/>
      <c r="TNV5" s="241"/>
      <c r="TNW5" s="241"/>
      <c r="TNX5" s="241"/>
      <c r="TNY5" s="241"/>
      <c r="TNZ5" s="241"/>
      <c r="TOA5" s="241"/>
      <c r="TOB5" s="241"/>
      <c r="TOC5" s="241"/>
      <c r="TOD5" s="241"/>
      <c r="TOE5" s="241"/>
      <c r="TOF5" s="241"/>
      <c r="TOG5" s="241"/>
      <c r="TOH5" s="241"/>
      <c r="TOI5" s="241"/>
      <c r="TOJ5" s="241"/>
      <c r="TOK5" s="241"/>
      <c r="TOL5" s="241"/>
      <c r="TOM5" s="241"/>
      <c r="TON5" s="241"/>
      <c r="TOO5" s="241"/>
      <c r="TOP5" s="241"/>
      <c r="TOQ5" s="241"/>
      <c r="TOR5" s="241"/>
      <c r="TOS5" s="241"/>
      <c r="TOT5" s="241"/>
      <c r="TOU5" s="241"/>
      <c r="TOV5" s="241"/>
      <c r="TOW5" s="241"/>
      <c r="TOX5" s="241"/>
      <c r="TOY5" s="241"/>
      <c r="TOZ5" s="241"/>
      <c r="TPA5" s="241"/>
      <c r="TPB5" s="241"/>
      <c r="TPC5" s="241"/>
      <c r="TPD5" s="241"/>
      <c r="TPE5" s="241"/>
      <c r="TPF5" s="241"/>
      <c r="TPG5" s="241"/>
      <c r="TPH5" s="241"/>
      <c r="TPI5" s="241"/>
      <c r="TPJ5" s="241"/>
      <c r="TPK5" s="241"/>
      <c r="TPL5" s="241"/>
      <c r="TPM5" s="241"/>
      <c r="TPN5" s="241"/>
      <c r="TPO5" s="241"/>
      <c r="TPP5" s="241"/>
      <c r="TPQ5" s="241"/>
      <c r="TPR5" s="241"/>
      <c r="TPS5" s="241"/>
      <c r="TPT5" s="241"/>
      <c r="TPU5" s="241"/>
      <c r="TPV5" s="241"/>
      <c r="TPW5" s="241"/>
      <c r="TPX5" s="241"/>
      <c r="TPY5" s="241"/>
      <c r="TPZ5" s="241"/>
      <c r="TQA5" s="241"/>
      <c r="TQB5" s="241"/>
      <c r="TQC5" s="241"/>
      <c r="TQD5" s="241"/>
      <c r="TQE5" s="241"/>
      <c r="TQF5" s="241"/>
      <c r="TQG5" s="241"/>
      <c r="TQH5" s="241"/>
      <c r="TQI5" s="241"/>
      <c r="TQJ5" s="241"/>
      <c r="TQK5" s="241"/>
      <c r="TQL5" s="241"/>
      <c r="TQM5" s="241"/>
      <c r="TQN5" s="241"/>
      <c r="TQO5" s="241"/>
      <c r="TQP5" s="241"/>
      <c r="TQQ5" s="241"/>
      <c r="TQR5" s="241"/>
      <c r="TQS5" s="241"/>
      <c r="TQT5" s="241"/>
      <c r="TQU5" s="241"/>
      <c r="TQV5" s="241"/>
      <c r="TQW5" s="241"/>
      <c r="TQX5" s="241"/>
      <c r="TQY5" s="241"/>
      <c r="TQZ5" s="241"/>
      <c r="TRA5" s="241"/>
      <c r="TRB5" s="241"/>
      <c r="TRC5" s="241"/>
      <c r="TRD5" s="241"/>
      <c r="TRE5" s="241"/>
      <c r="TRF5" s="241"/>
      <c r="TRG5" s="241"/>
      <c r="TRH5" s="241"/>
      <c r="TRI5" s="241"/>
      <c r="TRJ5" s="241"/>
      <c r="TRK5" s="241"/>
      <c r="TRL5" s="241"/>
      <c r="TRM5" s="241"/>
      <c r="TRN5" s="241"/>
      <c r="TRO5" s="241"/>
      <c r="TRP5" s="241"/>
      <c r="TRQ5" s="241"/>
      <c r="TRR5" s="241"/>
      <c r="TRS5" s="241"/>
      <c r="TRT5" s="241"/>
      <c r="TRU5" s="241"/>
      <c r="TRV5" s="241"/>
      <c r="TRW5" s="241"/>
      <c r="TRX5" s="241"/>
      <c r="TRY5" s="241"/>
      <c r="TRZ5" s="241"/>
      <c r="TSA5" s="241"/>
      <c r="TSB5" s="241"/>
      <c r="TSC5" s="241"/>
      <c r="TSD5" s="241"/>
      <c r="TSE5" s="241"/>
      <c r="TSF5" s="241"/>
      <c r="TSG5" s="241"/>
      <c r="TSH5" s="241"/>
      <c r="TSI5" s="241"/>
      <c r="TSJ5" s="241"/>
      <c r="TSK5" s="241"/>
      <c r="TSL5" s="241"/>
      <c r="TSM5" s="241"/>
      <c r="TSN5" s="241"/>
      <c r="TSO5" s="241"/>
      <c r="TSP5" s="241"/>
      <c r="TSQ5" s="241"/>
      <c r="TSR5" s="241"/>
      <c r="TSS5" s="241"/>
      <c r="TST5" s="241"/>
      <c r="TSU5" s="241"/>
      <c r="TSV5" s="241"/>
      <c r="TSW5" s="241"/>
      <c r="TSX5" s="241"/>
      <c r="TSY5" s="241"/>
      <c r="TSZ5" s="241"/>
      <c r="TTA5" s="241"/>
      <c r="TTB5" s="241"/>
      <c r="TTC5" s="241"/>
      <c r="TTD5" s="241"/>
      <c r="TTE5" s="241"/>
      <c r="TTF5" s="241"/>
      <c r="TTG5" s="241"/>
      <c r="TTH5" s="241"/>
      <c r="TTI5" s="241"/>
      <c r="TTJ5" s="241"/>
      <c r="TTK5" s="241"/>
      <c r="TTL5" s="241"/>
      <c r="TTM5" s="241"/>
      <c r="TTN5" s="241"/>
      <c r="TTO5" s="241"/>
      <c r="TTP5" s="241"/>
      <c r="TTQ5" s="241"/>
      <c r="TTR5" s="241"/>
      <c r="TTS5" s="241"/>
      <c r="TTT5" s="241"/>
      <c r="TTU5" s="241"/>
      <c r="TTV5" s="241"/>
      <c r="TTW5" s="241"/>
      <c r="TTX5" s="241"/>
      <c r="TTY5" s="241"/>
      <c r="TTZ5" s="241"/>
      <c r="TUA5" s="241"/>
      <c r="TUB5" s="241"/>
      <c r="TUC5" s="241"/>
      <c r="TUD5" s="241"/>
      <c r="TUE5" s="241"/>
      <c r="TUF5" s="241"/>
      <c r="TUG5" s="241"/>
      <c r="TUH5" s="241"/>
      <c r="TUI5" s="241"/>
      <c r="TUJ5" s="241"/>
      <c r="TUK5" s="241"/>
      <c r="TUL5" s="241"/>
      <c r="TUM5" s="241"/>
      <c r="TUN5" s="241"/>
      <c r="TUO5" s="241"/>
      <c r="TUP5" s="241"/>
      <c r="TUQ5" s="241"/>
      <c r="TUR5" s="241"/>
      <c r="TUS5" s="241"/>
      <c r="TUT5" s="241"/>
      <c r="TUU5" s="241"/>
      <c r="TUV5" s="241"/>
      <c r="TUW5" s="241"/>
      <c r="TUX5" s="241"/>
      <c r="TUY5" s="241"/>
      <c r="TUZ5" s="241"/>
      <c r="TVA5" s="241"/>
      <c r="TVB5" s="241"/>
      <c r="TVC5" s="241"/>
      <c r="TVD5" s="241"/>
      <c r="TVE5" s="241"/>
      <c r="TVF5" s="241"/>
      <c r="TVG5" s="241"/>
      <c r="TVH5" s="241"/>
      <c r="TVI5" s="241"/>
      <c r="TVJ5" s="241"/>
      <c r="TVK5" s="241"/>
      <c r="TVL5" s="241"/>
      <c r="TVM5" s="241"/>
      <c r="TVN5" s="241"/>
      <c r="TVO5" s="241"/>
      <c r="TVP5" s="241"/>
      <c r="TVQ5" s="241"/>
      <c r="TVR5" s="241"/>
      <c r="TVS5" s="241"/>
      <c r="TVT5" s="241"/>
      <c r="TVU5" s="241"/>
      <c r="TVV5" s="241"/>
      <c r="TVW5" s="241"/>
      <c r="TVX5" s="241"/>
      <c r="TVY5" s="241"/>
      <c r="TVZ5" s="241"/>
      <c r="TWA5" s="241"/>
      <c r="TWB5" s="241"/>
      <c r="TWC5" s="241"/>
      <c r="TWD5" s="241"/>
      <c r="TWE5" s="241"/>
      <c r="TWF5" s="241"/>
      <c r="TWG5" s="241"/>
      <c r="TWH5" s="241"/>
      <c r="TWI5" s="241"/>
      <c r="TWJ5" s="241"/>
      <c r="TWK5" s="241"/>
      <c r="TWL5" s="241"/>
      <c r="TWM5" s="241"/>
      <c r="TWN5" s="241"/>
      <c r="TWO5" s="241"/>
      <c r="TWP5" s="241"/>
      <c r="TWQ5" s="241"/>
      <c r="TWR5" s="241"/>
      <c r="TWS5" s="241"/>
      <c r="TWT5" s="241"/>
      <c r="TWU5" s="241"/>
      <c r="TWV5" s="241"/>
      <c r="TWW5" s="241"/>
      <c r="TWX5" s="241"/>
      <c r="TWY5" s="241"/>
      <c r="TWZ5" s="241"/>
      <c r="TXA5" s="241"/>
      <c r="TXB5" s="241"/>
      <c r="TXC5" s="241"/>
      <c r="TXD5" s="241"/>
      <c r="TXE5" s="241"/>
      <c r="TXF5" s="241"/>
      <c r="TXG5" s="241"/>
      <c r="TXH5" s="241"/>
      <c r="TXI5" s="241"/>
      <c r="TXJ5" s="241"/>
      <c r="TXK5" s="241"/>
      <c r="TXL5" s="241"/>
      <c r="TXM5" s="241"/>
      <c r="TXN5" s="241"/>
      <c r="TXO5" s="241"/>
      <c r="TXP5" s="241"/>
      <c r="TXQ5" s="241"/>
      <c r="TXR5" s="241"/>
      <c r="TXS5" s="241"/>
      <c r="TXT5" s="241"/>
      <c r="TXU5" s="241"/>
      <c r="TXV5" s="241"/>
      <c r="TXW5" s="241"/>
      <c r="TXX5" s="241"/>
      <c r="TXY5" s="241"/>
      <c r="TXZ5" s="241"/>
      <c r="TYA5" s="241"/>
      <c r="TYB5" s="241"/>
      <c r="TYC5" s="241"/>
      <c r="TYD5" s="241"/>
      <c r="TYE5" s="241"/>
      <c r="TYF5" s="241"/>
      <c r="TYG5" s="241"/>
      <c r="TYH5" s="241"/>
      <c r="TYI5" s="241"/>
      <c r="TYJ5" s="241"/>
      <c r="TYK5" s="241"/>
      <c r="TYL5" s="241"/>
      <c r="TYM5" s="241"/>
      <c r="TYN5" s="241"/>
      <c r="TYO5" s="241"/>
      <c r="TYP5" s="241"/>
      <c r="TYQ5" s="241"/>
      <c r="TYR5" s="241"/>
      <c r="TYS5" s="241"/>
      <c r="TYT5" s="241"/>
      <c r="TYU5" s="241"/>
      <c r="TYV5" s="241"/>
      <c r="TYW5" s="241"/>
      <c r="TYX5" s="241"/>
      <c r="TYY5" s="241"/>
      <c r="TYZ5" s="241"/>
      <c r="TZA5" s="241"/>
      <c r="TZB5" s="241"/>
      <c r="TZC5" s="241"/>
      <c r="TZD5" s="241"/>
      <c r="TZE5" s="241"/>
      <c r="TZF5" s="241"/>
      <c r="TZG5" s="241"/>
      <c r="TZH5" s="241"/>
      <c r="TZI5" s="241"/>
      <c r="TZJ5" s="241"/>
      <c r="TZK5" s="241"/>
      <c r="TZL5" s="241"/>
      <c r="TZM5" s="241"/>
      <c r="TZN5" s="241"/>
      <c r="TZO5" s="241"/>
      <c r="TZP5" s="241"/>
      <c r="TZQ5" s="241"/>
      <c r="TZR5" s="241"/>
      <c r="TZS5" s="241"/>
      <c r="TZT5" s="241"/>
      <c r="TZU5" s="241"/>
      <c r="TZV5" s="241"/>
      <c r="TZW5" s="241"/>
      <c r="TZX5" s="241"/>
      <c r="TZY5" s="241"/>
      <c r="TZZ5" s="241"/>
      <c r="UAA5" s="241"/>
      <c r="UAB5" s="241"/>
      <c r="UAC5" s="241"/>
      <c r="UAD5" s="241"/>
      <c r="UAE5" s="241"/>
      <c r="UAF5" s="241"/>
      <c r="UAG5" s="241"/>
      <c r="UAH5" s="241"/>
      <c r="UAI5" s="241"/>
      <c r="UAJ5" s="241"/>
      <c r="UAK5" s="241"/>
      <c r="UAL5" s="241"/>
      <c r="UAM5" s="241"/>
      <c r="UAN5" s="241"/>
      <c r="UAO5" s="241"/>
      <c r="UAP5" s="241"/>
      <c r="UAQ5" s="241"/>
      <c r="UAR5" s="241"/>
      <c r="UAS5" s="241"/>
      <c r="UAT5" s="241"/>
      <c r="UAU5" s="241"/>
      <c r="UAV5" s="241"/>
      <c r="UAW5" s="241"/>
      <c r="UAX5" s="241"/>
      <c r="UAY5" s="241"/>
      <c r="UAZ5" s="241"/>
      <c r="UBA5" s="241"/>
      <c r="UBB5" s="241"/>
      <c r="UBC5" s="241"/>
      <c r="UBD5" s="241"/>
      <c r="UBE5" s="241"/>
      <c r="UBF5" s="241"/>
      <c r="UBG5" s="241"/>
      <c r="UBH5" s="241"/>
      <c r="UBI5" s="241"/>
      <c r="UBJ5" s="241"/>
      <c r="UBK5" s="241"/>
      <c r="UBL5" s="241"/>
      <c r="UBM5" s="241"/>
      <c r="UBN5" s="241"/>
      <c r="UBO5" s="241"/>
      <c r="UBP5" s="241"/>
      <c r="UBQ5" s="241"/>
      <c r="UBR5" s="241"/>
      <c r="UBS5" s="241"/>
      <c r="UBT5" s="241"/>
      <c r="UBU5" s="241"/>
      <c r="UBV5" s="241"/>
      <c r="UBW5" s="241"/>
      <c r="UBX5" s="241"/>
      <c r="UBY5" s="241"/>
      <c r="UBZ5" s="241"/>
      <c r="UCA5" s="241"/>
      <c r="UCB5" s="241"/>
      <c r="UCC5" s="241"/>
      <c r="UCD5" s="241"/>
      <c r="UCE5" s="241"/>
      <c r="UCF5" s="241"/>
      <c r="UCG5" s="241"/>
      <c r="UCH5" s="241"/>
      <c r="UCI5" s="241"/>
      <c r="UCJ5" s="241"/>
      <c r="UCK5" s="241"/>
      <c r="UCL5" s="241"/>
      <c r="UCM5" s="241"/>
      <c r="UCN5" s="241"/>
      <c r="UCO5" s="241"/>
      <c r="UCP5" s="241"/>
      <c r="UCQ5" s="241"/>
      <c r="UCR5" s="241"/>
      <c r="UCS5" s="241"/>
      <c r="UCT5" s="241"/>
      <c r="UCU5" s="241"/>
      <c r="UCV5" s="241"/>
      <c r="UCW5" s="241"/>
      <c r="UCX5" s="241"/>
      <c r="UCY5" s="241"/>
      <c r="UCZ5" s="241"/>
      <c r="UDA5" s="241"/>
      <c r="UDB5" s="241"/>
      <c r="UDC5" s="241"/>
      <c r="UDD5" s="241"/>
      <c r="UDE5" s="241"/>
      <c r="UDF5" s="241"/>
      <c r="UDG5" s="241"/>
      <c r="UDH5" s="241"/>
      <c r="UDI5" s="241"/>
      <c r="UDJ5" s="241"/>
      <c r="UDK5" s="241"/>
      <c r="UDL5" s="241"/>
      <c r="UDM5" s="241"/>
      <c r="UDN5" s="241"/>
      <c r="UDO5" s="241"/>
      <c r="UDP5" s="241"/>
      <c r="UDQ5" s="241"/>
      <c r="UDR5" s="241"/>
      <c r="UDS5" s="241"/>
      <c r="UDT5" s="241"/>
      <c r="UDU5" s="241"/>
      <c r="UDV5" s="241"/>
      <c r="UDW5" s="241"/>
      <c r="UDX5" s="241"/>
      <c r="UDY5" s="241"/>
      <c r="UDZ5" s="241"/>
      <c r="UEA5" s="241"/>
      <c r="UEB5" s="241"/>
      <c r="UEC5" s="241"/>
      <c r="UED5" s="241"/>
      <c r="UEE5" s="241"/>
      <c r="UEF5" s="241"/>
      <c r="UEG5" s="241"/>
      <c r="UEH5" s="241"/>
      <c r="UEI5" s="241"/>
      <c r="UEJ5" s="241"/>
      <c r="UEK5" s="241"/>
      <c r="UEL5" s="241"/>
      <c r="UEM5" s="241"/>
      <c r="UEN5" s="241"/>
      <c r="UEO5" s="241"/>
      <c r="UEP5" s="241"/>
      <c r="UEQ5" s="241"/>
      <c r="UER5" s="241"/>
      <c r="UES5" s="241"/>
      <c r="UET5" s="241"/>
      <c r="UEU5" s="241"/>
      <c r="UEV5" s="241"/>
      <c r="UEW5" s="241"/>
      <c r="UEX5" s="241"/>
      <c r="UEY5" s="241"/>
      <c r="UEZ5" s="241"/>
      <c r="UFA5" s="241"/>
      <c r="UFB5" s="241"/>
      <c r="UFC5" s="241"/>
      <c r="UFD5" s="241"/>
      <c r="UFE5" s="241"/>
      <c r="UFF5" s="241"/>
      <c r="UFG5" s="241"/>
      <c r="UFH5" s="241"/>
      <c r="UFI5" s="241"/>
      <c r="UFJ5" s="241"/>
      <c r="UFK5" s="241"/>
      <c r="UFL5" s="241"/>
      <c r="UFM5" s="241"/>
      <c r="UFN5" s="241"/>
      <c r="UFO5" s="241"/>
      <c r="UFP5" s="241"/>
      <c r="UFQ5" s="241"/>
      <c r="UFR5" s="241"/>
      <c r="UFS5" s="241"/>
      <c r="UFT5" s="241"/>
      <c r="UFU5" s="241"/>
      <c r="UFV5" s="241"/>
      <c r="UFW5" s="241"/>
      <c r="UFX5" s="241"/>
      <c r="UFY5" s="241"/>
      <c r="UFZ5" s="241"/>
      <c r="UGA5" s="241"/>
      <c r="UGB5" s="241"/>
      <c r="UGC5" s="241"/>
      <c r="UGD5" s="241"/>
      <c r="UGE5" s="241"/>
      <c r="UGF5" s="241"/>
      <c r="UGG5" s="241"/>
      <c r="UGH5" s="241"/>
      <c r="UGI5" s="241"/>
      <c r="UGJ5" s="241"/>
      <c r="UGK5" s="241"/>
      <c r="UGL5" s="241"/>
      <c r="UGM5" s="241"/>
      <c r="UGN5" s="241"/>
      <c r="UGO5" s="241"/>
      <c r="UGP5" s="241"/>
      <c r="UGQ5" s="241"/>
      <c r="UGR5" s="241"/>
      <c r="UGS5" s="241"/>
      <c r="UGT5" s="241"/>
      <c r="UGU5" s="241"/>
      <c r="UGV5" s="241"/>
      <c r="UGW5" s="241"/>
      <c r="UGX5" s="241"/>
      <c r="UGY5" s="241"/>
      <c r="UGZ5" s="241"/>
      <c r="UHA5" s="241"/>
      <c r="UHB5" s="241"/>
      <c r="UHC5" s="241"/>
      <c r="UHD5" s="241"/>
      <c r="UHE5" s="241"/>
      <c r="UHF5" s="241"/>
      <c r="UHG5" s="241"/>
      <c r="UHH5" s="241"/>
      <c r="UHI5" s="241"/>
      <c r="UHJ5" s="241"/>
      <c r="UHK5" s="241"/>
      <c r="UHL5" s="241"/>
      <c r="UHM5" s="241"/>
      <c r="UHN5" s="241"/>
      <c r="UHO5" s="241"/>
      <c r="UHP5" s="241"/>
      <c r="UHQ5" s="241"/>
      <c r="UHR5" s="241"/>
      <c r="UHS5" s="241"/>
      <c r="UHT5" s="241"/>
      <c r="UHU5" s="241"/>
      <c r="UHV5" s="241"/>
      <c r="UHW5" s="241"/>
      <c r="UHX5" s="241"/>
      <c r="UHY5" s="241"/>
      <c r="UHZ5" s="241"/>
      <c r="UIA5" s="241"/>
      <c r="UIB5" s="241"/>
      <c r="UIC5" s="241"/>
      <c r="UID5" s="241"/>
      <c r="UIE5" s="241"/>
      <c r="UIF5" s="241"/>
      <c r="UIG5" s="241"/>
      <c r="UIH5" s="241"/>
      <c r="UII5" s="241"/>
      <c r="UIJ5" s="241"/>
      <c r="UIK5" s="241"/>
      <c r="UIL5" s="241"/>
      <c r="UIM5" s="241"/>
      <c r="UIN5" s="241"/>
      <c r="UIO5" s="241"/>
      <c r="UIP5" s="241"/>
      <c r="UIQ5" s="241"/>
      <c r="UIR5" s="241"/>
      <c r="UIS5" s="241"/>
      <c r="UIT5" s="241"/>
      <c r="UIU5" s="241"/>
      <c r="UIV5" s="241"/>
      <c r="UIW5" s="241"/>
      <c r="UIX5" s="241"/>
      <c r="UIY5" s="241"/>
      <c r="UIZ5" s="241"/>
      <c r="UJA5" s="241"/>
      <c r="UJB5" s="241"/>
      <c r="UJC5" s="241"/>
      <c r="UJD5" s="241"/>
      <c r="UJE5" s="241"/>
      <c r="UJF5" s="241"/>
      <c r="UJG5" s="241"/>
      <c r="UJH5" s="241"/>
      <c r="UJI5" s="241"/>
      <c r="UJJ5" s="241"/>
      <c r="UJK5" s="241"/>
      <c r="UJL5" s="241"/>
      <c r="UJM5" s="241"/>
      <c r="UJN5" s="241"/>
      <c r="UJO5" s="241"/>
      <c r="UJP5" s="241"/>
      <c r="UJQ5" s="241"/>
      <c r="UJR5" s="241"/>
      <c r="UJS5" s="241"/>
      <c r="UJT5" s="241"/>
      <c r="UJU5" s="241"/>
      <c r="UJV5" s="241"/>
      <c r="UJW5" s="241"/>
      <c r="UJX5" s="241"/>
      <c r="UJY5" s="241"/>
      <c r="UJZ5" s="241"/>
      <c r="UKA5" s="241"/>
      <c r="UKB5" s="241"/>
      <c r="UKC5" s="241"/>
      <c r="UKD5" s="241"/>
      <c r="UKE5" s="241"/>
      <c r="UKF5" s="241"/>
      <c r="UKG5" s="241"/>
      <c r="UKH5" s="241"/>
      <c r="UKI5" s="241"/>
      <c r="UKJ5" s="241"/>
      <c r="UKK5" s="241"/>
      <c r="UKL5" s="241"/>
      <c r="UKM5" s="241"/>
      <c r="UKN5" s="241"/>
      <c r="UKO5" s="241"/>
      <c r="UKP5" s="241"/>
      <c r="UKQ5" s="241"/>
      <c r="UKR5" s="241"/>
      <c r="UKS5" s="241"/>
      <c r="UKT5" s="241"/>
      <c r="UKU5" s="241"/>
      <c r="UKV5" s="241"/>
      <c r="UKW5" s="241"/>
      <c r="UKX5" s="241"/>
      <c r="UKY5" s="241"/>
      <c r="UKZ5" s="241"/>
      <c r="ULA5" s="241"/>
      <c r="ULB5" s="241"/>
      <c r="ULC5" s="241"/>
      <c r="ULD5" s="241"/>
      <c r="ULE5" s="241"/>
      <c r="ULF5" s="241"/>
      <c r="ULG5" s="241"/>
      <c r="ULH5" s="241"/>
      <c r="ULI5" s="241"/>
      <c r="ULJ5" s="241"/>
      <c r="ULK5" s="241"/>
      <c r="ULL5" s="241"/>
      <c r="ULM5" s="241"/>
      <c r="ULN5" s="241"/>
      <c r="ULO5" s="241"/>
      <c r="ULP5" s="241"/>
      <c r="ULQ5" s="241"/>
      <c r="ULR5" s="241"/>
      <c r="ULS5" s="241"/>
      <c r="ULT5" s="241"/>
      <c r="ULU5" s="241"/>
      <c r="ULV5" s="241"/>
      <c r="ULW5" s="241"/>
      <c r="ULX5" s="241"/>
      <c r="ULY5" s="241"/>
      <c r="ULZ5" s="241"/>
      <c r="UMA5" s="241"/>
      <c r="UMB5" s="241"/>
      <c r="UMC5" s="241"/>
      <c r="UMD5" s="241"/>
      <c r="UME5" s="241"/>
      <c r="UMF5" s="241"/>
      <c r="UMG5" s="241"/>
      <c r="UMH5" s="241"/>
      <c r="UMI5" s="241"/>
      <c r="UMJ5" s="241"/>
      <c r="UMK5" s="241"/>
      <c r="UML5" s="241"/>
      <c r="UMM5" s="241"/>
      <c r="UMN5" s="241"/>
      <c r="UMO5" s="241"/>
      <c r="UMP5" s="241"/>
      <c r="UMQ5" s="241"/>
      <c r="UMR5" s="241"/>
      <c r="UMS5" s="241"/>
      <c r="UMT5" s="241"/>
      <c r="UMU5" s="241"/>
      <c r="UMV5" s="241"/>
      <c r="UMW5" s="241"/>
      <c r="UMX5" s="241"/>
      <c r="UMY5" s="241"/>
      <c r="UMZ5" s="241"/>
      <c r="UNA5" s="241"/>
      <c r="UNB5" s="241"/>
      <c r="UNC5" s="241"/>
      <c r="UND5" s="241"/>
      <c r="UNE5" s="241"/>
      <c r="UNF5" s="241"/>
      <c r="UNG5" s="241"/>
      <c r="UNH5" s="241"/>
      <c r="UNI5" s="241"/>
      <c r="UNJ5" s="241"/>
      <c r="UNK5" s="241"/>
      <c r="UNL5" s="241"/>
      <c r="UNM5" s="241"/>
      <c r="UNN5" s="241"/>
      <c r="UNO5" s="241"/>
      <c r="UNP5" s="241"/>
      <c r="UNQ5" s="241"/>
      <c r="UNR5" s="241"/>
      <c r="UNS5" s="241"/>
      <c r="UNT5" s="241"/>
      <c r="UNU5" s="241"/>
      <c r="UNV5" s="241"/>
      <c r="UNW5" s="241"/>
      <c r="UNX5" s="241"/>
      <c r="UNY5" s="241"/>
      <c r="UNZ5" s="241"/>
      <c r="UOA5" s="241"/>
      <c r="UOB5" s="241"/>
      <c r="UOC5" s="241"/>
      <c r="UOD5" s="241"/>
      <c r="UOE5" s="241"/>
      <c r="UOF5" s="241"/>
      <c r="UOG5" s="241"/>
      <c r="UOH5" s="241"/>
      <c r="UOI5" s="241"/>
      <c r="UOJ5" s="241"/>
      <c r="UOK5" s="241"/>
      <c r="UOL5" s="241"/>
      <c r="UOM5" s="241"/>
      <c r="UON5" s="241"/>
      <c r="UOO5" s="241"/>
      <c r="UOP5" s="241"/>
      <c r="UOQ5" s="241"/>
      <c r="UOR5" s="241"/>
      <c r="UOS5" s="241"/>
      <c r="UOT5" s="241"/>
      <c r="UOU5" s="241"/>
      <c r="UOV5" s="241"/>
      <c r="UOW5" s="241"/>
      <c r="UOX5" s="241"/>
      <c r="UOY5" s="241"/>
      <c r="UOZ5" s="241"/>
      <c r="UPA5" s="241"/>
      <c r="UPB5" s="241"/>
      <c r="UPC5" s="241"/>
      <c r="UPD5" s="241"/>
      <c r="UPE5" s="241"/>
      <c r="UPF5" s="241"/>
      <c r="UPG5" s="241"/>
      <c r="UPH5" s="241"/>
      <c r="UPI5" s="241"/>
      <c r="UPJ5" s="241"/>
      <c r="UPK5" s="241"/>
      <c r="UPL5" s="241"/>
      <c r="UPM5" s="241"/>
      <c r="UPN5" s="241"/>
      <c r="UPO5" s="241"/>
      <c r="UPP5" s="241"/>
      <c r="UPQ5" s="241"/>
      <c r="UPR5" s="241"/>
      <c r="UPS5" s="241"/>
      <c r="UPT5" s="241"/>
      <c r="UPU5" s="241"/>
      <c r="UPV5" s="241"/>
      <c r="UPW5" s="241"/>
      <c r="UPX5" s="241"/>
      <c r="UPY5" s="241"/>
      <c r="UPZ5" s="241"/>
      <c r="UQA5" s="241"/>
      <c r="UQB5" s="241"/>
      <c r="UQC5" s="241"/>
      <c r="UQD5" s="241"/>
      <c r="UQE5" s="241"/>
      <c r="UQF5" s="241"/>
      <c r="UQG5" s="241"/>
      <c r="UQH5" s="241"/>
      <c r="UQI5" s="241"/>
      <c r="UQJ5" s="241"/>
      <c r="UQK5" s="241"/>
      <c r="UQL5" s="241"/>
      <c r="UQM5" s="241"/>
      <c r="UQN5" s="241"/>
      <c r="UQO5" s="241"/>
      <c r="UQP5" s="241"/>
      <c r="UQQ5" s="241"/>
      <c r="UQR5" s="241"/>
      <c r="UQS5" s="241"/>
      <c r="UQT5" s="241"/>
      <c r="UQU5" s="241"/>
      <c r="UQV5" s="241"/>
      <c r="UQW5" s="241"/>
      <c r="UQX5" s="241"/>
      <c r="UQY5" s="241"/>
      <c r="UQZ5" s="241"/>
      <c r="URA5" s="241"/>
      <c r="URB5" s="241"/>
      <c r="URC5" s="241"/>
      <c r="URD5" s="241"/>
      <c r="URE5" s="241"/>
      <c r="URF5" s="241"/>
      <c r="URG5" s="241"/>
      <c r="URH5" s="241"/>
      <c r="URI5" s="241"/>
      <c r="URJ5" s="241"/>
      <c r="URK5" s="241"/>
      <c r="URL5" s="241"/>
      <c r="URM5" s="241"/>
      <c r="URN5" s="241"/>
      <c r="URO5" s="241"/>
      <c r="URP5" s="241"/>
      <c r="URQ5" s="241"/>
      <c r="URR5" s="241"/>
      <c r="URS5" s="241"/>
      <c r="URT5" s="241"/>
      <c r="URU5" s="241"/>
      <c r="URV5" s="241"/>
      <c r="URW5" s="241"/>
      <c r="URX5" s="241"/>
      <c r="URY5" s="241"/>
      <c r="URZ5" s="241"/>
      <c r="USA5" s="241"/>
      <c r="USB5" s="241"/>
      <c r="USC5" s="241"/>
      <c r="USD5" s="241"/>
      <c r="USE5" s="241"/>
      <c r="USF5" s="241"/>
      <c r="USG5" s="241"/>
      <c r="USH5" s="241"/>
      <c r="USI5" s="241"/>
      <c r="USJ5" s="241"/>
      <c r="USK5" s="241"/>
      <c r="USL5" s="241"/>
      <c r="USM5" s="241"/>
      <c r="USN5" s="241"/>
      <c r="USO5" s="241"/>
      <c r="USP5" s="241"/>
      <c r="USQ5" s="241"/>
      <c r="USR5" s="241"/>
      <c r="USS5" s="241"/>
      <c r="UST5" s="241"/>
      <c r="USU5" s="241"/>
      <c r="USV5" s="241"/>
      <c r="USW5" s="241"/>
      <c r="USX5" s="241"/>
      <c r="USY5" s="241"/>
      <c r="USZ5" s="241"/>
      <c r="UTA5" s="241"/>
      <c r="UTB5" s="241"/>
      <c r="UTC5" s="241"/>
      <c r="UTD5" s="241"/>
      <c r="UTE5" s="241"/>
      <c r="UTF5" s="241"/>
      <c r="UTG5" s="241"/>
      <c r="UTH5" s="241"/>
      <c r="UTI5" s="241"/>
      <c r="UTJ5" s="241"/>
      <c r="UTK5" s="241"/>
      <c r="UTL5" s="241"/>
      <c r="UTM5" s="241"/>
      <c r="UTN5" s="241"/>
      <c r="UTO5" s="241"/>
      <c r="UTP5" s="241"/>
      <c r="UTQ5" s="241"/>
      <c r="UTR5" s="241"/>
      <c r="UTS5" s="241"/>
      <c r="UTT5" s="241"/>
      <c r="UTU5" s="241"/>
      <c r="UTV5" s="241"/>
      <c r="UTW5" s="241"/>
      <c r="UTX5" s="241"/>
      <c r="UTY5" s="241"/>
      <c r="UTZ5" s="241"/>
      <c r="UUA5" s="241"/>
      <c r="UUB5" s="241"/>
      <c r="UUC5" s="241"/>
      <c r="UUD5" s="241"/>
      <c r="UUE5" s="241"/>
      <c r="UUF5" s="241"/>
      <c r="UUG5" s="241"/>
      <c r="UUH5" s="241"/>
      <c r="UUI5" s="241"/>
      <c r="UUJ5" s="241"/>
      <c r="UUK5" s="241"/>
      <c r="UUL5" s="241"/>
      <c r="UUM5" s="241"/>
      <c r="UUN5" s="241"/>
      <c r="UUO5" s="241"/>
      <c r="UUP5" s="241"/>
      <c r="UUQ5" s="241"/>
      <c r="UUR5" s="241"/>
      <c r="UUS5" s="241"/>
      <c r="UUT5" s="241"/>
      <c r="UUU5" s="241"/>
      <c r="UUV5" s="241"/>
      <c r="UUW5" s="241"/>
      <c r="UUX5" s="241"/>
      <c r="UUY5" s="241"/>
      <c r="UUZ5" s="241"/>
      <c r="UVA5" s="241"/>
      <c r="UVB5" s="241"/>
      <c r="UVC5" s="241"/>
      <c r="UVD5" s="241"/>
      <c r="UVE5" s="241"/>
      <c r="UVF5" s="241"/>
      <c r="UVG5" s="241"/>
      <c r="UVH5" s="241"/>
      <c r="UVI5" s="241"/>
      <c r="UVJ5" s="241"/>
      <c r="UVK5" s="241"/>
      <c r="UVL5" s="241"/>
      <c r="UVM5" s="241"/>
      <c r="UVN5" s="241"/>
      <c r="UVO5" s="241"/>
      <c r="UVP5" s="241"/>
      <c r="UVQ5" s="241"/>
      <c r="UVR5" s="241"/>
      <c r="UVS5" s="241"/>
      <c r="UVT5" s="241"/>
      <c r="UVU5" s="241"/>
      <c r="UVV5" s="241"/>
      <c r="UVW5" s="241"/>
      <c r="UVX5" s="241"/>
      <c r="UVY5" s="241"/>
      <c r="UVZ5" s="241"/>
      <c r="UWA5" s="241"/>
      <c r="UWB5" s="241"/>
      <c r="UWC5" s="241"/>
      <c r="UWD5" s="241"/>
      <c r="UWE5" s="241"/>
      <c r="UWF5" s="241"/>
      <c r="UWG5" s="241"/>
      <c r="UWH5" s="241"/>
      <c r="UWI5" s="241"/>
      <c r="UWJ5" s="241"/>
      <c r="UWK5" s="241"/>
      <c r="UWL5" s="241"/>
      <c r="UWM5" s="241"/>
      <c r="UWN5" s="241"/>
      <c r="UWO5" s="241"/>
      <c r="UWP5" s="241"/>
      <c r="UWQ5" s="241"/>
      <c r="UWR5" s="241"/>
      <c r="UWS5" s="241"/>
      <c r="UWT5" s="241"/>
      <c r="UWU5" s="241"/>
      <c r="UWV5" s="241"/>
      <c r="UWW5" s="241"/>
      <c r="UWX5" s="241"/>
      <c r="UWY5" s="241"/>
      <c r="UWZ5" s="241"/>
      <c r="UXA5" s="241"/>
      <c r="UXB5" s="241"/>
      <c r="UXC5" s="241"/>
      <c r="UXD5" s="241"/>
      <c r="UXE5" s="241"/>
      <c r="UXF5" s="241"/>
      <c r="UXG5" s="241"/>
      <c r="UXH5" s="241"/>
      <c r="UXI5" s="241"/>
      <c r="UXJ5" s="241"/>
      <c r="UXK5" s="241"/>
      <c r="UXL5" s="241"/>
      <c r="UXM5" s="241"/>
      <c r="UXN5" s="241"/>
      <c r="UXO5" s="241"/>
      <c r="UXP5" s="241"/>
      <c r="UXQ5" s="241"/>
      <c r="UXR5" s="241"/>
      <c r="UXS5" s="241"/>
      <c r="UXT5" s="241"/>
      <c r="UXU5" s="241"/>
      <c r="UXV5" s="241"/>
      <c r="UXW5" s="241"/>
      <c r="UXX5" s="241"/>
      <c r="UXY5" s="241"/>
      <c r="UXZ5" s="241"/>
      <c r="UYA5" s="241"/>
      <c r="UYB5" s="241"/>
      <c r="UYC5" s="241"/>
      <c r="UYD5" s="241"/>
      <c r="UYE5" s="241"/>
      <c r="UYF5" s="241"/>
      <c r="UYG5" s="241"/>
      <c r="UYH5" s="241"/>
      <c r="UYI5" s="241"/>
      <c r="UYJ5" s="241"/>
      <c r="UYK5" s="241"/>
      <c r="UYL5" s="241"/>
      <c r="UYM5" s="241"/>
      <c r="UYN5" s="241"/>
      <c r="UYO5" s="241"/>
      <c r="UYP5" s="241"/>
      <c r="UYQ5" s="241"/>
      <c r="UYR5" s="241"/>
      <c r="UYS5" s="241"/>
      <c r="UYT5" s="241"/>
      <c r="UYU5" s="241"/>
      <c r="UYV5" s="241"/>
      <c r="UYW5" s="241"/>
      <c r="UYX5" s="241"/>
      <c r="UYY5" s="241"/>
      <c r="UYZ5" s="241"/>
      <c r="UZA5" s="241"/>
      <c r="UZB5" s="241"/>
      <c r="UZC5" s="241"/>
      <c r="UZD5" s="241"/>
      <c r="UZE5" s="241"/>
      <c r="UZF5" s="241"/>
      <c r="UZG5" s="241"/>
      <c r="UZH5" s="241"/>
      <c r="UZI5" s="241"/>
      <c r="UZJ5" s="241"/>
      <c r="UZK5" s="241"/>
      <c r="UZL5" s="241"/>
      <c r="UZM5" s="241"/>
      <c r="UZN5" s="241"/>
      <c r="UZO5" s="241"/>
      <c r="UZP5" s="241"/>
      <c r="UZQ5" s="241"/>
      <c r="UZR5" s="241"/>
      <c r="UZS5" s="241"/>
      <c r="UZT5" s="241"/>
      <c r="UZU5" s="241"/>
      <c r="UZV5" s="241"/>
      <c r="UZW5" s="241"/>
      <c r="UZX5" s="241"/>
      <c r="UZY5" s="241"/>
      <c r="UZZ5" s="241"/>
      <c r="VAA5" s="241"/>
      <c r="VAB5" s="241"/>
      <c r="VAC5" s="241"/>
      <c r="VAD5" s="241"/>
      <c r="VAE5" s="241"/>
      <c r="VAF5" s="241"/>
      <c r="VAG5" s="241"/>
      <c r="VAH5" s="241"/>
      <c r="VAI5" s="241"/>
      <c r="VAJ5" s="241"/>
      <c r="VAK5" s="241"/>
      <c r="VAL5" s="241"/>
      <c r="VAM5" s="241"/>
      <c r="VAN5" s="241"/>
      <c r="VAO5" s="241"/>
      <c r="VAP5" s="241"/>
      <c r="VAQ5" s="241"/>
      <c r="VAR5" s="241"/>
      <c r="VAS5" s="241"/>
      <c r="VAT5" s="241"/>
      <c r="VAU5" s="241"/>
      <c r="VAV5" s="241"/>
      <c r="VAW5" s="241"/>
      <c r="VAX5" s="241"/>
      <c r="VAY5" s="241"/>
      <c r="VAZ5" s="241"/>
      <c r="VBA5" s="241"/>
      <c r="VBB5" s="241"/>
      <c r="VBC5" s="241"/>
      <c r="VBD5" s="241"/>
      <c r="VBE5" s="241"/>
      <c r="VBF5" s="241"/>
      <c r="VBG5" s="241"/>
      <c r="VBH5" s="241"/>
      <c r="VBI5" s="241"/>
      <c r="VBJ5" s="241"/>
      <c r="VBK5" s="241"/>
      <c r="VBL5" s="241"/>
      <c r="VBM5" s="241"/>
      <c r="VBN5" s="241"/>
      <c r="VBO5" s="241"/>
      <c r="VBP5" s="241"/>
      <c r="VBQ5" s="241"/>
      <c r="VBR5" s="241"/>
      <c r="VBS5" s="241"/>
      <c r="VBT5" s="241"/>
      <c r="VBU5" s="241"/>
      <c r="VBV5" s="241"/>
      <c r="VBW5" s="241"/>
      <c r="VBX5" s="241"/>
      <c r="VBY5" s="241"/>
      <c r="VBZ5" s="241"/>
      <c r="VCA5" s="241"/>
      <c r="VCB5" s="241"/>
      <c r="VCC5" s="241"/>
      <c r="VCD5" s="241"/>
      <c r="VCE5" s="241"/>
      <c r="VCF5" s="241"/>
      <c r="VCG5" s="241"/>
      <c r="VCH5" s="241"/>
      <c r="VCI5" s="241"/>
      <c r="VCJ5" s="241"/>
      <c r="VCK5" s="241"/>
      <c r="VCL5" s="241"/>
      <c r="VCM5" s="241"/>
      <c r="VCN5" s="241"/>
      <c r="VCO5" s="241"/>
      <c r="VCP5" s="241"/>
      <c r="VCQ5" s="241"/>
      <c r="VCR5" s="241"/>
      <c r="VCS5" s="241"/>
      <c r="VCT5" s="241"/>
      <c r="VCU5" s="241"/>
      <c r="VCV5" s="241"/>
      <c r="VCW5" s="241"/>
      <c r="VCX5" s="241"/>
      <c r="VCY5" s="241"/>
      <c r="VCZ5" s="241"/>
      <c r="VDA5" s="241"/>
      <c r="VDB5" s="241"/>
      <c r="VDC5" s="241"/>
      <c r="VDD5" s="241"/>
      <c r="VDE5" s="241"/>
      <c r="VDF5" s="241"/>
      <c r="VDG5" s="241"/>
      <c r="VDH5" s="241"/>
      <c r="VDI5" s="241"/>
      <c r="VDJ5" s="241"/>
      <c r="VDK5" s="241"/>
      <c r="VDL5" s="241"/>
      <c r="VDM5" s="241"/>
      <c r="VDN5" s="241"/>
      <c r="VDO5" s="241"/>
      <c r="VDP5" s="241"/>
      <c r="VDQ5" s="241"/>
      <c r="VDR5" s="241"/>
      <c r="VDS5" s="241"/>
      <c r="VDT5" s="241"/>
      <c r="VDU5" s="241"/>
      <c r="VDV5" s="241"/>
      <c r="VDW5" s="241"/>
      <c r="VDX5" s="241"/>
      <c r="VDY5" s="241"/>
      <c r="VDZ5" s="241"/>
      <c r="VEA5" s="241"/>
      <c r="VEB5" s="241"/>
      <c r="VEC5" s="241"/>
      <c r="VED5" s="241"/>
      <c r="VEE5" s="241"/>
      <c r="VEF5" s="241"/>
      <c r="VEG5" s="241"/>
      <c r="VEH5" s="241"/>
      <c r="VEI5" s="241"/>
      <c r="VEJ5" s="241"/>
      <c r="VEK5" s="241"/>
      <c r="VEL5" s="241"/>
      <c r="VEM5" s="241"/>
      <c r="VEN5" s="241"/>
      <c r="VEO5" s="241"/>
      <c r="VEP5" s="241"/>
      <c r="VEQ5" s="241"/>
      <c r="VER5" s="241"/>
      <c r="VES5" s="241"/>
      <c r="VET5" s="241"/>
      <c r="VEU5" s="241"/>
      <c r="VEV5" s="241"/>
      <c r="VEW5" s="241"/>
      <c r="VEX5" s="241"/>
      <c r="VEY5" s="241"/>
      <c r="VEZ5" s="241"/>
      <c r="VFA5" s="241"/>
      <c r="VFB5" s="241"/>
      <c r="VFC5" s="241"/>
      <c r="VFD5" s="241"/>
      <c r="VFE5" s="241"/>
      <c r="VFF5" s="241"/>
      <c r="VFG5" s="241"/>
      <c r="VFH5" s="241"/>
      <c r="VFI5" s="241"/>
      <c r="VFJ5" s="241"/>
      <c r="VFK5" s="241"/>
      <c r="VFL5" s="241"/>
      <c r="VFM5" s="241"/>
      <c r="VFN5" s="241"/>
      <c r="VFO5" s="241"/>
      <c r="VFP5" s="241"/>
      <c r="VFQ5" s="241"/>
      <c r="VFR5" s="241"/>
      <c r="VFS5" s="241"/>
      <c r="VFT5" s="241"/>
      <c r="VFU5" s="241"/>
      <c r="VFV5" s="241"/>
      <c r="VFW5" s="241"/>
      <c r="VFX5" s="241"/>
      <c r="VFY5" s="241"/>
      <c r="VFZ5" s="241"/>
      <c r="VGA5" s="241"/>
      <c r="VGB5" s="241"/>
      <c r="VGC5" s="241"/>
      <c r="VGD5" s="241"/>
      <c r="VGE5" s="241"/>
      <c r="VGF5" s="241"/>
      <c r="VGG5" s="241"/>
      <c r="VGH5" s="241"/>
      <c r="VGI5" s="241"/>
      <c r="VGJ5" s="241"/>
      <c r="VGK5" s="241"/>
      <c r="VGL5" s="241"/>
      <c r="VGM5" s="241"/>
      <c r="VGN5" s="241"/>
      <c r="VGO5" s="241"/>
      <c r="VGP5" s="241"/>
      <c r="VGQ5" s="241"/>
      <c r="VGR5" s="241"/>
      <c r="VGS5" s="241"/>
      <c r="VGT5" s="241"/>
      <c r="VGU5" s="241"/>
      <c r="VGV5" s="241"/>
      <c r="VGW5" s="241"/>
      <c r="VGX5" s="241"/>
      <c r="VGY5" s="241"/>
      <c r="VGZ5" s="241"/>
      <c r="VHA5" s="241"/>
      <c r="VHB5" s="241"/>
      <c r="VHC5" s="241"/>
      <c r="VHD5" s="241"/>
      <c r="VHE5" s="241"/>
      <c r="VHF5" s="241"/>
      <c r="VHG5" s="241"/>
      <c r="VHH5" s="241"/>
      <c r="VHI5" s="241"/>
      <c r="VHJ5" s="241"/>
      <c r="VHK5" s="241"/>
      <c r="VHL5" s="241"/>
      <c r="VHM5" s="241"/>
      <c r="VHN5" s="241"/>
      <c r="VHO5" s="241"/>
      <c r="VHP5" s="241"/>
      <c r="VHQ5" s="241"/>
      <c r="VHR5" s="241"/>
      <c r="VHS5" s="241"/>
      <c r="VHT5" s="241"/>
      <c r="VHU5" s="241"/>
      <c r="VHV5" s="241"/>
      <c r="VHW5" s="241"/>
      <c r="VHX5" s="241"/>
      <c r="VHY5" s="241"/>
      <c r="VHZ5" s="241"/>
      <c r="VIA5" s="241"/>
      <c r="VIB5" s="241"/>
      <c r="VIC5" s="241"/>
      <c r="VID5" s="241"/>
      <c r="VIE5" s="241"/>
      <c r="VIF5" s="241"/>
      <c r="VIG5" s="241"/>
      <c r="VIH5" s="241"/>
      <c r="VII5" s="241"/>
      <c r="VIJ5" s="241"/>
      <c r="VIK5" s="241"/>
      <c r="VIL5" s="241"/>
      <c r="VIM5" s="241"/>
      <c r="VIN5" s="241"/>
      <c r="VIO5" s="241"/>
      <c r="VIP5" s="241"/>
      <c r="VIQ5" s="241"/>
      <c r="VIR5" s="241"/>
      <c r="VIS5" s="241"/>
      <c r="VIT5" s="241"/>
      <c r="VIU5" s="241"/>
      <c r="VIV5" s="241"/>
      <c r="VIW5" s="241"/>
      <c r="VIX5" s="241"/>
      <c r="VIY5" s="241"/>
      <c r="VIZ5" s="241"/>
      <c r="VJA5" s="241"/>
      <c r="VJB5" s="241"/>
      <c r="VJC5" s="241"/>
      <c r="VJD5" s="241"/>
      <c r="VJE5" s="241"/>
      <c r="VJF5" s="241"/>
      <c r="VJG5" s="241"/>
      <c r="VJH5" s="241"/>
      <c r="VJI5" s="241"/>
      <c r="VJJ5" s="241"/>
      <c r="VJK5" s="241"/>
      <c r="VJL5" s="241"/>
      <c r="VJM5" s="241"/>
      <c r="VJN5" s="241"/>
      <c r="VJO5" s="241"/>
      <c r="VJP5" s="241"/>
      <c r="VJQ5" s="241"/>
      <c r="VJR5" s="241"/>
      <c r="VJS5" s="241"/>
      <c r="VJT5" s="241"/>
      <c r="VJU5" s="241"/>
      <c r="VJV5" s="241"/>
      <c r="VJW5" s="241"/>
      <c r="VJX5" s="241"/>
      <c r="VJY5" s="241"/>
      <c r="VJZ5" s="241"/>
      <c r="VKA5" s="241"/>
      <c r="VKB5" s="241"/>
      <c r="VKC5" s="241"/>
      <c r="VKD5" s="241"/>
      <c r="VKE5" s="241"/>
      <c r="VKF5" s="241"/>
      <c r="VKG5" s="241"/>
      <c r="VKH5" s="241"/>
      <c r="VKI5" s="241"/>
      <c r="VKJ5" s="241"/>
      <c r="VKK5" s="241"/>
      <c r="VKL5" s="241"/>
      <c r="VKM5" s="241"/>
      <c r="VKN5" s="241"/>
      <c r="VKO5" s="241"/>
      <c r="VKP5" s="241"/>
      <c r="VKQ5" s="241"/>
      <c r="VKR5" s="241"/>
      <c r="VKS5" s="241"/>
      <c r="VKT5" s="241"/>
      <c r="VKU5" s="241"/>
      <c r="VKV5" s="241"/>
      <c r="VKW5" s="241"/>
      <c r="VKX5" s="241"/>
      <c r="VKY5" s="241"/>
      <c r="VKZ5" s="241"/>
      <c r="VLA5" s="241"/>
      <c r="VLB5" s="241"/>
      <c r="VLC5" s="241"/>
      <c r="VLD5" s="241"/>
      <c r="VLE5" s="241"/>
      <c r="VLF5" s="241"/>
      <c r="VLG5" s="241"/>
      <c r="VLH5" s="241"/>
      <c r="VLI5" s="241"/>
      <c r="VLJ5" s="241"/>
      <c r="VLK5" s="241"/>
      <c r="VLL5" s="241"/>
      <c r="VLM5" s="241"/>
      <c r="VLN5" s="241"/>
      <c r="VLO5" s="241"/>
      <c r="VLP5" s="241"/>
      <c r="VLQ5" s="241"/>
      <c r="VLR5" s="241"/>
      <c r="VLS5" s="241"/>
      <c r="VLT5" s="241"/>
      <c r="VLU5" s="241"/>
      <c r="VLV5" s="241"/>
      <c r="VLW5" s="241"/>
      <c r="VLX5" s="241"/>
      <c r="VLY5" s="241"/>
      <c r="VLZ5" s="241"/>
      <c r="VMA5" s="241"/>
      <c r="VMB5" s="241"/>
      <c r="VMC5" s="241"/>
      <c r="VMD5" s="241"/>
      <c r="VME5" s="241"/>
      <c r="VMF5" s="241"/>
      <c r="VMG5" s="241"/>
      <c r="VMH5" s="241"/>
      <c r="VMI5" s="241"/>
      <c r="VMJ5" s="241"/>
      <c r="VMK5" s="241"/>
      <c r="VML5" s="241"/>
      <c r="VMM5" s="241"/>
      <c r="VMN5" s="241"/>
      <c r="VMO5" s="241"/>
      <c r="VMP5" s="241"/>
      <c r="VMQ5" s="241"/>
      <c r="VMR5" s="241"/>
      <c r="VMS5" s="241"/>
      <c r="VMT5" s="241"/>
      <c r="VMU5" s="241"/>
      <c r="VMV5" s="241"/>
      <c r="VMW5" s="241"/>
      <c r="VMX5" s="241"/>
      <c r="VMY5" s="241"/>
      <c r="VMZ5" s="241"/>
      <c r="VNA5" s="241"/>
      <c r="VNB5" s="241"/>
      <c r="VNC5" s="241"/>
      <c r="VND5" s="241"/>
      <c r="VNE5" s="241"/>
      <c r="VNF5" s="241"/>
      <c r="VNG5" s="241"/>
      <c r="VNH5" s="241"/>
      <c r="VNI5" s="241"/>
      <c r="VNJ5" s="241"/>
      <c r="VNK5" s="241"/>
      <c r="VNL5" s="241"/>
      <c r="VNM5" s="241"/>
      <c r="VNN5" s="241"/>
      <c r="VNO5" s="241"/>
      <c r="VNP5" s="241"/>
      <c r="VNQ5" s="241"/>
      <c r="VNR5" s="241"/>
      <c r="VNS5" s="241"/>
      <c r="VNT5" s="241"/>
      <c r="VNU5" s="241"/>
      <c r="VNV5" s="241"/>
      <c r="VNW5" s="241"/>
      <c r="VNX5" s="241"/>
      <c r="VNY5" s="241"/>
      <c r="VNZ5" s="241"/>
      <c r="VOA5" s="241"/>
      <c r="VOB5" s="241"/>
      <c r="VOC5" s="241"/>
      <c r="VOD5" s="241"/>
      <c r="VOE5" s="241"/>
      <c r="VOF5" s="241"/>
      <c r="VOG5" s="241"/>
      <c r="VOH5" s="241"/>
      <c r="VOI5" s="241"/>
      <c r="VOJ5" s="241"/>
      <c r="VOK5" s="241"/>
      <c r="VOL5" s="241"/>
      <c r="VOM5" s="241"/>
      <c r="VON5" s="241"/>
      <c r="VOO5" s="241"/>
      <c r="VOP5" s="241"/>
      <c r="VOQ5" s="241"/>
      <c r="VOR5" s="241"/>
      <c r="VOS5" s="241"/>
      <c r="VOT5" s="241"/>
      <c r="VOU5" s="241"/>
      <c r="VOV5" s="241"/>
      <c r="VOW5" s="241"/>
      <c r="VOX5" s="241"/>
      <c r="VOY5" s="241"/>
      <c r="VOZ5" s="241"/>
      <c r="VPA5" s="241"/>
      <c r="VPB5" s="241"/>
      <c r="VPC5" s="241"/>
      <c r="VPD5" s="241"/>
      <c r="VPE5" s="241"/>
      <c r="VPF5" s="241"/>
      <c r="VPG5" s="241"/>
      <c r="VPH5" s="241"/>
      <c r="VPI5" s="241"/>
      <c r="VPJ5" s="241"/>
      <c r="VPK5" s="241"/>
      <c r="VPL5" s="241"/>
      <c r="VPM5" s="241"/>
      <c r="VPN5" s="241"/>
      <c r="VPO5" s="241"/>
      <c r="VPP5" s="241"/>
      <c r="VPQ5" s="241"/>
      <c r="VPR5" s="241"/>
      <c r="VPS5" s="241"/>
      <c r="VPT5" s="241"/>
      <c r="VPU5" s="241"/>
      <c r="VPV5" s="241"/>
      <c r="VPW5" s="241"/>
      <c r="VPX5" s="241"/>
      <c r="VPY5" s="241"/>
      <c r="VPZ5" s="241"/>
      <c r="VQA5" s="241"/>
      <c r="VQB5" s="241"/>
      <c r="VQC5" s="241"/>
      <c r="VQD5" s="241"/>
      <c r="VQE5" s="241"/>
      <c r="VQF5" s="241"/>
      <c r="VQG5" s="241"/>
      <c r="VQH5" s="241"/>
      <c r="VQI5" s="241"/>
      <c r="VQJ5" s="241"/>
      <c r="VQK5" s="241"/>
      <c r="VQL5" s="241"/>
      <c r="VQM5" s="241"/>
      <c r="VQN5" s="241"/>
      <c r="VQO5" s="241"/>
      <c r="VQP5" s="241"/>
      <c r="VQQ5" s="241"/>
      <c r="VQR5" s="241"/>
      <c r="VQS5" s="241"/>
      <c r="VQT5" s="241"/>
      <c r="VQU5" s="241"/>
      <c r="VQV5" s="241"/>
      <c r="VQW5" s="241"/>
      <c r="VQX5" s="241"/>
      <c r="VQY5" s="241"/>
      <c r="VQZ5" s="241"/>
      <c r="VRA5" s="241"/>
      <c r="VRB5" s="241"/>
      <c r="VRC5" s="241"/>
      <c r="VRD5" s="241"/>
      <c r="VRE5" s="241"/>
      <c r="VRF5" s="241"/>
      <c r="VRG5" s="241"/>
      <c r="VRH5" s="241"/>
      <c r="VRI5" s="241"/>
      <c r="VRJ5" s="241"/>
      <c r="VRK5" s="241"/>
      <c r="VRL5" s="241"/>
      <c r="VRM5" s="241"/>
      <c r="VRN5" s="241"/>
      <c r="VRO5" s="241"/>
      <c r="VRP5" s="241"/>
      <c r="VRQ5" s="241"/>
      <c r="VRR5" s="241"/>
      <c r="VRS5" s="241"/>
      <c r="VRT5" s="241"/>
      <c r="VRU5" s="241"/>
      <c r="VRV5" s="241"/>
      <c r="VRW5" s="241"/>
      <c r="VRX5" s="241"/>
      <c r="VRY5" s="241"/>
      <c r="VRZ5" s="241"/>
      <c r="VSA5" s="241"/>
      <c r="VSB5" s="241"/>
      <c r="VSC5" s="241"/>
      <c r="VSD5" s="241"/>
      <c r="VSE5" s="241"/>
      <c r="VSF5" s="241"/>
      <c r="VSG5" s="241"/>
      <c r="VSH5" s="241"/>
      <c r="VSI5" s="241"/>
      <c r="VSJ5" s="241"/>
      <c r="VSK5" s="241"/>
      <c r="VSL5" s="241"/>
      <c r="VSM5" s="241"/>
      <c r="VSN5" s="241"/>
      <c r="VSO5" s="241"/>
      <c r="VSP5" s="241"/>
      <c r="VSQ5" s="241"/>
      <c r="VSR5" s="241"/>
      <c r="VSS5" s="241"/>
      <c r="VST5" s="241"/>
      <c r="VSU5" s="241"/>
      <c r="VSV5" s="241"/>
      <c r="VSW5" s="241"/>
      <c r="VSX5" s="241"/>
      <c r="VSY5" s="241"/>
      <c r="VSZ5" s="241"/>
      <c r="VTA5" s="241"/>
      <c r="VTB5" s="241"/>
      <c r="VTC5" s="241"/>
      <c r="VTD5" s="241"/>
      <c r="VTE5" s="241"/>
      <c r="VTF5" s="241"/>
      <c r="VTG5" s="241"/>
      <c r="VTH5" s="241"/>
      <c r="VTI5" s="241"/>
      <c r="VTJ5" s="241"/>
      <c r="VTK5" s="241"/>
      <c r="VTL5" s="241"/>
      <c r="VTM5" s="241"/>
      <c r="VTN5" s="241"/>
      <c r="VTO5" s="241"/>
      <c r="VTP5" s="241"/>
      <c r="VTQ5" s="241"/>
      <c r="VTR5" s="241"/>
      <c r="VTS5" s="241"/>
      <c r="VTT5" s="241"/>
      <c r="VTU5" s="241"/>
      <c r="VTV5" s="241"/>
      <c r="VTW5" s="241"/>
      <c r="VTX5" s="241"/>
      <c r="VTY5" s="241"/>
      <c r="VTZ5" s="241"/>
      <c r="VUA5" s="241"/>
      <c r="VUB5" s="241"/>
      <c r="VUC5" s="241"/>
      <c r="VUD5" s="241"/>
      <c r="VUE5" s="241"/>
      <c r="VUF5" s="241"/>
      <c r="VUG5" s="241"/>
      <c r="VUH5" s="241"/>
      <c r="VUI5" s="241"/>
      <c r="VUJ5" s="241"/>
      <c r="VUK5" s="241"/>
      <c r="VUL5" s="241"/>
      <c r="VUM5" s="241"/>
      <c r="VUN5" s="241"/>
      <c r="VUO5" s="241"/>
      <c r="VUP5" s="241"/>
      <c r="VUQ5" s="241"/>
      <c r="VUR5" s="241"/>
      <c r="VUS5" s="241"/>
      <c r="VUT5" s="241"/>
      <c r="VUU5" s="241"/>
      <c r="VUV5" s="241"/>
      <c r="VUW5" s="241"/>
      <c r="VUX5" s="241"/>
      <c r="VUY5" s="241"/>
      <c r="VUZ5" s="241"/>
      <c r="VVA5" s="241"/>
      <c r="VVB5" s="241"/>
      <c r="VVC5" s="241"/>
      <c r="VVD5" s="241"/>
      <c r="VVE5" s="241"/>
      <c r="VVF5" s="241"/>
      <c r="VVG5" s="241"/>
      <c r="VVH5" s="241"/>
      <c r="VVI5" s="241"/>
      <c r="VVJ5" s="241"/>
      <c r="VVK5" s="241"/>
      <c r="VVL5" s="241"/>
      <c r="VVM5" s="241"/>
      <c r="VVN5" s="241"/>
      <c r="VVO5" s="241"/>
      <c r="VVP5" s="241"/>
      <c r="VVQ5" s="241"/>
      <c r="VVR5" s="241"/>
      <c r="VVS5" s="241"/>
      <c r="VVT5" s="241"/>
      <c r="VVU5" s="241"/>
      <c r="VVV5" s="241"/>
      <c r="VVW5" s="241"/>
      <c r="VVX5" s="241"/>
      <c r="VVY5" s="241"/>
      <c r="VVZ5" s="241"/>
      <c r="VWA5" s="241"/>
      <c r="VWB5" s="241"/>
      <c r="VWC5" s="241"/>
      <c r="VWD5" s="241"/>
      <c r="VWE5" s="241"/>
      <c r="VWF5" s="241"/>
      <c r="VWG5" s="241"/>
      <c r="VWH5" s="241"/>
      <c r="VWI5" s="241"/>
      <c r="VWJ5" s="241"/>
      <c r="VWK5" s="241"/>
      <c r="VWL5" s="241"/>
      <c r="VWM5" s="241"/>
      <c r="VWN5" s="241"/>
      <c r="VWO5" s="241"/>
      <c r="VWP5" s="241"/>
      <c r="VWQ5" s="241"/>
      <c r="VWR5" s="241"/>
      <c r="VWS5" s="241"/>
      <c r="VWT5" s="241"/>
      <c r="VWU5" s="241"/>
      <c r="VWV5" s="241"/>
      <c r="VWW5" s="241"/>
      <c r="VWX5" s="241"/>
      <c r="VWY5" s="241"/>
      <c r="VWZ5" s="241"/>
      <c r="VXA5" s="241"/>
      <c r="VXB5" s="241"/>
      <c r="VXC5" s="241"/>
      <c r="VXD5" s="241"/>
      <c r="VXE5" s="241"/>
      <c r="VXF5" s="241"/>
      <c r="VXG5" s="241"/>
      <c r="VXH5" s="241"/>
      <c r="VXI5" s="241"/>
      <c r="VXJ5" s="241"/>
      <c r="VXK5" s="241"/>
      <c r="VXL5" s="241"/>
      <c r="VXM5" s="241"/>
      <c r="VXN5" s="241"/>
      <c r="VXO5" s="241"/>
      <c r="VXP5" s="241"/>
      <c r="VXQ5" s="241"/>
      <c r="VXR5" s="241"/>
      <c r="VXS5" s="241"/>
      <c r="VXT5" s="241"/>
      <c r="VXU5" s="241"/>
      <c r="VXV5" s="241"/>
      <c r="VXW5" s="241"/>
      <c r="VXX5" s="241"/>
      <c r="VXY5" s="241"/>
      <c r="VXZ5" s="241"/>
      <c r="VYA5" s="241"/>
      <c r="VYB5" s="241"/>
      <c r="VYC5" s="241"/>
      <c r="VYD5" s="241"/>
      <c r="VYE5" s="241"/>
      <c r="VYF5" s="241"/>
      <c r="VYG5" s="241"/>
      <c r="VYH5" s="241"/>
      <c r="VYI5" s="241"/>
      <c r="VYJ5" s="241"/>
      <c r="VYK5" s="241"/>
      <c r="VYL5" s="241"/>
      <c r="VYM5" s="241"/>
      <c r="VYN5" s="241"/>
      <c r="VYO5" s="241"/>
      <c r="VYP5" s="241"/>
      <c r="VYQ5" s="241"/>
      <c r="VYR5" s="241"/>
      <c r="VYS5" s="241"/>
      <c r="VYT5" s="241"/>
      <c r="VYU5" s="241"/>
      <c r="VYV5" s="241"/>
      <c r="VYW5" s="241"/>
      <c r="VYX5" s="241"/>
      <c r="VYY5" s="241"/>
      <c r="VYZ5" s="241"/>
      <c r="VZA5" s="241"/>
      <c r="VZB5" s="241"/>
      <c r="VZC5" s="241"/>
      <c r="VZD5" s="241"/>
      <c r="VZE5" s="241"/>
      <c r="VZF5" s="241"/>
      <c r="VZG5" s="241"/>
      <c r="VZH5" s="241"/>
      <c r="VZI5" s="241"/>
      <c r="VZJ5" s="241"/>
      <c r="VZK5" s="241"/>
      <c r="VZL5" s="241"/>
      <c r="VZM5" s="241"/>
      <c r="VZN5" s="241"/>
      <c r="VZO5" s="241"/>
      <c r="VZP5" s="241"/>
      <c r="VZQ5" s="241"/>
      <c r="VZR5" s="241"/>
      <c r="VZS5" s="241"/>
      <c r="VZT5" s="241"/>
      <c r="VZU5" s="241"/>
      <c r="VZV5" s="241"/>
      <c r="VZW5" s="241"/>
      <c r="VZX5" s="241"/>
      <c r="VZY5" s="241"/>
      <c r="VZZ5" s="241"/>
      <c r="WAA5" s="241"/>
      <c r="WAB5" s="241"/>
      <c r="WAC5" s="241"/>
      <c r="WAD5" s="241"/>
      <c r="WAE5" s="241"/>
      <c r="WAF5" s="241"/>
      <c r="WAG5" s="241"/>
      <c r="WAH5" s="241"/>
      <c r="WAI5" s="241"/>
      <c r="WAJ5" s="241"/>
      <c r="WAK5" s="241"/>
      <c r="WAL5" s="241"/>
      <c r="WAM5" s="241"/>
      <c r="WAN5" s="241"/>
      <c r="WAO5" s="241"/>
      <c r="WAP5" s="241"/>
      <c r="WAQ5" s="241"/>
      <c r="WAR5" s="241"/>
      <c r="WAS5" s="241"/>
      <c r="WAT5" s="241"/>
      <c r="WAU5" s="241"/>
      <c r="WAV5" s="241"/>
      <c r="WAW5" s="241"/>
      <c r="WAX5" s="241"/>
      <c r="WAY5" s="241"/>
      <c r="WAZ5" s="241"/>
      <c r="WBA5" s="241"/>
      <c r="WBB5" s="241"/>
      <c r="WBC5" s="241"/>
      <c r="WBD5" s="241"/>
      <c r="WBE5" s="241"/>
      <c r="WBF5" s="241"/>
      <c r="WBG5" s="241"/>
      <c r="WBH5" s="241"/>
      <c r="WBI5" s="241"/>
      <c r="WBJ5" s="241"/>
      <c r="WBK5" s="241"/>
      <c r="WBL5" s="241"/>
      <c r="WBM5" s="241"/>
      <c r="WBN5" s="241"/>
      <c r="WBO5" s="241"/>
      <c r="WBP5" s="241"/>
      <c r="WBQ5" s="241"/>
      <c r="WBR5" s="241"/>
      <c r="WBS5" s="241"/>
      <c r="WBT5" s="241"/>
      <c r="WBU5" s="241"/>
      <c r="WBV5" s="241"/>
      <c r="WBW5" s="241"/>
      <c r="WBX5" s="241"/>
      <c r="WBY5" s="241"/>
      <c r="WBZ5" s="241"/>
      <c r="WCA5" s="241"/>
      <c r="WCB5" s="241"/>
      <c r="WCC5" s="241"/>
      <c r="WCD5" s="241"/>
      <c r="WCE5" s="241"/>
      <c r="WCF5" s="241"/>
      <c r="WCG5" s="241"/>
      <c r="WCH5" s="241"/>
      <c r="WCI5" s="241"/>
      <c r="WCJ5" s="241"/>
      <c r="WCK5" s="241"/>
      <c r="WCL5" s="241"/>
      <c r="WCM5" s="241"/>
      <c r="WCN5" s="241"/>
      <c r="WCO5" s="241"/>
      <c r="WCP5" s="241"/>
      <c r="WCQ5" s="241"/>
      <c r="WCR5" s="241"/>
      <c r="WCS5" s="241"/>
      <c r="WCT5" s="241"/>
      <c r="WCU5" s="241"/>
      <c r="WCV5" s="241"/>
      <c r="WCW5" s="241"/>
      <c r="WCX5" s="241"/>
      <c r="WCY5" s="241"/>
      <c r="WCZ5" s="241"/>
      <c r="WDA5" s="241"/>
      <c r="WDB5" s="241"/>
      <c r="WDC5" s="241"/>
      <c r="WDD5" s="241"/>
      <c r="WDE5" s="241"/>
      <c r="WDF5" s="241"/>
      <c r="WDG5" s="241"/>
      <c r="WDH5" s="241"/>
      <c r="WDI5" s="241"/>
      <c r="WDJ5" s="241"/>
      <c r="WDK5" s="241"/>
      <c r="WDL5" s="241"/>
      <c r="WDM5" s="241"/>
      <c r="WDN5" s="241"/>
      <c r="WDO5" s="241"/>
      <c r="WDP5" s="241"/>
      <c r="WDQ5" s="241"/>
      <c r="WDR5" s="241"/>
      <c r="WDS5" s="241"/>
      <c r="WDT5" s="241"/>
      <c r="WDU5" s="241"/>
      <c r="WDV5" s="241"/>
      <c r="WDW5" s="241"/>
      <c r="WDX5" s="241"/>
      <c r="WDY5" s="241"/>
      <c r="WDZ5" s="241"/>
      <c r="WEA5" s="241"/>
      <c r="WEB5" s="241"/>
      <c r="WEC5" s="241"/>
      <c r="WED5" s="241"/>
      <c r="WEE5" s="241"/>
      <c r="WEF5" s="241"/>
      <c r="WEG5" s="241"/>
      <c r="WEH5" s="241"/>
      <c r="WEI5" s="241"/>
      <c r="WEJ5" s="241"/>
      <c r="WEK5" s="241"/>
      <c r="WEL5" s="241"/>
      <c r="WEM5" s="241"/>
      <c r="WEN5" s="241"/>
      <c r="WEO5" s="241"/>
      <c r="WEP5" s="241"/>
      <c r="WEQ5" s="241"/>
      <c r="WER5" s="241"/>
      <c r="WES5" s="241"/>
      <c r="WET5" s="241"/>
      <c r="WEU5" s="241"/>
      <c r="WEV5" s="241"/>
      <c r="WEW5" s="241"/>
      <c r="WEX5" s="241"/>
      <c r="WEY5" s="241"/>
      <c r="WEZ5" s="241"/>
      <c r="WFA5" s="241"/>
      <c r="WFB5" s="241"/>
      <c r="WFC5" s="241"/>
      <c r="WFD5" s="241"/>
      <c r="WFE5" s="241"/>
      <c r="WFF5" s="241"/>
      <c r="WFG5" s="241"/>
      <c r="WFH5" s="241"/>
      <c r="WFI5" s="241"/>
      <c r="WFJ5" s="241"/>
      <c r="WFK5" s="241"/>
      <c r="WFL5" s="241"/>
      <c r="WFM5" s="241"/>
      <c r="WFN5" s="241"/>
      <c r="WFO5" s="241"/>
      <c r="WFP5" s="241"/>
      <c r="WFQ5" s="241"/>
      <c r="WFR5" s="241"/>
      <c r="WFS5" s="241"/>
      <c r="WFT5" s="241"/>
      <c r="WFU5" s="241"/>
      <c r="WFV5" s="241"/>
      <c r="WFW5" s="241"/>
      <c r="WFX5" s="241"/>
      <c r="WFY5" s="241"/>
      <c r="WFZ5" s="241"/>
      <c r="WGA5" s="241"/>
      <c r="WGB5" s="241"/>
      <c r="WGC5" s="241"/>
      <c r="WGD5" s="241"/>
      <c r="WGE5" s="241"/>
      <c r="WGF5" s="241"/>
      <c r="WGG5" s="241"/>
      <c r="WGH5" s="241"/>
      <c r="WGI5" s="241"/>
      <c r="WGJ5" s="241"/>
      <c r="WGK5" s="241"/>
      <c r="WGL5" s="241"/>
      <c r="WGM5" s="241"/>
      <c r="WGN5" s="241"/>
      <c r="WGO5" s="241"/>
      <c r="WGP5" s="241"/>
      <c r="WGQ5" s="241"/>
      <c r="WGR5" s="241"/>
      <c r="WGS5" s="241"/>
      <c r="WGT5" s="241"/>
      <c r="WGU5" s="241"/>
      <c r="WGV5" s="241"/>
      <c r="WGW5" s="241"/>
      <c r="WGX5" s="241"/>
      <c r="WGY5" s="241"/>
      <c r="WGZ5" s="241"/>
      <c r="WHA5" s="241"/>
      <c r="WHB5" s="241"/>
      <c r="WHC5" s="241"/>
      <c r="WHD5" s="241"/>
      <c r="WHE5" s="241"/>
      <c r="WHF5" s="241"/>
      <c r="WHG5" s="241"/>
      <c r="WHH5" s="241"/>
      <c r="WHI5" s="241"/>
      <c r="WHJ5" s="241"/>
      <c r="WHK5" s="241"/>
      <c r="WHL5" s="241"/>
      <c r="WHM5" s="241"/>
      <c r="WHN5" s="241"/>
      <c r="WHO5" s="241"/>
      <c r="WHP5" s="241"/>
      <c r="WHQ5" s="241"/>
      <c r="WHR5" s="241"/>
      <c r="WHS5" s="241"/>
      <c r="WHT5" s="241"/>
      <c r="WHU5" s="241"/>
      <c r="WHV5" s="241"/>
      <c r="WHW5" s="241"/>
      <c r="WHX5" s="241"/>
      <c r="WHY5" s="241"/>
      <c r="WHZ5" s="241"/>
      <c r="WIA5" s="241"/>
      <c r="WIB5" s="241"/>
      <c r="WIC5" s="241"/>
      <c r="WID5" s="241"/>
      <c r="WIE5" s="241"/>
      <c r="WIF5" s="241"/>
      <c r="WIG5" s="241"/>
      <c r="WIH5" s="241"/>
      <c r="WII5" s="241"/>
      <c r="WIJ5" s="241"/>
      <c r="WIK5" s="241"/>
      <c r="WIL5" s="241"/>
      <c r="WIM5" s="241"/>
      <c r="WIN5" s="241"/>
      <c r="WIO5" s="241"/>
      <c r="WIP5" s="241"/>
      <c r="WIQ5" s="241"/>
      <c r="WIR5" s="241"/>
      <c r="WIS5" s="241"/>
      <c r="WIT5" s="241"/>
      <c r="WIU5" s="241"/>
      <c r="WIV5" s="241"/>
      <c r="WIW5" s="241"/>
      <c r="WIX5" s="241"/>
      <c r="WIY5" s="241"/>
      <c r="WIZ5" s="241"/>
      <c r="WJA5" s="241"/>
      <c r="WJB5" s="241"/>
      <c r="WJC5" s="241"/>
      <c r="WJD5" s="241"/>
      <c r="WJE5" s="241"/>
      <c r="WJF5" s="241"/>
      <c r="WJG5" s="241"/>
      <c r="WJH5" s="241"/>
      <c r="WJI5" s="241"/>
      <c r="WJJ5" s="241"/>
      <c r="WJK5" s="241"/>
      <c r="WJL5" s="241"/>
      <c r="WJM5" s="241"/>
      <c r="WJN5" s="241"/>
      <c r="WJO5" s="241"/>
      <c r="WJP5" s="241"/>
      <c r="WJQ5" s="241"/>
      <c r="WJR5" s="241"/>
      <c r="WJS5" s="241"/>
      <c r="WJT5" s="241"/>
      <c r="WJU5" s="241"/>
      <c r="WJV5" s="241"/>
      <c r="WJW5" s="241"/>
      <c r="WJX5" s="241"/>
      <c r="WJY5" s="241"/>
      <c r="WJZ5" s="241"/>
      <c r="WKA5" s="241"/>
      <c r="WKB5" s="241"/>
      <c r="WKC5" s="241"/>
      <c r="WKD5" s="241"/>
      <c r="WKE5" s="241"/>
      <c r="WKF5" s="241"/>
      <c r="WKG5" s="241"/>
      <c r="WKH5" s="241"/>
      <c r="WKI5" s="241"/>
      <c r="WKJ5" s="241"/>
      <c r="WKK5" s="241"/>
      <c r="WKL5" s="241"/>
      <c r="WKM5" s="241"/>
      <c r="WKN5" s="241"/>
      <c r="WKO5" s="241"/>
      <c r="WKP5" s="241"/>
      <c r="WKQ5" s="241"/>
      <c r="WKR5" s="241"/>
      <c r="WKS5" s="241"/>
      <c r="WKT5" s="241"/>
      <c r="WKU5" s="241"/>
      <c r="WKV5" s="241"/>
      <c r="WKW5" s="241"/>
      <c r="WKX5" s="241"/>
      <c r="WKY5" s="241"/>
      <c r="WKZ5" s="241"/>
      <c r="WLA5" s="241"/>
      <c r="WLB5" s="241"/>
      <c r="WLC5" s="241"/>
      <c r="WLD5" s="241"/>
      <c r="WLE5" s="241"/>
      <c r="WLF5" s="241"/>
      <c r="WLG5" s="241"/>
      <c r="WLH5" s="241"/>
      <c r="WLI5" s="241"/>
      <c r="WLJ5" s="241"/>
      <c r="WLK5" s="241"/>
      <c r="WLL5" s="241"/>
      <c r="WLM5" s="241"/>
      <c r="WLN5" s="241"/>
      <c r="WLO5" s="241"/>
      <c r="WLP5" s="241"/>
      <c r="WLQ5" s="241"/>
      <c r="WLR5" s="241"/>
      <c r="WLS5" s="241"/>
      <c r="WLT5" s="241"/>
      <c r="WLU5" s="241"/>
      <c r="WLV5" s="241"/>
      <c r="WLW5" s="241"/>
      <c r="WLX5" s="241"/>
      <c r="WLY5" s="241"/>
      <c r="WLZ5" s="241"/>
      <c r="WMA5" s="241"/>
      <c r="WMB5" s="241"/>
      <c r="WMC5" s="241"/>
      <c r="WMD5" s="241"/>
      <c r="WME5" s="241"/>
      <c r="WMF5" s="241"/>
      <c r="WMG5" s="241"/>
      <c r="WMH5" s="241"/>
      <c r="WMI5" s="241"/>
      <c r="WMJ5" s="241"/>
      <c r="WMK5" s="241"/>
      <c r="WML5" s="241"/>
      <c r="WMM5" s="241"/>
      <c r="WMN5" s="241"/>
      <c r="WMO5" s="241"/>
      <c r="WMP5" s="241"/>
      <c r="WMQ5" s="241"/>
      <c r="WMR5" s="241"/>
      <c r="WMS5" s="241"/>
      <c r="WMT5" s="241"/>
      <c r="WMU5" s="241"/>
      <c r="WMV5" s="241"/>
      <c r="WMW5" s="241"/>
      <c r="WMX5" s="241"/>
      <c r="WMY5" s="241"/>
      <c r="WMZ5" s="241"/>
      <c r="WNA5" s="241"/>
      <c r="WNB5" s="241"/>
      <c r="WNC5" s="241"/>
      <c r="WND5" s="241"/>
      <c r="WNE5" s="241"/>
      <c r="WNF5" s="241"/>
      <c r="WNG5" s="241"/>
      <c r="WNH5" s="241"/>
      <c r="WNI5" s="241"/>
      <c r="WNJ5" s="241"/>
      <c r="WNK5" s="241"/>
      <c r="WNL5" s="241"/>
      <c r="WNM5" s="241"/>
      <c r="WNN5" s="241"/>
      <c r="WNO5" s="241"/>
      <c r="WNP5" s="241"/>
      <c r="WNQ5" s="241"/>
      <c r="WNR5" s="241"/>
      <c r="WNS5" s="241"/>
      <c r="WNT5" s="241"/>
      <c r="WNU5" s="241"/>
      <c r="WNV5" s="241"/>
      <c r="WNW5" s="241"/>
      <c r="WNX5" s="241"/>
      <c r="WNY5" s="241"/>
      <c r="WNZ5" s="241"/>
      <c r="WOA5" s="241"/>
      <c r="WOB5" s="241"/>
      <c r="WOC5" s="241"/>
      <c r="WOD5" s="241"/>
      <c r="WOE5" s="241"/>
      <c r="WOF5" s="241"/>
      <c r="WOG5" s="241"/>
      <c r="WOH5" s="241"/>
      <c r="WOI5" s="241"/>
      <c r="WOJ5" s="241"/>
      <c r="WOK5" s="241"/>
      <c r="WOL5" s="241"/>
      <c r="WOM5" s="241"/>
      <c r="WON5" s="241"/>
      <c r="WOO5" s="241"/>
      <c r="WOP5" s="241"/>
      <c r="WOQ5" s="241"/>
      <c r="WOR5" s="241"/>
      <c r="WOS5" s="241"/>
      <c r="WOT5" s="241"/>
      <c r="WOU5" s="241"/>
      <c r="WOV5" s="241"/>
      <c r="WOW5" s="241"/>
      <c r="WOX5" s="241"/>
      <c r="WOY5" s="241"/>
      <c r="WOZ5" s="241"/>
      <c r="WPA5" s="241"/>
      <c r="WPB5" s="241"/>
      <c r="WPC5" s="241"/>
      <c r="WPD5" s="241"/>
      <c r="WPE5" s="241"/>
      <c r="WPF5" s="241"/>
      <c r="WPG5" s="241"/>
      <c r="WPH5" s="241"/>
      <c r="WPI5" s="241"/>
      <c r="WPJ5" s="241"/>
      <c r="WPK5" s="241"/>
      <c r="WPL5" s="241"/>
      <c r="WPM5" s="241"/>
      <c r="WPN5" s="241"/>
      <c r="WPO5" s="241"/>
      <c r="WPP5" s="241"/>
      <c r="WPQ5" s="241"/>
      <c r="WPR5" s="241"/>
      <c r="WPS5" s="241"/>
      <c r="WPT5" s="241"/>
      <c r="WPU5" s="241"/>
      <c r="WPV5" s="241"/>
      <c r="WPW5" s="241"/>
      <c r="WPX5" s="241"/>
      <c r="WPY5" s="241"/>
      <c r="WPZ5" s="241"/>
      <c r="WQA5" s="241"/>
      <c r="WQB5" s="241"/>
      <c r="WQC5" s="241"/>
      <c r="WQD5" s="241"/>
      <c r="WQE5" s="241"/>
      <c r="WQF5" s="241"/>
      <c r="WQG5" s="241"/>
      <c r="WQH5" s="241"/>
      <c r="WQI5" s="241"/>
      <c r="WQJ5" s="241"/>
      <c r="WQK5" s="241"/>
      <c r="WQL5" s="241"/>
      <c r="WQM5" s="241"/>
      <c r="WQN5" s="241"/>
      <c r="WQO5" s="241"/>
      <c r="WQP5" s="241"/>
      <c r="WQQ5" s="241"/>
      <c r="WQR5" s="241"/>
      <c r="WQS5" s="241"/>
      <c r="WQT5" s="241"/>
      <c r="WQU5" s="241"/>
      <c r="WQV5" s="241"/>
      <c r="WQW5" s="241"/>
      <c r="WQX5" s="241"/>
      <c r="WQY5" s="241"/>
      <c r="WQZ5" s="241"/>
      <c r="WRA5" s="241"/>
      <c r="WRB5" s="241"/>
      <c r="WRC5" s="241"/>
      <c r="WRD5" s="241"/>
      <c r="WRE5" s="241"/>
      <c r="WRF5" s="241"/>
      <c r="WRG5" s="241"/>
      <c r="WRH5" s="241"/>
      <c r="WRI5" s="241"/>
      <c r="WRJ5" s="241"/>
      <c r="WRK5" s="241"/>
      <c r="WRL5" s="241"/>
      <c r="WRM5" s="241"/>
      <c r="WRN5" s="241"/>
      <c r="WRO5" s="241"/>
      <c r="WRP5" s="241"/>
      <c r="WRQ5" s="241"/>
      <c r="WRR5" s="241"/>
      <c r="WRS5" s="241"/>
      <c r="WRT5" s="241"/>
      <c r="WRU5" s="241"/>
      <c r="WRV5" s="241"/>
      <c r="WRW5" s="241"/>
      <c r="WRX5" s="241"/>
      <c r="WRY5" s="241"/>
      <c r="WRZ5" s="241"/>
      <c r="WSA5" s="241"/>
      <c r="WSB5" s="241"/>
      <c r="WSC5" s="241"/>
      <c r="WSD5" s="241"/>
      <c r="WSE5" s="241"/>
      <c r="WSF5" s="241"/>
      <c r="WSG5" s="241"/>
      <c r="WSH5" s="241"/>
      <c r="WSI5" s="241"/>
      <c r="WSJ5" s="241"/>
      <c r="WSK5" s="241"/>
      <c r="WSL5" s="241"/>
      <c r="WSM5" s="241"/>
      <c r="WSN5" s="241"/>
      <c r="WSO5" s="241"/>
      <c r="WSP5" s="241"/>
      <c r="WSQ5" s="241"/>
      <c r="WSR5" s="241"/>
      <c r="WSS5" s="241"/>
      <c r="WST5" s="241"/>
      <c r="WSU5" s="241"/>
      <c r="WSV5" s="241"/>
      <c r="WSW5" s="241"/>
      <c r="WSX5" s="241"/>
      <c r="WSY5" s="241"/>
      <c r="WSZ5" s="241"/>
      <c r="WTA5" s="241"/>
      <c r="WTB5" s="241"/>
      <c r="WTC5" s="241"/>
      <c r="WTD5" s="241"/>
      <c r="WTE5" s="241"/>
      <c r="WTF5" s="241"/>
      <c r="WTG5" s="241"/>
      <c r="WTH5" s="241"/>
      <c r="WTI5" s="241"/>
      <c r="WTJ5" s="241"/>
      <c r="WTK5" s="241"/>
      <c r="WTL5" s="241"/>
      <c r="WTM5" s="241"/>
      <c r="WTN5" s="241"/>
      <c r="WTO5" s="241"/>
      <c r="WTP5" s="241"/>
      <c r="WTQ5" s="241"/>
      <c r="WTR5" s="241"/>
      <c r="WTS5" s="241"/>
      <c r="WTT5" s="241"/>
      <c r="WTU5" s="241"/>
      <c r="WTV5" s="241"/>
      <c r="WTW5" s="241"/>
      <c r="WTX5" s="241"/>
      <c r="WTY5" s="241"/>
      <c r="WTZ5" s="241"/>
      <c r="WUA5" s="241"/>
      <c r="WUB5" s="241"/>
      <c r="WUC5" s="241"/>
      <c r="WUD5" s="241"/>
      <c r="WUE5" s="241"/>
      <c r="WUF5" s="241"/>
      <c r="WUG5" s="241"/>
      <c r="WUH5" s="241"/>
      <c r="WUI5" s="241"/>
      <c r="WUJ5" s="241"/>
      <c r="WUK5" s="241"/>
      <c r="WUL5" s="241"/>
      <c r="WUM5" s="241"/>
      <c r="WUN5" s="241"/>
      <c r="WUO5" s="241"/>
      <c r="WUP5" s="241"/>
      <c r="WUQ5" s="241"/>
      <c r="WUR5" s="241"/>
      <c r="WUS5" s="241"/>
      <c r="WUT5" s="241"/>
      <c r="WUU5" s="241"/>
      <c r="WUV5" s="241"/>
      <c r="WUW5" s="241"/>
      <c r="WUX5" s="241"/>
      <c r="WUY5" s="241"/>
      <c r="WUZ5" s="241"/>
      <c r="WVA5" s="241"/>
      <c r="WVB5" s="241"/>
      <c r="WVC5" s="241"/>
      <c r="WVD5" s="241"/>
      <c r="WVE5" s="241"/>
      <c r="WVF5" s="241"/>
      <c r="WVG5" s="241"/>
      <c r="WVH5" s="241"/>
      <c r="WVI5" s="241"/>
      <c r="WVJ5" s="241"/>
      <c r="WVK5" s="241"/>
      <c r="WVL5" s="241"/>
      <c r="WVM5" s="241"/>
      <c r="WVN5" s="241"/>
      <c r="WVO5" s="241"/>
      <c r="WVP5" s="241"/>
      <c r="WVQ5" s="241"/>
      <c r="WVR5" s="241"/>
      <c r="WVS5" s="241"/>
      <c r="WVT5" s="241"/>
      <c r="WVU5" s="241"/>
      <c r="WVV5" s="241"/>
      <c r="WVW5" s="241"/>
      <c r="WVX5" s="241"/>
      <c r="WVY5" s="241"/>
      <c r="WVZ5" s="241"/>
      <c r="WWA5" s="241"/>
      <c r="WWB5" s="241"/>
      <c r="WWC5" s="241"/>
      <c r="WWD5" s="241"/>
      <c r="WWE5" s="241"/>
      <c r="WWF5" s="241"/>
      <c r="WWG5" s="241"/>
      <c r="WWH5" s="241"/>
      <c r="WWI5" s="241"/>
      <c r="WWJ5" s="241"/>
      <c r="WWK5" s="241"/>
      <c r="WWL5" s="241"/>
      <c r="WWM5" s="241"/>
      <c r="WWN5" s="241"/>
      <c r="WWO5" s="241"/>
      <c r="WWP5" s="241"/>
      <c r="WWQ5" s="241"/>
      <c r="WWR5" s="241"/>
      <c r="WWS5" s="241"/>
      <c r="WWT5" s="241"/>
      <c r="WWU5" s="241"/>
      <c r="WWV5" s="241"/>
      <c r="WWW5" s="241"/>
      <c r="WWX5" s="241"/>
      <c r="WWY5" s="241"/>
      <c r="WWZ5" s="241"/>
      <c r="WXA5" s="241"/>
      <c r="WXB5" s="241"/>
      <c r="WXC5" s="241"/>
      <c r="WXD5" s="241"/>
      <c r="WXE5" s="241"/>
      <c r="WXF5" s="241"/>
      <c r="WXG5" s="241"/>
      <c r="WXH5" s="241"/>
      <c r="WXI5" s="241"/>
      <c r="WXJ5" s="241"/>
      <c r="WXK5" s="241"/>
      <c r="WXL5" s="241"/>
      <c r="WXM5" s="241"/>
      <c r="WXN5" s="241"/>
      <c r="WXO5" s="241"/>
      <c r="WXP5" s="241"/>
      <c r="WXQ5" s="241"/>
      <c r="WXR5" s="241"/>
      <c r="WXS5" s="241"/>
      <c r="WXT5" s="241"/>
      <c r="WXU5" s="241"/>
      <c r="WXV5" s="241"/>
      <c r="WXW5" s="241"/>
      <c r="WXX5" s="241"/>
      <c r="WXY5" s="241"/>
      <c r="WXZ5" s="241"/>
      <c r="WYA5" s="241"/>
      <c r="WYB5" s="241"/>
      <c r="WYC5" s="241"/>
      <c r="WYD5" s="241"/>
      <c r="WYE5" s="241"/>
      <c r="WYF5" s="241"/>
      <c r="WYG5" s="241"/>
      <c r="WYH5" s="241"/>
      <c r="WYI5" s="241"/>
      <c r="WYJ5" s="241"/>
      <c r="WYK5" s="241"/>
      <c r="WYL5" s="241"/>
      <c r="WYM5" s="241"/>
      <c r="WYN5" s="241"/>
      <c r="WYO5" s="241"/>
      <c r="WYP5" s="241"/>
      <c r="WYQ5" s="241"/>
      <c r="WYR5" s="241"/>
      <c r="WYS5" s="241"/>
      <c r="WYT5" s="241"/>
      <c r="WYU5" s="241"/>
      <c r="WYV5" s="241"/>
      <c r="WYW5" s="241"/>
      <c r="WYX5" s="241"/>
      <c r="WYY5" s="241"/>
      <c r="WYZ5" s="241"/>
      <c r="WZA5" s="241"/>
      <c r="WZB5" s="241"/>
      <c r="WZC5" s="241"/>
      <c r="WZD5" s="241"/>
      <c r="WZE5" s="241"/>
      <c r="WZF5" s="241"/>
      <c r="WZG5" s="241"/>
      <c r="WZH5" s="241"/>
      <c r="WZI5" s="241"/>
      <c r="WZJ5" s="241"/>
      <c r="WZK5" s="241"/>
      <c r="WZL5" s="241"/>
      <c r="WZM5" s="241"/>
      <c r="WZN5" s="241"/>
      <c r="WZO5" s="241"/>
      <c r="WZP5" s="241"/>
      <c r="WZQ5" s="241"/>
      <c r="WZR5" s="241"/>
      <c r="WZS5" s="241"/>
      <c r="WZT5" s="241"/>
      <c r="WZU5" s="241"/>
      <c r="WZV5" s="241"/>
      <c r="WZW5" s="241"/>
      <c r="WZX5" s="241"/>
      <c r="WZY5" s="241"/>
      <c r="WZZ5" s="241"/>
      <c r="XAA5" s="241"/>
      <c r="XAB5" s="241"/>
      <c r="XAC5" s="241"/>
      <c r="XAD5" s="241"/>
      <c r="XAE5" s="241"/>
      <c r="XAF5" s="241"/>
      <c r="XAG5" s="241"/>
      <c r="XAH5" s="241"/>
      <c r="XAI5" s="241"/>
      <c r="XAJ5" s="241"/>
      <c r="XAK5" s="241"/>
      <c r="XAL5" s="241"/>
      <c r="XAM5" s="241"/>
      <c r="XAN5" s="241"/>
      <c r="XAO5" s="241"/>
      <c r="XAP5" s="241"/>
      <c r="XAQ5" s="241"/>
      <c r="XAR5" s="241"/>
      <c r="XAS5" s="241"/>
      <c r="XAT5" s="241"/>
      <c r="XAU5" s="241"/>
      <c r="XAV5" s="241"/>
      <c r="XAW5" s="241"/>
      <c r="XAX5" s="241"/>
      <c r="XAY5" s="241"/>
      <c r="XAZ5" s="241"/>
      <c r="XBA5" s="241"/>
      <c r="XBB5" s="241"/>
      <c r="XBC5" s="241"/>
      <c r="XBD5" s="241"/>
      <c r="XBE5" s="241"/>
      <c r="XBF5" s="241"/>
      <c r="XBG5" s="241"/>
      <c r="XBH5" s="241"/>
      <c r="XBI5" s="241"/>
      <c r="XBJ5" s="241"/>
      <c r="XBK5" s="241"/>
      <c r="XBL5" s="241"/>
      <c r="XBM5" s="241"/>
      <c r="XBN5" s="241"/>
      <c r="XBO5" s="241"/>
      <c r="XBP5" s="241"/>
      <c r="XBQ5" s="241"/>
      <c r="XBR5" s="241"/>
      <c r="XBS5" s="241"/>
      <c r="XBT5" s="241"/>
      <c r="XBU5" s="241"/>
      <c r="XBV5" s="241"/>
      <c r="XBW5" s="241"/>
      <c r="XBX5" s="241"/>
      <c r="XBY5" s="241"/>
      <c r="XBZ5" s="241"/>
      <c r="XCA5" s="241"/>
      <c r="XCB5" s="241"/>
      <c r="XCC5" s="241"/>
      <c r="XCD5" s="241"/>
      <c r="XCE5" s="241"/>
      <c r="XCF5" s="241"/>
      <c r="XCG5" s="241"/>
      <c r="XCH5" s="241"/>
      <c r="XCI5" s="241"/>
      <c r="XCJ5" s="241"/>
      <c r="XCK5" s="241"/>
      <c r="XCL5" s="241"/>
      <c r="XCM5" s="241"/>
      <c r="XCN5" s="241"/>
      <c r="XCO5" s="241"/>
      <c r="XCP5" s="241"/>
      <c r="XCQ5" s="241"/>
      <c r="XCR5" s="241"/>
      <c r="XCS5" s="241"/>
      <c r="XCT5" s="241"/>
      <c r="XCU5" s="241"/>
      <c r="XCV5" s="241"/>
      <c r="XCW5" s="241"/>
      <c r="XCX5" s="241"/>
      <c r="XCY5" s="241"/>
      <c r="XCZ5" s="241"/>
      <c r="XDA5" s="241"/>
      <c r="XDB5" s="241"/>
      <c r="XDC5" s="241"/>
      <c r="XDD5" s="241"/>
      <c r="XDE5" s="241"/>
      <c r="XDF5" s="241"/>
      <c r="XDG5" s="241"/>
      <c r="XDH5" s="241"/>
      <c r="XDI5" s="241"/>
      <c r="XDJ5" s="241"/>
      <c r="XDK5" s="241"/>
      <c r="XDL5" s="241"/>
      <c r="XDM5" s="241"/>
      <c r="XDN5" s="241"/>
      <c r="XDO5" s="241"/>
      <c r="XDP5" s="241"/>
      <c r="XDQ5" s="241"/>
      <c r="XDR5" s="241"/>
      <c r="XDS5" s="241"/>
      <c r="XDT5" s="241"/>
      <c r="XDU5" s="241"/>
      <c r="XDV5" s="241"/>
      <c r="XDW5" s="241"/>
      <c r="XDX5" s="241"/>
      <c r="XDY5" s="241"/>
      <c r="XDZ5" s="241"/>
      <c r="XEA5" s="241"/>
      <c r="XEB5" s="241"/>
      <c r="XEC5" s="241"/>
      <c r="XED5" s="241"/>
      <c r="XEE5" s="241"/>
      <c r="XEF5" s="241"/>
      <c r="XEG5" s="241"/>
      <c r="XEH5" s="241"/>
      <c r="XEI5" s="241"/>
      <c r="XEJ5" s="241"/>
      <c r="XEK5" s="241"/>
      <c r="XEL5" s="241"/>
      <c r="XEM5" s="241"/>
      <c r="XEN5" s="241"/>
      <c r="XEO5" s="241"/>
      <c r="XEP5" s="241"/>
      <c r="XEQ5" s="241"/>
      <c r="XER5" s="241"/>
      <c r="XES5" s="241"/>
      <c r="XET5" s="241"/>
      <c r="XEU5" s="241"/>
      <c r="XEV5" s="241"/>
      <c r="XEW5" s="241"/>
      <c r="XEX5" s="241"/>
      <c r="XEY5" s="241"/>
      <c r="XEZ5" s="241"/>
      <c r="XFA5" s="241"/>
      <c r="XFB5" s="241"/>
      <c r="XFC5" s="241"/>
      <c r="XFD5" s="241"/>
    </row>
    <row r="6" spans="1:16384" x14ac:dyDescent="0.2">
      <c r="A6" s="57"/>
      <c r="B6" s="312"/>
      <c r="C6" s="312" t="s">
        <v>716</v>
      </c>
      <c r="D6" s="313">
        <v>42067</v>
      </c>
      <c r="E6" s="57"/>
    </row>
    <row r="7" spans="1:16384" x14ac:dyDescent="0.2">
      <c r="A7" s="242"/>
    </row>
    <row r="8" spans="1:16384" s="57" customFormat="1" x14ac:dyDescent="0.2">
      <c r="A8" s="349" t="s">
        <v>743</v>
      </c>
    </row>
    <row r="9" spans="1:16384" s="57" customFormat="1" x14ac:dyDescent="0.2">
      <c r="A9" s="350" t="s">
        <v>745</v>
      </c>
    </row>
    <row r="10" spans="1:16384" ht="13.5" thickBot="1" x14ac:dyDescent="0.25"/>
    <row r="11" spans="1:16384" ht="13.5" thickBot="1" x14ac:dyDescent="0.25">
      <c r="B11" s="314"/>
      <c r="C11" s="315" t="s">
        <v>525</v>
      </c>
      <c r="D11" s="315" t="s">
        <v>520</v>
      </c>
      <c r="E11" s="315" t="s">
        <v>523</v>
      </c>
      <c r="F11" s="315" t="s">
        <v>517</v>
      </c>
      <c r="G11" s="315" t="s">
        <v>596</v>
      </c>
      <c r="H11" s="315" t="s">
        <v>597</v>
      </c>
      <c r="I11" s="315" t="s">
        <v>521</v>
      </c>
      <c r="J11" s="315" t="s">
        <v>598</v>
      </c>
    </row>
    <row r="12" spans="1:16384" ht="35.25" customHeight="1" thickBot="1" x14ac:dyDescent="0.25">
      <c r="B12" s="316" t="s">
        <v>714</v>
      </c>
      <c r="C12" s="348">
        <f>Aquaculture!F327</f>
        <v>1333.5120172496668</v>
      </c>
      <c r="D12" s="348">
        <f>Cassava!F371</f>
        <v>63.971302803089259</v>
      </c>
      <c r="E12" s="348">
        <f>Cocoa!F358</f>
        <v>620.13987441764527</v>
      </c>
      <c r="F12" s="348">
        <f>Maize!F395</f>
        <v>216.16824515216629</v>
      </c>
      <c r="G12" s="348">
        <f>'Rice - Rainfed'!F376</f>
        <v>294.46424139469991</v>
      </c>
      <c r="H12" s="348">
        <f>'Rice - Irrigated'!F387</f>
        <v>718.8527944697546</v>
      </c>
      <c r="I12" s="348">
        <f>Sorghum!F346</f>
        <v>109.42462314075289</v>
      </c>
      <c r="J12" s="348">
        <f>Soybean!F406</f>
        <v>143.80861743492596</v>
      </c>
    </row>
    <row r="13" spans="1:16384" ht="34.5" customHeight="1" thickBot="1" x14ac:dyDescent="0.25">
      <c r="B13" s="316" t="s">
        <v>715</v>
      </c>
      <c r="C13" s="348">
        <f>Aquaculture!F328</f>
        <v>8464.5932287017076</v>
      </c>
      <c r="D13" s="348">
        <f>Cassava!F372</f>
        <v>406.06387459114677</v>
      </c>
      <c r="E13" s="348">
        <f>Cocoa!F359</f>
        <v>3936.3963083511826</v>
      </c>
      <c r="F13" s="348">
        <f>Maize!F396</f>
        <v>1372.1483125058162</v>
      </c>
      <c r="G13" s="348">
        <f>'Rice - Rainfed'!F377</f>
        <v>1869.1395289748632</v>
      </c>
      <c r="H13" s="348">
        <f>'Rice - Irrigated'!F388</f>
        <v>4562.9858732369848</v>
      </c>
      <c r="I13" s="348">
        <f>Sorghum!F347</f>
        <v>694.58310994511169</v>
      </c>
      <c r="J13" s="348">
        <f>Soybean!F407</f>
        <v>912.83875482370172</v>
      </c>
    </row>
    <row r="14" spans="1:16384" x14ac:dyDescent="0.2">
      <c r="D14" s="334"/>
    </row>
    <row r="16" spans="1:16384" s="57" customFormat="1" x14ac:dyDescent="0.2">
      <c r="A16" s="349" t="s">
        <v>744</v>
      </c>
    </row>
    <row r="17" spans="1:10" s="57" customFormat="1" x14ac:dyDescent="0.2">
      <c r="A17" s="350" t="s">
        <v>746</v>
      </c>
    </row>
    <row r="18" spans="1:10" ht="13.5" thickBot="1" x14ac:dyDescent="0.25"/>
    <row r="19" spans="1:10" ht="13.5" thickBot="1" x14ac:dyDescent="0.25">
      <c r="B19" s="314"/>
      <c r="C19" s="315" t="s">
        <v>525</v>
      </c>
      <c r="D19" s="315" t="s">
        <v>520</v>
      </c>
      <c r="E19" s="315" t="s">
        <v>523</v>
      </c>
      <c r="F19" s="315" t="s">
        <v>517</v>
      </c>
      <c r="G19" s="315" t="s">
        <v>596</v>
      </c>
      <c r="H19" s="315" t="s">
        <v>597</v>
      </c>
      <c r="I19" s="315" t="s">
        <v>521</v>
      </c>
      <c r="J19" s="315" t="s">
        <v>598</v>
      </c>
    </row>
    <row r="20" spans="1:10" ht="45" customHeight="1" thickBot="1" x14ac:dyDescent="0.25">
      <c r="B20" s="316" t="s">
        <v>727</v>
      </c>
      <c r="C20" s="348">
        <f>Aquaculture!F455</f>
        <v>14506739.156617608</v>
      </c>
      <c r="D20" s="348">
        <f>Cassava!F494</f>
        <v>817555.18780129461</v>
      </c>
      <c r="E20" s="348">
        <f>Cocoa!F480</f>
        <v>38965671.097822972</v>
      </c>
      <c r="F20" s="348">
        <f>Maize!F530</f>
        <v>8364500.0621611569</v>
      </c>
      <c r="G20" s="348">
        <f>'Rice - Rainfed'!F491</f>
        <v>15975731.486823568</v>
      </c>
      <c r="H20" s="348">
        <f>'Rice - Irrigated'!F518</f>
        <v>5173567.5581370369</v>
      </c>
      <c r="I20" s="348">
        <f>Sorghum!F481</f>
        <v>4071737.3031579661</v>
      </c>
      <c r="J20" s="348">
        <f>Soybean!F543</f>
        <v>4203474.6449642191</v>
      </c>
    </row>
    <row r="21" spans="1:10" ht="36" customHeight="1" thickBot="1" x14ac:dyDescent="0.25">
      <c r="B21" s="316" t="s">
        <v>728</v>
      </c>
      <c r="C21" s="348">
        <f>Aquaculture!F456</f>
        <v>92082894.227609545</v>
      </c>
      <c r="D21" s="348">
        <f>Cassava!F495</f>
        <v>5189508.6187717067</v>
      </c>
      <c r="E21" s="348">
        <f>Cocoa!F481</f>
        <v>247338270.26674476</v>
      </c>
      <c r="F21" s="348">
        <f>Maize!F531</f>
        <v>53094452.597189017</v>
      </c>
      <c r="G21" s="348">
        <f>'Rice - Rainfed'!F492</f>
        <v>101407461.51341608</v>
      </c>
      <c r="H21" s="348">
        <f>'Rice - Irrigated'!F519</f>
        <v>32839707.744934857</v>
      </c>
      <c r="I21" s="348">
        <f>Sorghum!F482</f>
        <v>25845736.340979856</v>
      </c>
      <c r="J21" s="348">
        <f>Soybean!F544</f>
        <v>26681951.535890691</v>
      </c>
    </row>
    <row r="22" spans="1:10" ht="39" thickBot="1" x14ac:dyDescent="0.25">
      <c r="B22" s="316" t="s">
        <v>1050</v>
      </c>
      <c r="C22" s="394" t="str">
        <f>IFERROR(Aquaculture!F457,"Does not compute")</f>
        <v>Does not compute</v>
      </c>
      <c r="D22" s="394">
        <f>IFERROR(Cassava!F496,"Does not compute")</f>
        <v>0.33006648663278804</v>
      </c>
      <c r="E22" s="394">
        <f>IFERROR(Cocoa!F482, "Does not compute")</f>
        <v>1.1054950873676348</v>
      </c>
      <c r="F22" s="394">
        <f>IFERROR(Maize!F532, "Does not compute")</f>
        <v>0.8484009642565975</v>
      </c>
      <c r="G22" s="394">
        <f>IFERROR('Rice - Rainfed'!F493, "Does not compute")</f>
        <v>0.43415779450890213</v>
      </c>
      <c r="H22" s="394">
        <f>IFERROR('Rice - Irrigated'!F520, "Does not compute")</f>
        <v>0.64599533716489543</v>
      </c>
      <c r="I22" s="394">
        <f>IFERROR(Sorghum!F483, "Does not compute")</f>
        <v>0.94766239039809519</v>
      </c>
      <c r="J22" s="394">
        <f>IFERROR(Soybean!F545, "Does not compute")</f>
        <v>0.86110389154422484</v>
      </c>
    </row>
    <row r="23" spans="1:10" ht="29.25" customHeight="1" thickBot="1" x14ac:dyDescent="0.25">
      <c r="B23" s="316" t="s">
        <v>1051</v>
      </c>
      <c r="C23" s="318" t="str">
        <f>IFERROR(Aquaculture!F458,"Does not compute")</f>
        <v>Does not compute</v>
      </c>
      <c r="D23" s="318">
        <f>Cassava!F497</f>
        <v>0.20732935548671017</v>
      </c>
      <c r="E23" s="318">
        <f>Cocoa!F483</f>
        <v>0.42417447661137819</v>
      </c>
      <c r="F23" s="318">
        <f>Maize!F533</f>
        <v>0.43426212083865434</v>
      </c>
      <c r="G23" s="318">
        <f>'Rice - Rainfed'!F494</f>
        <v>0.26065728495304019</v>
      </c>
      <c r="H23" s="318">
        <f>'Rice - Irrigated'!F521</f>
        <v>0.30954274227710088</v>
      </c>
      <c r="I23" s="318">
        <f>Sorghum!F484</f>
        <v>0.429763538688406</v>
      </c>
      <c r="J23" s="318">
        <f>IFERROR(Soybean!F546,"Does not compute")</f>
        <v>0.37072750779152219</v>
      </c>
    </row>
    <row r="24" spans="1:10" ht="26.25" thickBot="1" x14ac:dyDescent="0.25">
      <c r="B24" s="316" t="s">
        <v>721</v>
      </c>
      <c r="C24" s="317">
        <f>'Total Beneficiaries and Funding'!D15</f>
        <v>30300</v>
      </c>
      <c r="D24" s="317">
        <f>'Total Beneficiaries and Funding'!D12</f>
        <v>35000</v>
      </c>
      <c r="E24" s="317">
        <f>'Total Beneficiaries and Funding'!D13</f>
        <v>88000</v>
      </c>
      <c r="F24" s="317">
        <f>'Total Beneficiaries and Funding'!D14</f>
        <v>92200</v>
      </c>
      <c r="G24" s="317">
        <f>'Total Beneficiaries and Funding'!D9</f>
        <v>264735</v>
      </c>
      <c r="H24" s="317">
        <f>'Total Beneficiaries and Funding'!D8</f>
        <v>40000</v>
      </c>
      <c r="I24" s="317">
        <f>'Total Beneficiaries and Funding'!D10</f>
        <v>82120</v>
      </c>
      <c r="J24" s="317">
        <f>'Total Beneficiaries and Funding'!D11</f>
        <v>64500</v>
      </c>
    </row>
    <row r="25" spans="1:10" ht="13.5" thickBot="1" x14ac:dyDescent="0.25"/>
    <row r="26" spans="1:10" ht="51.75" customHeight="1" thickBot="1" x14ac:dyDescent="0.25">
      <c r="B26" s="891" t="s">
        <v>732</v>
      </c>
      <c r="C26" s="892"/>
      <c r="D26" s="612">
        <f>SUM(C20:J20)</f>
        <v>92078976.497485831</v>
      </c>
      <c r="E26" s="309"/>
    </row>
    <row r="27" spans="1:10" ht="51.75" customHeight="1" thickBot="1" x14ac:dyDescent="0.25">
      <c r="B27" s="891" t="s">
        <v>733</v>
      </c>
      <c r="C27" s="892"/>
      <c r="D27" s="348">
        <f>SUM(C21:J21)</f>
        <v>584479982.84553659</v>
      </c>
      <c r="E27" s="309"/>
    </row>
    <row r="28" spans="1:10" x14ac:dyDescent="0.2">
      <c r="E28" s="309"/>
    </row>
    <row r="29" spans="1:10" ht="15" x14ac:dyDescent="0.25">
      <c r="A29" s="893" t="s">
        <v>713</v>
      </c>
      <c r="B29" s="894"/>
      <c r="C29" s="894"/>
      <c r="D29" s="894"/>
      <c r="E29" s="894"/>
      <c r="F29" s="894"/>
      <c r="G29" s="894"/>
      <c r="H29" s="894"/>
      <c r="I29" s="895"/>
    </row>
    <row r="30" spans="1:10" ht="15" x14ac:dyDescent="0.25">
      <c r="A30" s="311" t="s">
        <v>726</v>
      </c>
      <c r="B30" s="896" t="s">
        <v>720</v>
      </c>
      <c r="C30" s="897"/>
      <c r="D30" s="897"/>
      <c r="E30" s="897"/>
      <c r="F30" s="897"/>
      <c r="G30" s="897"/>
      <c r="H30" s="897"/>
      <c r="I30" s="345"/>
    </row>
    <row r="31" spans="1:10" ht="15" x14ac:dyDescent="0.25">
      <c r="A31" s="319" t="s">
        <v>719</v>
      </c>
      <c r="B31" s="887" t="s">
        <v>717</v>
      </c>
      <c r="C31" s="888"/>
      <c r="D31" s="888"/>
      <c r="E31" s="888"/>
      <c r="F31" s="888"/>
      <c r="G31" s="888"/>
      <c r="H31" s="888"/>
      <c r="I31" s="346"/>
    </row>
    <row r="32" spans="1:10" ht="15" x14ac:dyDescent="0.25">
      <c r="A32" s="319" t="s">
        <v>683</v>
      </c>
      <c r="B32" s="887" t="s">
        <v>718</v>
      </c>
      <c r="C32" s="888"/>
      <c r="D32" s="888"/>
      <c r="E32" s="888"/>
      <c r="F32" s="888"/>
      <c r="G32" s="888"/>
      <c r="H32" s="888"/>
      <c r="I32" s="331"/>
    </row>
    <row r="33" spans="1:9" ht="15" x14ac:dyDescent="0.25">
      <c r="A33" s="335" t="s">
        <v>1051</v>
      </c>
      <c r="B33" s="336" t="s">
        <v>731</v>
      </c>
      <c r="C33" s="330"/>
      <c r="D33" s="330"/>
      <c r="E33" s="330"/>
      <c r="F33" s="330"/>
      <c r="G33" s="330"/>
      <c r="H33" s="330"/>
      <c r="I33" s="331"/>
    </row>
    <row r="34" spans="1:9" ht="15" x14ac:dyDescent="0.25">
      <c r="A34" s="320" t="s">
        <v>722</v>
      </c>
      <c r="B34" s="889" t="s">
        <v>832</v>
      </c>
      <c r="C34" s="890"/>
      <c r="D34" s="890"/>
      <c r="E34" s="890"/>
      <c r="F34" s="890"/>
      <c r="G34" s="890"/>
      <c r="H34" s="890"/>
      <c r="I34" s="347"/>
    </row>
  </sheetData>
  <customSheetViews>
    <customSheetView guid="{1474D8E2-8801-474F-99A3-0D3DFA4B5FB3}" scale="90" hiddenRows="1">
      <selection activeCell="D7" sqref="D7"/>
      <pageMargins left="0.7" right="0.7" top="0.75" bottom="0.75" header="0.3" footer="0.3"/>
    </customSheetView>
    <customSheetView guid="{0270675F-18D5-4C83-B813-43237B4A5065}" scale="90" hiddenRows="1">
      <selection activeCell="A18" sqref="A18"/>
      <pageMargins left="0.7" right="0.7" top="0.75" bottom="0.75" header="0.3" footer="0.3"/>
    </customSheetView>
    <customSheetView guid="{68E4D3DD-37C5-4451-9CB1-FD36A6953DAF}" scale="90" hiddenRows="1">
      <selection activeCell="H26" sqref="H26"/>
      <pageMargins left="0.7" right="0.7" top="0.75" bottom="0.75" header="0.3" footer="0.3"/>
    </customSheetView>
  </customSheetViews>
  <mergeCells count="7">
    <mergeCell ref="B32:H32"/>
    <mergeCell ref="B34:H34"/>
    <mergeCell ref="B26:C26"/>
    <mergeCell ref="B27:C27"/>
    <mergeCell ref="A29:I29"/>
    <mergeCell ref="B30:H30"/>
    <mergeCell ref="B31:H3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06"/>
  <sheetViews>
    <sheetView tabSelected="1" zoomScale="85" zoomScaleNormal="85" workbookViewId="0">
      <selection activeCell="L48" sqref="L48"/>
    </sheetView>
  </sheetViews>
  <sheetFormatPr defaultColWidth="14.42578125" defaultRowHeight="15.75" customHeight="1" x14ac:dyDescent="0.2"/>
  <cols>
    <col min="1" max="1" width="3.85546875" style="143" customWidth="1"/>
    <col min="2" max="2" width="4.7109375" style="143" customWidth="1"/>
    <col min="3" max="3" width="15.28515625" style="143" customWidth="1"/>
    <col min="4" max="5" width="14.42578125" style="143"/>
    <col min="6" max="6" width="16.7109375" style="143" bestFit="1" customWidth="1"/>
    <col min="7" max="19" width="14.42578125" style="143"/>
    <col min="20" max="16384" width="14.42578125" style="159"/>
  </cols>
  <sheetData>
    <row r="1" spans="1:26" ht="45" customHeight="1" x14ac:dyDescent="0.3">
      <c r="A1" s="142"/>
      <c r="B1" s="119"/>
      <c r="C1" s="119"/>
      <c r="D1" s="119"/>
      <c r="E1" s="119"/>
      <c r="F1" s="119"/>
      <c r="G1" s="119"/>
      <c r="H1" s="119"/>
      <c r="I1" s="119"/>
      <c r="J1" s="119"/>
      <c r="K1" s="119"/>
      <c r="L1" s="119"/>
      <c r="M1" s="119"/>
      <c r="N1" s="119"/>
      <c r="O1" s="119"/>
      <c r="P1" s="119"/>
      <c r="Q1" s="119"/>
      <c r="R1" s="119"/>
      <c r="S1" s="119"/>
      <c r="T1" s="158"/>
      <c r="U1" s="158"/>
      <c r="V1" s="158"/>
      <c r="W1" s="158"/>
      <c r="X1" s="158"/>
      <c r="Y1" s="158"/>
      <c r="Z1" s="158"/>
    </row>
    <row r="2" spans="1:26" ht="28.5" customHeight="1" x14ac:dyDescent="0.2">
      <c r="A2" s="144" t="s">
        <v>505</v>
      </c>
      <c r="B2" s="119"/>
      <c r="C2" s="119"/>
      <c r="D2" s="119"/>
      <c r="E2" s="119"/>
      <c r="F2" s="119"/>
      <c r="G2" s="119"/>
      <c r="H2" s="119"/>
      <c r="I2" s="119"/>
      <c r="J2" s="119"/>
      <c r="K2" s="119"/>
      <c r="L2" s="119"/>
      <c r="M2" s="119"/>
      <c r="N2" s="119"/>
      <c r="O2" s="119"/>
      <c r="P2" s="119"/>
      <c r="Q2" s="119"/>
      <c r="R2" s="119"/>
      <c r="S2" s="119"/>
      <c r="T2" s="158"/>
      <c r="U2" s="158"/>
      <c r="V2" s="158"/>
      <c r="W2" s="158"/>
      <c r="X2" s="158"/>
      <c r="Y2" s="158"/>
      <c r="Z2" s="158"/>
    </row>
    <row r="3" spans="1:26" ht="15.75" customHeight="1" x14ac:dyDescent="0.2">
      <c r="A3" s="122"/>
      <c r="B3" s="122"/>
      <c r="C3" s="122"/>
      <c r="D3" s="122"/>
      <c r="E3" s="122"/>
      <c r="F3" s="122"/>
      <c r="G3" s="122"/>
      <c r="H3" s="122"/>
      <c r="I3" s="122"/>
      <c r="J3" s="122"/>
      <c r="K3" s="122"/>
      <c r="L3" s="122"/>
      <c r="M3" s="122"/>
      <c r="N3" s="122"/>
      <c r="O3" s="122"/>
      <c r="P3" s="122"/>
      <c r="Q3" s="122"/>
      <c r="R3" s="122"/>
      <c r="S3" s="122"/>
      <c r="T3" s="173"/>
      <c r="U3" s="173"/>
      <c r="V3" s="173"/>
      <c r="W3" s="173"/>
      <c r="X3" s="173"/>
      <c r="Y3" s="173"/>
      <c r="Z3" s="173"/>
    </row>
    <row r="4" spans="1:26" ht="15.75" customHeight="1" x14ac:dyDescent="0.2">
      <c r="A4" s="145" t="s">
        <v>433</v>
      </c>
      <c r="B4" s="119"/>
      <c r="C4" s="119"/>
      <c r="D4" s="119"/>
      <c r="F4" s="152" t="s">
        <v>592</v>
      </c>
      <c r="G4" s="146"/>
      <c r="H4" s="146"/>
      <c r="I4" s="146"/>
      <c r="J4" s="146"/>
      <c r="K4" s="119"/>
      <c r="L4" s="119"/>
      <c r="M4" s="119"/>
      <c r="N4" s="119"/>
      <c r="O4" s="119"/>
      <c r="P4" s="119"/>
      <c r="Q4" s="119"/>
      <c r="R4" s="119"/>
      <c r="S4" s="119"/>
      <c r="T4" s="158"/>
      <c r="U4" s="158"/>
      <c r="V4" s="158"/>
      <c r="W4" s="158"/>
      <c r="X4" s="158"/>
      <c r="Y4" s="158"/>
      <c r="Z4" s="158"/>
    </row>
    <row r="5" spans="1:26" ht="15.75" customHeight="1" x14ac:dyDescent="0.2">
      <c r="A5" s="147"/>
      <c r="B5" s="122"/>
      <c r="C5" s="122"/>
      <c r="D5" s="122"/>
      <c r="E5" s="122"/>
      <c r="F5" s="148"/>
      <c r="G5" s="148"/>
      <c r="H5" s="148"/>
      <c r="I5" s="148"/>
      <c r="J5" s="148"/>
      <c r="K5" s="122"/>
      <c r="L5" s="122"/>
      <c r="M5" s="122"/>
      <c r="N5" s="122"/>
      <c r="O5" s="122"/>
      <c r="P5" s="122"/>
      <c r="Q5" s="122"/>
      <c r="R5" s="122"/>
      <c r="S5" s="122"/>
      <c r="T5" s="173"/>
      <c r="U5" s="173"/>
      <c r="V5" s="173"/>
      <c r="W5" s="173"/>
      <c r="X5" s="173"/>
      <c r="Y5" s="173"/>
      <c r="Z5" s="173"/>
    </row>
    <row r="6" spans="1:26" ht="15.75" customHeight="1" x14ac:dyDescent="0.2">
      <c r="A6" s="145" t="s">
        <v>25</v>
      </c>
      <c r="B6" s="119"/>
      <c r="C6" s="119"/>
      <c r="D6" s="119"/>
      <c r="E6" s="119"/>
      <c r="F6" s="146" t="s">
        <v>0</v>
      </c>
      <c r="G6" s="146" t="s">
        <v>1</v>
      </c>
      <c r="H6" s="146" t="s">
        <v>2</v>
      </c>
      <c r="I6" s="146"/>
      <c r="J6" s="146"/>
      <c r="L6" s="119"/>
      <c r="M6" s="119"/>
      <c r="N6" s="119"/>
      <c r="O6" s="119"/>
      <c r="P6" s="119"/>
      <c r="Q6" s="119"/>
      <c r="R6" s="119"/>
      <c r="S6" s="119"/>
      <c r="T6" s="158"/>
      <c r="U6" s="158"/>
      <c r="V6" s="158"/>
      <c r="W6" s="158"/>
      <c r="X6" s="158"/>
      <c r="Y6" s="158"/>
      <c r="Z6" s="158"/>
    </row>
    <row r="7" spans="1:26" ht="15.75" customHeight="1" x14ac:dyDescent="0.2">
      <c r="A7" s="122"/>
      <c r="B7" s="340" t="s">
        <v>3</v>
      </c>
      <c r="C7" s="405"/>
      <c r="D7" s="405"/>
      <c r="E7" s="405"/>
      <c r="F7" s="405"/>
      <c r="G7" s="405"/>
      <c r="H7" s="405"/>
      <c r="I7" s="122"/>
      <c r="J7" s="122"/>
      <c r="K7" s="122"/>
      <c r="L7" s="122"/>
      <c r="M7" s="122"/>
      <c r="N7" s="122"/>
      <c r="O7" s="122"/>
      <c r="P7" s="122"/>
      <c r="Q7" s="122"/>
      <c r="R7" s="122"/>
      <c r="S7" s="122"/>
      <c r="T7" s="173"/>
      <c r="U7" s="173"/>
      <c r="V7" s="173"/>
      <c r="W7" s="173"/>
      <c r="X7" s="173"/>
      <c r="Y7" s="173"/>
      <c r="Z7" s="173"/>
    </row>
    <row r="8" spans="1:26" ht="15.75" customHeight="1" x14ac:dyDescent="0.2">
      <c r="A8" s="122"/>
      <c r="B8" s="405"/>
      <c r="C8" s="395" t="s">
        <v>4</v>
      </c>
      <c r="D8" s="405"/>
      <c r="E8" s="405"/>
      <c r="F8" s="406">
        <v>7.9000000000000001E-2</v>
      </c>
      <c r="G8" s="405" t="s">
        <v>5</v>
      </c>
      <c r="H8" s="405" t="s">
        <v>6</v>
      </c>
      <c r="I8" s="122"/>
      <c r="J8" s="122"/>
      <c r="K8" s="122"/>
      <c r="L8" s="122"/>
      <c r="M8" s="122"/>
      <c r="N8" s="122"/>
      <c r="O8" s="122"/>
      <c r="P8" s="122"/>
      <c r="Q8" s="122"/>
      <c r="R8" s="122"/>
      <c r="S8" s="122"/>
      <c r="T8" s="173"/>
      <c r="U8" s="173"/>
      <c r="V8" s="173"/>
      <c r="W8" s="173"/>
      <c r="X8" s="173"/>
      <c r="Y8" s="173"/>
      <c r="Z8" s="173"/>
    </row>
    <row r="9" spans="1:26" ht="15.75" customHeight="1" x14ac:dyDescent="0.2">
      <c r="A9" s="122"/>
      <c r="B9" s="405"/>
      <c r="C9" s="395" t="s">
        <v>7</v>
      </c>
      <c r="D9" s="405"/>
      <c r="E9" s="405"/>
      <c r="F9" s="406">
        <v>2.5000000000000001E-2</v>
      </c>
      <c r="G9" s="405" t="s">
        <v>5</v>
      </c>
      <c r="H9" s="405"/>
      <c r="I9" s="122"/>
      <c r="J9" s="122"/>
      <c r="K9" s="122"/>
      <c r="L9" s="122"/>
      <c r="M9" s="122"/>
      <c r="N9" s="122"/>
      <c r="O9" s="122"/>
      <c r="P9" s="122"/>
      <c r="Q9" s="122"/>
      <c r="R9" s="122"/>
      <c r="S9" s="122"/>
      <c r="T9" s="173"/>
      <c r="U9" s="173"/>
      <c r="V9" s="173"/>
      <c r="W9" s="173"/>
      <c r="X9" s="173"/>
      <c r="Y9" s="173"/>
      <c r="Z9" s="173"/>
    </row>
    <row r="10" spans="1:26" ht="15.75" customHeight="1" x14ac:dyDescent="0.2">
      <c r="A10" s="122"/>
      <c r="B10" s="405"/>
      <c r="C10" s="395" t="s">
        <v>8</v>
      </c>
      <c r="D10" s="405"/>
      <c r="E10" s="405"/>
      <c r="F10" s="407">
        <v>157.54</v>
      </c>
      <c r="G10" s="405" t="s">
        <v>9</v>
      </c>
      <c r="H10" s="405" t="s">
        <v>10</v>
      </c>
      <c r="I10" s="122"/>
      <c r="J10" s="122"/>
      <c r="K10" s="122"/>
      <c r="L10" s="122"/>
      <c r="M10" s="122"/>
      <c r="N10" s="122"/>
      <c r="O10" s="122"/>
      <c r="P10" s="122"/>
      <c r="Q10" s="122"/>
      <c r="R10" s="122"/>
      <c r="S10" s="122"/>
      <c r="T10" s="173"/>
      <c r="U10" s="173"/>
      <c r="V10" s="173"/>
      <c r="W10" s="173"/>
      <c r="X10" s="173"/>
      <c r="Y10" s="173"/>
      <c r="Z10" s="173"/>
    </row>
    <row r="11" spans="1:26" ht="15.75" customHeight="1" x14ac:dyDescent="0.2">
      <c r="A11" s="122"/>
      <c r="B11" s="405"/>
      <c r="C11" s="395" t="s">
        <v>11</v>
      </c>
      <c r="D11" s="405"/>
      <c r="E11" s="405"/>
      <c r="F11" s="408">
        <v>0</v>
      </c>
      <c r="G11" s="405" t="s">
        <v>5</v>
      </c>
      <c r="H11" s="405" t="s">
        <v>12</v>
      </c>
      <c r="I11" s="122"/>
      <c r="J11" s="122"/>
      <c r="K11" s="122"/>
      <c r="L11" s="122"/>
      <c r="M11" s="122"/>
      <c r="N11" s="122"/>
      <c r="O11" s="122"/>
      <c r="P11" s="122"/>
      <c r="Q11" s="122"/>
      <c r="R11" s="122"/>
      <c r="S11" s="122"/>
      <c r="T11" s="173"/>
      <c r="U11" s="173"/>
      <c r="V11" s="173"/>
      <c r="W11" s="173"/>
      <c r="X11" s="173"/>
      <c r="Y11" s="173"/>
      <c r="Z11" s="173"/>
    </row>
    <row r="12" spans="1:26" ht="15.75" customHeight="1" x14ac:dyDescent="0.2">
      <c r="A12" s="122"/>
      <c r="B12" s="405"/>
      <c r="C12" s="395" t="s">
        <v>13</v>
      </c>
      <c r="D12" s="405"/>
      <c r="E12" s="405"/>
      <c r="F12" s="406">
        <v>0.10199999999999999</v>
      </c>
      <c r="G12" s="405" t="s">
        <v>5</v>
      </c>
      <c r="H12" s="405" t="s">
        <v>14</v>
      </c>
      <c r="I12" s="122"/>
      <c r="J12" s="122"/>
      <c r="K12" s="122"/>
      <c r="L12" s="122"/>
      <c r="M12" s="122"/>
      <c r="N12" s="122"/>
      <c r="O12" s="122"/>
      <c r="P12" s="122"/>
      <c r="Q12" s="122"/>
      <c r="R12" s="122"/>
      <c r="S12" s="122"/>
      <c r="T12" s="173"/>
      <c r="U12" s="173"/>
      <c r="V12" s="173"/>
      <c r="W12" s="173"/>
      <c r="X12" s="173"/>
      <c r="Y12" s="173"/>
      <c r="Z12" s="173"/>
    </row>
    <row r="13" spans="1:26" ht="15.75" customHeight="1" x14ac:dyDescent="0.2">
      <c r="A13" s="122"/>
      <c r="B13" s="405"/>
      <c r="C13" s="395" t="s">
        <v>15</v>
      </c>
      <c r="D13" s="405"/>
      <c r="E13" s="405"/>
      <c r="F13" s="409">
        <v>173.60908000000001</v>
      </c>
      <c r="G13" s="405" t="s">
        <v>9</v>
      </c>
      <c r="H13" s="405"/>
      <c r="I13" s="122"/>
      <c r="J13" s="122"/>
      <c r="K13" s="122"/>
      <c r="L13" s="122"/>
      <c r="M13" s="122"/>
      <c r="N13" s="122"/>
      <c r="O13" s="122"/>
      <c r="P13" s="122"/>
      <c r="Q13" s="122"/>
      <c r="R13" s="122"/>
      <c r="S13" s="122"/>
      <c r="T13" s="173"/>
      <c r="U13" s="173"/>
      <c r="V13" s="173"/>
      <c r="W13" s="173"/>
      <c r="X13" s="173"/>
      <c r="Y13" s="173"/>
      <c r="Z13" s="173"/>
    </row>
    <row r="14" spans="1:26" ht="15.75" customHeight="1" x14ac:dyDescent="0.2">
      <c r="A14" s="122"/>
      <c r="B14" s="405"/>
      <c r="C14" s="395" t="s">
        <v>16</v>
      </c>
      <c r="D14" s="405"/>
      <c r="E14" s="405"/>
      <c r="F14" s="406">
        <v>8.4000000000000005E-2</v>
      </c>
      <c r="G14" s="405" t="s">
        <v>5</v>
      </c>
      <c r="H14" s="405" t="s">
        <v>1073</v>
      </c>
      <c r="I14" s="122"/>
      <c r="J14" s="122"/>
      <c r="K14" s="122"/>
      <c r="L14" s="122"/>
      <c r="M14" s="122"/>
      <c r="N14" s="122"/>
      <c r="O14" s="122"/>
      <c r="P14" s="122"/>
      <c r="Q14" s="122"/>
      <c r="R14" s="122"/>
      <c r="S14" s="122"/>
      <c r="T14" s="173"/>
      <c r="U14" s="173"/>
      <c r="V14" s="173"/>
      <c r="W14" s="173"/>
      <c r="X14" s="173"/>
      <c r="Y14" s="173"/>
      <c r="Z14" s="173"/>
    </row>
    <row r="15" spans="1:26" ht="15.75" customHeight="1" x14ac:dyDescent="0.2">
      <c r="A15" s="122"/>
      <c r="B15" s="405"/>
      <c r="C15" s="395" t="s">
        <v>17</v>
      </c>
      <c r="D15" s="405"/>
      <c r="E15" s="405"/>
      <c r="F15" s="406">
        <v>0.23977099999999996</v>
      </c>
      <c r="G15" s="405" t="s">
        <v>5</v>
      </c>
      <c r="H15" s="405"/>
      <c r="I15" s="122"/>
      <c r="J15" s="122"/>
      <c r="K15" s="122"/>
      <c r="L15" s="122"/>
      <c r="M15" s="122"/>
      <c r="N15" s="122"/>
      <c r="O15" s="122"/>
      <c r="P15" s="122"/>
      <c r="Q15" s="122"/>
      <c r="R15" s="122"/>
      <c r="S15" s="122"/>
      <c r="T15" s="173"/>
      <c r="U15" s="173"/>
      <c r="V15" s="173"/>
      <c r="W15" s="173"/>
      <c r="X15" s="173"/>
      <c r="Y15" s="173"/>
      <c r="Z15" s="173"/>
    </row>
    <row r="16" spans="1:26" ht="15.75" customHeight="1" x14ac:dyDescent="0.2">
      <c r="A16" s="122"/>
      <c r="B16" s="405"/>
      <c r="C16" s="395" t="s">
        <v>18</v>
      </c>
      <c r="D16" s="405"/>
      <c r="E16" s="405"/>
      <c r="F16" s="406">
        <v>0.14899999999999999</v>
      </c>
      <c r="G16" s="405" t="s">
        <v>5</v>
      </c>
      <c r="H16" s="405" t="s">
        <v>19</v>
      </c>
      <c r="I16" s="122"/>
      <c r="J16" s="122"/>
      <c r="K16" s="122"/>
      <c r="L16" s="122"/>
      <c r="M16" s="122"/>
      <c r="N16" s="122"/>
      <c r="O16" s="122"/>
      <c r="P16" s="122"/>
      <c r="Q16" s="122"/>
      <c r="R16" s="122"/>
      <c r="S16" s="122"/>
      <c r="T16" s="173"/>
      <c r="U16" s="173"/>
      <c r="V16" s="173"/>
      <c r="W16" s="173"/>
      <c r="X16" s="173"/>
      <c r="Y16" s="173"/>
      <c r="Z16" s="173"/>
    </row>
    <row r="17" spans="1:30" ht="15.75" customHeight="1" x14ac:dyDescent="0.2">
      <c r="A17" s="122"/>
      <c r="B17" s="405"/>
      <c r="C17" s="395" t="s">
        <v>984</v>
      </c>
      <c r="D17" s="405"/>
      <c r="E17" s="405"/>
      <c r="F17" s="406">
        <v>0.5</v>
      </c>
      <c r="G17" s="405" t="s">
        <v>5</v>
      </c>
      <c r="H17" s="405" t="s">
        <v>985</v>
      </c>
      <c r="I17" s="122"/>
      <c r="J17" s="122"/>
      <c r="K17" s="122"/>
      <c r="L17" s="122"/>
      <c r="M17" s="122"/>
      <c r="N17" s="122"/>
      <c r="O17" s="122"/>
      <c r="P17" s="122"/>
      <c r="Q17" s="122"/>
      <c r="R17" s="122"/>
      <c r="S17" s="122"/>
      <c r="T17" s="173"/>
      <c r="U17" s="173"/>
      <c r="V17" s="173"/>
      <c r="W17" s="173"/>
      <c r="X17" s="173"/>
      <c r="Y17" s="173"/>
      <c r="Z17" s="173"/>
    </row>
    <row r="18" spans="1:30" ht="15.75" customHeight="1" x14ac:dyDescent="0.2">
      <c r="A18" s="122"/>
      <c r="B18" s="410"/>
      <c r="C18" s="411"/>
      <c r="D18" s="412"/>
      <c r="E18" s="412"/>
      <c r="F18" s="412"/>
      <c r="G18" s="412"/>
      <c r="H18" s="412"/>
      <c r="I18" s="122"/>
      <c r="J18" s="122"/>
      <c r="K18" s="122"/>
      <c r="L18" s="122"/>
      <c r="M18" s="122"/>
      <c r="N18" s="122"/>
      <c r="O18" s="122"/>
      <c r="P18" s="122"/>
      <c r="Q18" s="122"/>
      <c r="R18" s="122"/>
      <c r="S18" s="122"/>
      <c r="T18" s="173"/>
      <c r="U18" s="173"/>
      <c r="V18" s="173"/>
      <c r="W18" s="173"/>
      <c r="X18" s="173"/>
      <c r="Y18" s="173"/>
      <c r="Z18" s="173"/>
    </row>
    <row r="19" spans="1:30" ht="15.75" customHeight="1" x14ac:dyDescent="0.2">
      <c r="A19" s="122"/>
      <c r="B19" s="340" t="s">
        <v>20</v>
      </c>
      <c r="C19" s="395"/>
      <c r="D19" s="405"/>
      <c r="E19" s="405"/>
      <c r="F19" s="405"/>
      <c r="G19" s="405"/>
      <c r="H19" s="405"/>
      <c r="I19" s="122"/>
      <c r="J19" s="122"/>
      <c r="K19" s="122"/>
      <c r="L19" s="122"/>
      <c r="M19" s="122"/>
      <c r="N19" s="122"/>
      <c r="O19" s="122"/>
      <c r="P19" s="122"/>
      <c r="Q19" s="122"/>
      <c r="R19" s="122"/>
      <c r="S19" s="122"/>
      <c r="T19" s="173"/>
      <c r="U19" s="173"/>
      <c r="V19" s="173"/>
      <c r="W19" s="173"/>
      <c r="X19" s="173"/>
      <c r="Y19" s="173"/>
      <c r="Z19" s="173"/>
    </row>
    <row r="20" spans="1:30" ht="15.75" customHeight="1" x14ac:dyDescent="0.2">
      <c r="A20" s="122"/>
      <c r="B20" s="405"/>
      <c r="C20" s="395" t="s">
        <v>21</v>
      </c>
      <c r="D20" s="405"/>
      <c r="E20" s="405"/>
      <c r="F20" s="406">
        <v>0.16800000000000001</v>
      </c>
      <c r="G20" s="395" t="s">
        <v>5</v>
      </c>
      <c r="H20" s="405" t="s">
        <v>22</v>
      </c>
      <c r="I20" s="122"/>
      <c r="J20" s="122"/>
      <c r="K20" s="122"/>
      <c r="L20" s="122"/>
      <c r="M20" s="122"/>
      <c r="N20" s="122"/>
      <c r="O20" s="122"/>
      <c r="P20" s="122"/>
      <c r="Q20" s="122"/>
      <c r="R20" s="122"/>
      <c r="S20" s="122"/>
      <c r="T20" s="173"/>
      <c r="U20" s="173"/>
      <c r="V20" s="173"/>
      <c r="W20" s="173"/>
      <c r="X20" s="173"/>
      <c r="Y20" s="173"/>
      <c r="Z20" s="173"/>
    </row>
    <row r="21" spans="1:30" ht="15.75" customHeight="1" x14ac:dyDescent="0.2">
      <c r="A21" s="122"/>
      <c r="B21" s="405"/>
      <c r="C21" s="395" t="s">
        <v>23</v>
      </c>
      <c r="D21" s="405"/>
      <c r="E21" s="405"/>
      <c r="F21" s="413">
        <v>0.12</v>
      </c>
      <c r="G21" s="395" t="s">
        <v>5</v>
      </c>
      <c r="H21" s="405"/>
      <c r="I21" s="122"/>
      <c r="J21" s="122"/>
      <c r="K21" s="122"/>
      <c r="L21" s="122"/>
      <c r="M21" s="122"/>
      <c r="N21" s="122"/>
      <c r="O21" s="122"/>
      <c r="P21" s="122"/>
      <c r="Q21" s="122"/>
      <c r="R21" s="122"/>
      <c r="S21" s="122"/>
      <c r="T21" s="173"/>
      <c r="U21" s="173"/>
      <c r="V21" s="173"/>
      <c r="W21" s="173"/>
      <c r="X21" s="173"/>
      <c r="Y21" s="173"/>
      <c r="Z21" s="173"/>
    </row>
    <row r="22" spans="1:30" ht="15.75" customHeight="1" x14ac:dyDescent="0.2">
      <c r="A22" s="122"/>
      <c r="B22" s="412"/>
      <c r="C22" s="412"/>
      <c r="D22" s="412"/>
      <c r="E22" s="412"/>
      <c r="F22" s="412"/>
      <c r="G22" s="412"/>
      <c r="H22" s="412"/>
      <c r="I22" s="122"/>
      <c r="J22" s="122"/>
      <c r="K22" s="122"/>
      <c r="L22" s="122"/>
      <c r="M22" s="122"/>
      <c r="N22" s="122"/>
      <c r="O22" s="122"/>
      <c r="P22" s="122"/>
      <c r="Q22" s="122"/>
      <c r="R22" s="122"/>
      <c r="S22" s="122"/>
      <c r="T22" s="173"/>
      <c r="U22" s="173"/>
      <c r="V22" s="173"/>
      <c r="W22" s="173"/>
      <c r="X22" s="173"/>
      <c r="Y22" s="173"/>
      <c r="Z22" s="173"/>
    </row>
    <row r="23" spans="1:30" ht="15.75" customHeight="1" x14ac:dyDescent="0.2">
      <c r="A23" s="750"/>
      <c r="B23" s="750"/>
      <c r="C23" s="750"/>
      <c r="D23" s="750"/>
      <c r="E23" s="750"/>
      <c r="F23" s="760" t="s">
        <v>44</v>
      </c>
      <c r="G23" s="761"/>
      <c r="H23" s="754"/>
      <c r="I23" s="760" t="s">
        <v>427</v>
      </c>
      <c r="J23" s="761"/>
      <c r="K23" s="761"/>
      <c r="L23" s="761"/>
      <c r="M23" s="761"/>
      <c r="N23" s="750"/>
      <c r="O23" s="750"/>
      <c r="P23" s="750"/>
      <c r="Q23" s="750"/>
      <c r="R23" s="750"/>
      <c r="S23" s="750"/>
      <c r="T23" s="750"/>
      <c r="U23" s="750"/>
      <c r="V23" s="750"/>
    </row>
    <row r="24" spans="1:30" ht="15.75" customHeight="1" x14ac:dyDescent="0.2">
      <c r="A24" s="122"/>
      <c r="B24" s="412"/>
      <c r="C24" s="412"/>
      <c r="D24" s="412"/>
      <c r="E24" s="412"/>
      <c r="F24" s="432"/>
      <c r="G24" s="432"/>
      <c r="H24" s="432"/>
      <c r="I24" s="432"/>
      <c r="J24" s="575" t="s">
        <v>434</v>
      </c>
      <c r="K24" s="576"/>
      <c r="L24" s="576"/>
      <c r="M24" s="577"/>
      <c r="N24" s="122"/>
      <c r="O24" s="122"/>
      <c r="P24" s="122"/>
      <c r="Q24" s="122"/>
      <c r="R24" s="122"/>
      <c r="S24" s="122"/>
      <c r="T24" s="122"/>
      <c r="U24" s="122"/>
      <c r="V24" s="122"/>
      <c r="W24" s="122"/>
      <c r="X24" s="173"/>
      <c r="Y24" s="173"/>
      <c r="Z24" s="173"/>
      <c r="AA24" s="173"/>
      <c r="AB24" s="173"/>
      <c r="AC24" s="173"/>
      <c r="AD24" s="173"/>
    </row>
    <row r="25" spans="1:30" ht="12.75" x14ac:dyDescent="0.2">
      <c r="A25" s="122"/>
      <c r="B25" s="410"/>
      <c r="C25" s="412"/>
      <c r="D25" s="412"/>
      <c r="E25" s="412"/>
      <c r="F25" s="432"/>
      <c r="G25" s="432"/>
      <c r="H25" s="432"/>
      <c r="I25" s="432"/>
      <c r="J25" s="414" t="s">
        <v>0</v>
      </c>
      <c r="K25" s="415" t="s">
        <v>1</v>
      </c>
      <c r="L25" s="415" t="s">
        <v>2</v>
      </c>
      <c r="M25" s="146"/>
      <c r="N25" s="122"/>
      <c r="O25" s="122"/>
      <c r="P25" s="122"/>
      <c r="Q25" s="122"/>
      <c r="R25" s="122"/>
      <c r="S25" s="122"/>
      <c r="T25" s="122"/>
      <c r="U25" s="122"/>
      <c r="V25" s="122"/>
      <c r="W25" s="122"/>
      <c r="X25" s="173"/>
    </row>
    <row r="26" spans="1:30" ht="15.75" customHeight="1" x14ac:dyDescent="0.2">
      <c r="A26" s="122"/>
      <c r="B26" s="340" t="s">
        <v>46</v>
      </c>
      <c r="C26" s="405"/>
      <c r="D26" s="405"/>
      <c r="E26" s="405"/>
      <c r="F26" s="405"/>
      <c r="G26" s="405"/>
      <c r="H26" s="405"/>
      <c r="I26" s="405"/>
      <c r="J26" s="405"/>
      <c r="K26" s="405"/>
      <c r="L26" s="405"/>
      <c r="M26" s="119"/>
      <c r="N26" s="122"/>
      <c r="O26" s="122"/>
      <c r="P26" s="122"/>
      <c r="Q26" s="122"/>
      <c r="R26" s="122"/>
      <c r="S26" s="122"/>
      <c r="T26" s="122"/>
      <c r="U26" s="122"/>
      <c r="V26" s="122"/>
      <c r="W26" s="122"/>
      <c r="X26" s="173"/>
    </row>
    <row r="27" spans="1:30" ht="15.75" customHeight="1" x14ac:dyDescent="0.2">
      <c r="A27" s="122"/>
      <c r="B27" s="405"/>
      <c r="C27" s="395" t="s">
        <v>435</v>
      </c>
      <c r="D27" s="405"/>
      <c r="E27" s="405"/>
      <c r="F27" s="407">
        <v>2</v>
      </c>
      <c r="G27" s="405"/>
      <c r="H27" s="405"/>
      <c r="I27" s="405"/>
      <c r="J27" s="416">
        <v>2</v>
      </c>
      <c r="K27" s="395" t="s">
        <v>817</v>
      </c>
      <c r="L27" s="395" t="s">
        <v>436</v>
      </c>
      <c r="M27" s="151" t="s">
        <v>50</v>
      </c>
      <c r="N27" s="122"/>
      <c r="O27" s="122"/>
      <c r="P27" s="122"/>
      <c r="Q27" s="122"/>
      <c r="R27" s="122"/>
      <c r="S27" s="122"/>
      <c r="T27" s="122"/>
      <c r="U27" s="122"/>
      <c r="V27" s="122"/>
      <c r="W27" s="122"/>
      <c r="X27" s="173"/>
    </row>
    <row r="28" spans="1:30" ht="15.75" customHeight="1" x14ac:dyDescent="0.2">
      <c r="A28" s="122"/>
      <c r="B28" s="405"/>
      <c r="C28" s="395" t="s">
        <v>816</v>
      </c>
      <c r="D28" s="405"/>
      <c r="E28" s="405"/>
      <c r="F28" s="407">
        <v>0</v>
      </c>
      <c r="G28" s="405"/>
      <c r="H28" s="405"/>
      <c r="I28" s="405"/>
      <c r="J28" s="416">
        <v>0</v>
      </c>
      <c r="K28" s="395" t="s">
        <v>817</v>
      </c>
      <c r="L28" s="395" t="s">
        <v>818</v>
      </c>
      <c r="M28" s="151"/>
      <c r="N28" s="122"/>
      <c r="O28" s="122"/>
      <c r="P28" s="122"/>
      <c r="Q28" s="122"/>
      <c r="R28" s="122"/>
      <c r="S28" s="122"/>
      <c r="T28" s="122"/>
      <c r="U28" s="122"/>
      <c r="V28" s="122"/>
      <c r="W28" s="122"/>
      <c r="X28" s="173"/>
    </row>
    <row r="29" spans="1:30" ht="15.75" customHeight="1" x14ac:dyDescent="0.2">
      <c r="A29" s="122"/>
      <c r="B29" s="405"/>
      <c r="C29" s="395" t="s">
        <v>51</v>
      </c>
      <c r="D29" s="405"/>
      <c r="E29" s="405"/>
      <c r="F29" s="407">
        <v>0</v>
      </c>
      <c r="G29" s="405"/>
      <c r="H29" s="405"/>
      <c r="I29" s="405"/>
      <c r="J29" s="417">
        <v>0</v>
      </c>
      <c r="K29" s="395" t="s">
        <v>437</v>
      </c>
      <c r="L29" s="395"/>
      <c r="M29" s="151" t="s">
        <v>50</v>
      </c>
      <c r="N29" s="122"/>
      <c r="O29" s="122"/>
      <c r="P29" s="122"/>
      <c r="Q29" s="122"/>
      <c r="R29" s="122"/>
      <c r="S29" s="122"/>
      <c r="T29" s="122"/>
      <c r="U29" s="122"/>
      <c r="V29" s="122"/>
      <c r="W29" s="122"/>
      <c r="X29" s="173"/>
    </row>
    <row r="30" spans="1:30" ht="15.75" customHeight="1" x14ac:dyDescent="0.2">
      <c r="A30" s="122"/>
      <c r="B30" s="405"/>
      <c r="C30" s="395" t="s">
        <v>53</v>
      </c>
      <c r="D30" s="405"/>
      <c r="E30" s="405"/>
      <c r="F30" s="503">
        <f>J30</f>
        <v>6.7</v>
      </c>
      <c r="G30" s="405"/>
      <c r="H30" s="405"/>
      <c r="I30" s="405"/>
      <c r="J30" s="407">
        <v>6.7</v>
      </c>
      <c r="K30" s="395" t="s">
        <v>54</v>
      </c>
      <c r="L30" s="395" t="s">
        <v>358</v>
      </c>
      <c r="M30" s="151" t="s">
        <v>50</v>
      </c>
      <c r="N30" s="122"/>
      <c r="O30" s="122"/>
      <c r="P30" s="122"/>
      <c r="Q30" s="122"/>
      <c r="R30" s="122"/>
      <c r="S30" s="122"/>
      <c r="T30" s="122"/>
      <c r="U30" s="122"/>
      <c r="V30" s="122"/>
      <c r="W30" s="122"/>
      <c r="X30" s="173"/>
    </row>
    <row r="31" spans="1:30" ht="15.75" customHeight="1" x14ac:dyDescent="0.2">
      <c r="A31" s="122"/>
      <c r="B31" s="405"/>
      <c r="C31" s="395" t="s">
        <v>438</v>
      </c>
      <c r="D31" s="405"/>
      <c r="E31" s="405"/>
      <c r="F31" s="503">
        <f>J31</f>
        <v>309.36</v>
      </c>
      <c r="G31" s="405"/>
      <c r="H31" s="405"/>
      <c r="I31" s="405"/>
      <c r="J31" s="417">
        <v>309.36</v>
      </c>
      <c r="K31" s="395" t="s">
        <v>57</v>
      </c>
      <c r="L31" s="405" t="s">
        <v>357</v>
      </c>
      <c r="M31" s="151" t="s">
        <v>50</v>
      </c>
      <c r="N31" s="122"/>
      <c r="O31" s="122"/>
      <c r="P31" s="122"/>
      <c r="Q31" s="122"/>
      <c r="R31" s="122"/>
      <c r="S31" s="122"/>
      <c r="T31" s="122"/>
      <c r="U31" s="122"/>
      <c r="V31" s="122"/>
      <c r="W31" s="122"/>
      <c r="X31" s="173"/>
    </row>
    <row r="32" spans="1:30" ht="15.75" customHeight="1" x14ac:dyDescent="0.2">
      <c r="A32" s="122"/>
      <c r="B32" s="412"/>
      <c r="C32" s="412"/>
      <c r="D32" s="412"/>
      <c r="E32" s="412"/>
      <c r="F32" s="412"/>
      <c r="G32" s="412"/>
      <c r="H32" s="412"/>
      <c r="I32" s="412"/>
      <c r="J32" s="412"/>
      <c r="K32" s="412"/>
      <c r="L32" s="412"/>
      <c r="M32" s="122"/>
      <c r="N32" s="122"/>
      <c r="O32" s="122"/>
      <c r="P32" s="122"/>
      <c r="Q32" s="122"/>
      <c r="R32" s="122"/>
      <c r="S32" s="122"/>
      <c r="T32" s="122"/>
      <c r="U32" s="122"/>
      <c r="V32" s="122"/>
      <c r="W32" s="122"/>
      <c r="X32" s="173"/>
    </row>
    <row r="33" spans="1:24" ht="15.75" customHeight="1" x14ac:dyDescent="0.2">
      <c r="A33" s="122"/>
      <c r="B33" s="340" t="s">
        <v>439</v>
      </c>
      <c r="C33" s="405"/>
      <c r="D33" s="405"/>
      <c r="E33" s="405"/>
      <c r="F33" s="405"/>
      <c r="G33" s="405"/>
      <c r="H33" s="405"/>
      <c r="I33" s="405"/>
      <c r="J33" s="405"/>
      <c r="K33" s="405"/>
      <c r="L33" s="405"/>
      <c r="M33" s="151" t="s">
        <v>50</v>
      </c>
      <c r="N33" s="122"/>
      <c r="O33" s="122"/>
      <c r="P33" s="122"/>
      <c r="Q33" s="122"/>
      <c r="R33" s="122"/>
      <c r="S33" s="122"/>
      <c r="T33" s="122"/>
      <c r="U33" s="122"/>
      <c r="V33" s="122"/>
      <c r="W33" s="122"/>
      <c r="X33" s="173"/>
    </row>
    <row r="34" spans="1:24" ht="15.75" customHeight="1" x14ac:dyDescent="0.2">
      <c r="A34" s="122"/>
      <c r="B34" s="405"/>
      <c r="C34" s="395" t="s">
        <v>440</v>
      </c>
      <c r="D34" s="405"/>
      <c r="E34" s="405"/>
      <c r="F34" s="876">
        <f>0.6*0.8*4400/1000</f>
        <v>2.1120000000000001</v>
      </c>
      <c r="G34" s="405"/>
      <c r="H34" s="405"/>
      <c r="I34" s="405"/>
      <c r="J34" s="418">
        <v>2.4</v>
      </c>
      <c r="K34" s="395" t="s">
        <v>815</v>
      </c>
      <c r="L34" s="395" t="s">
        <v>738</v>
      </c>
      <c r="M34" s="151" t="s">
        <v>50</v>
      </c>
      <c r="N34" s="122"/>
      <c r="O34" s="122"/>
      <c r="P34" s="122"/>
      <c r="Q34" s="122"/>
      <c r="R34" s="122"/>
      <c r="S34" s="122"/>
      <c r="T34" s="122"/>
      <c r="U34" s="122"/>
      <c r="V34" s="122"/>
      <c r="W34" s="122"/>
      <c r="X34" s="173"/>
    </row>
    <row r="35" spans="1:24" ht="15.75" customHeight="1" x14ac:dyDescent="0.2">
      <c r="A35" s="122"/>
      <c r="B35" s="405"/>
      <c r="C35" s="395" t="s">
        <v>441</v>
      </c>
      <c r="D35" s="405"/>
      <c r="E35" s="405"/>
      <c r="F35" s="407">
        <v>2.5</v>
      </c>
      <c r="G35" s="405"/>
      <c r="H35" s="405"/>
      <c r="I35" s="405"/>
      <c r="J35" s="418">
        <v>4.5</v>
      </c>
      <c r="K35" s="395" t="s">
        <v>815</v>
      </c>
      <c r="L35" s="395"/>
      <c r="M35" s="151" t="s">
        <v>50</v>
      </c>
      <c r="N35" s="122"/>
      <c r="O35" s="122"/>
      <c r="P35" s="122"/>
      <c r="Q35" s="122"/>
      <c r="R35" s="122"/>
      <c r="S35" s="122"/>
      <c r="T35" s="122"/>
      <c r="U35" s="122"/>
      <c r="V35" s="122"/>
      <c r="W35" s="122"/>
      <c r="X35" s="173"/>
    </row>
    <row r="36" spans="1:24" ht="15.75" customHeight="1" x14ac:dyDescent="0.2">
      <c r="A36" s="122"/>
      <c r="B36" s="405"/>
      <c r="C36" s="395" t="s">
        <v>442</v>
      </c>
      <c r="D36" s="405"/>
      <c r="E36" s="405"/>
      <c r="F36" s="877">
        <v>0.02</v>
      </c>
      <c r="G36" s="405"/>
      <c r="H36" s="405"/>
      <c r="I36" s="405"/>
      <c r="J36" s="419">
        <v>0.02</v>
      </c>
      <c r="K36" s="395"/>
      <c r="L36" s="395" t="s">
        <v>12</v>
      </c>
      <c r="M36" s="151" t="s">
        <v>50</v>
      </c>
      <c r="N36" s="122"/>
      <c r="O36" s="122"/>
      <c r="P36" s="122"/>
      <c r="Q36" s="122"/>
      <c r="R36" s="122"/>
      <c r="S36" s="122"/>
      <c r="T36" s="122"/>
      <c r="U36" s="122"/>
      <c r="V36" s="122"/>
      <c r="W36" s="122"/>
      <c r="X36" s="173"/>
    </row>
    <row r="37" spans="1:24" ht="15.75" customHeight="1" x14ac:dyDescent="0.2">
      <c r="A37" s="122"/>
      <c r="B37" s="405"/>
      <c r="C37" s="391" t="s">
        <v>73</v>
      </c>
      <c r="D37" s="405"/>
      <c r="E37" s="405"/>
      <c r="F37" s="877">
        <v>0.25</v>
      </c>
      <c r="G37" s="405"/>
      <c r="H37" s="405"/>
      <c r="I37" s="405"/>
      <c r="J37" s="420">
        <v>0.2</v>
      </c>
      <c r="K37" s="395" t="s">
        <v>69</v>
      </c>
      <c r="L37" s="391" t="s">
        <v>443</v>
      </c>
      <c r="M37" s="151" t="s">
        <v>50</v>
      </c>
      <c r="N37" s="122"/>
      <c r="O37" s="122"/>
      <c r="P37" s="122"/>
      <c r="Q37" s="122"/>
      <c r="R37" s="122"/>
      <c r="S37" s="122"/>
      <c r="T37" s="122"/>
      <c r="U37" s="122"/>
      <c r="V37" s="122"/>
      <c r="W37" s="122"/>
      <c r="X37" s="173"/>
    </row>
    <row r="38" spans="1:24" ht="15.75" customHeight="1" x14ac:dyDescent="0.2">
      <c r="A38" s="122"/>
      <c r="B38" s="405"/>
      <c r="C38" s="391" t="s">
        <v>444</v>
      </c>
      <c r="D38" s="405"/>
      <c r="E38" s="405"/>
      <c r="F38" s="407">
        <v>1.4</v>
      </c>
      <c r="G38" s="405"/>
      <c r="H38" s="405"/>
      <c r="I38" s="405"/>
      <c r="J38" s="418">
        <v>1.2</v>
      </c>
      <c r="K38" s="395"/>
      <c r="L38" s="395" t="s">
        <v>445</v>
      </c>
      <c r="M38" s="151"/>
      <c r="N38" s="122"/>
      <c r="O38" s="122"/>
      <c r="P38" s="122"/>
      <c r="Q38" s="122"/>
      <c r="R38" s="122"/>
      <c r="S38" s="122"/>
      <c r="T38" s="122"/>
      <c r="U38" s="122"/>
      <c r="V38" s="122"/>
      <c r="W38" s="122"/>
      <c r="X38" s="173"/>
    </row>
    <row r="39" spans="1:24" ht="15.75" customHeight="1" x14ac:dyDescent="0.2">
      <c r="A39" s="122"/>
      <c r="B39" s="405"/>
      <c r="C39" s="391" t="s">
        <v>446</v>
      </c>
      <c r="D39" s="405"/>
      <c r="E39" s="405"/>
      <c r="F39" s="407">
        <v>2</v>
      </c>
      <c r="G39" s="405"/>
      <c r="H39" s="405"/>
      <c r="I39" s="405"/>
      <c r="J39" s="421">
        <v>2</v>
      </c>
      <c r="K39" s="395"/>
      <c r="L39" s="395"/>
      <c r="M39" s="151"/>
      <c r="N39" s="122"/>
      <c r="O39" s="122"/>
      <c r="P39" s="122"/>
      <c r="Q39" s="122"/>
      <c r="R39" s="122"/>
      <c r="S39" s="122"/>
      <c r="T39" s="122"/>
      <c r="U39" s="122"/>
      <c r="V39" s="122"/>
      <c r="W39" s="122"/>
      <c r="X39" s="173"/>
    </row>
    <row r="40" spans="1:24" ht="15.75" customHeight="1" x14ac:dyDescent="0.2">
      <c r="A40" s="122"/>
      <c r="B40" s="412"/>
      <c r="C40" s="411"/>
      <c r="D40" s="412"/>
      <c r="E40" s="412"/>
      <c r="F40" s="412"/>
      <c r="G40" s="412"/>
      <c r="H40" s="412"/>
      <c r="I40" s="412"/>
      <c r="J40" s="412"/>
      <c r="K40" s="412"/>
      <c r="L40" s="412"/>
      <c r="M40" s="122"/>
      <c r="N40" s="122"/>
      <c r="O40" s="122"/>
      <c r="P40" s="412"/>
      <c r="Q40" s="412"/>
      <c r="R40" s="122"/>
      <c r="S40" s="122"/>
      <c r="T40" s="122"/>
      <c r="U40" s="122"/>
      <c r="V40" s="122"/>
      <c r="W40" s="122"/>
      <c r="X40" s="173"/>
    </row>
    <row r="41" spans="1:24" ht="15.75" customHeight="1" x14ac:dyDescent="0.2">
      <c r="A41" s="122"/>
      <c r="B41" s="340" t="s">
        <v>76</v>
      </c>
      <c r="C41" s="395"/>
      <c r="D41" s="405"/>
      <c r="E41" s="405"/>
      <c r="F41" s="405"/>
      <c r="G41" s="405"/>
      <c r="H41" s="405"/>
      <c r="I41" s="405"/>
      <c r="J41" s="422"/>
      <c r="K41" s="405"/>
      <c r="L41" s="405"/>
      <c r="M41" s="151" t="s">
        <v>50</v>
      </c>
      <c r="N41" s="122"/>
      <c r="O41" s="779"/>
      <c r="P41" s="122"/>
      <c r="Q41" s="122"/>
      <c r="R41" s="122"/>
      <c r="S41" s="122"/>
      <c r="T41" s="122"/>
      <c r="U41" s="122"/>
      <c r="V41" s="122"/>
      <c r="W41" s="122"/>
      <c r="X41" s="173"/>
    </row>
    <row r="42" spans="1:24" ht="15.75" customHeight="1" x14ac:dyDescent="0.2">
      <c r="A42" s="122"/>
      <c r="B42" s="405"/>
      <c r="C42" s="395" t="s">
        <v>447</v>
      </c>
      <c r="D42" s="405"/>
      <c r="E42" s="405"/>
      <c r="F42" s="503">
        <f>J42</f>
        <v>4.5999999999999996</v>
      </c>
      <c r="G42" s="405"/>
      <c r="H42" s="405"/>
      <c r="I42" s="405"/>
      <c r="J42" s="423">
        <v>4.5999999999999996</v>
      </c>
      <c r="K42" s="395" t="s">
        <v>819</v>
      </c>
      <c r="L42" s="405" t="s">
        <v>357</v>
      </c>
      <c r="M42" s="151" t="s">
        <v>50</v>
      </c>
      <c r="N42" s="122"/>
      <c r="O42" s="122"/>
      <c r="P42" s="412"/>
      <c r="Q42" s="412"/>
      <c r="R42" s="122"/>
      <c r="S42" s="122"/>
      <c r="T42" s="122"/>
      <c r="U42" s="122"/>
      <c r="V42" s="122"/>
      <c r="W42" s="122"/>
      <c r="X42" s="173"/>
    </row>
    <row r="43" spans="1:24" ht="15.75" customHeight="1" x14ac:dyDescent="0.2">
      <c r="A43" s="122"/>
      <c r="B43" s="405"/>
      <c r="C43" s="395" t="s">
        <v>448</v>
      </c>
      <c r="D43" s="405"/>
      <c r="E43" s="405"/>
      <c r="F43" s="503">
        <f t="shared" ref="F43:F56" si="0">J43</f>
        <v>9</v>
      </c>
      <c r="G43" s="405"/>
      <c r="H43" s="405"/>
      <c r="I43" s="405"/>
      <c r="J43" s="423">
        <v>9</v>
      </c>
      <c r="K43" s="395" t="s">
        <v>819</v>
      </c>
      <c r="L43" s="405" t="s">
        <v>357</v>
      </c>
      <c r="M43" s="151" t="s">
        <v>50</v>
      </c>
      <c r="N43" s="122"/>
      <c r="O43" s="780"/>
      <c r="P43" s="122"/>
      <c r="Q43" s="122"/>
      <c r="R43" s="122"/>
      <c r="S43" s="122"/>
      <c r="T43" s="122"/>
      <c r="U43" s="122"/>
      <c r="V43" s="122"/>
      <c r="W43" s="122"/>
      <c r="X43" s="173"/>
    </row>
    <row r="44" spans="1:24" ht="12.75" x14ac:dyDescent="0.2">
      <c r="A44" s="122"/>
      <c r="B44" s="405"/>
      <c r="C44" s="395" t="s">
        <v>449</v>
      </c>
      <c r="D44" s="405"/>
      <c r="E44" s="405"/>
      <c r="F44" s="503">
        <f t="shared" si="0"/>
        <v>4.5999999999999996</v>
      </c>
      <c r="G44" s="405"/>
      <c r="H44" s="405"/>
      <c r="I44" s="405"/>
      <c r="J44" s="423">
        <v>4.5999999999999996</v>
      </c>
      <c r="K44" s="395" t="s">
        <v>819</v>
      </c>
      <c r="L44" s="405" t="s">
        <v>357</v>
      </c>
      <c r="M44" s="151" t="s">
        <v>50</v>
      </c>
      <c r="N44" s="122"/>
      <c r="O44" s="122"/>
      <c r="P44" s="122"/>
      <c r="Q44" s="122"/>
      <c r="R44" s="122"/>
      <c r="S44" s="122"/>
      <c r="T44" s="122"/>
      <c r="U44" s="122"/>
      <c r="V44" s="122"/>
      <c r="W44" s="122"/>
      <c r="X44" s="173"/>
    </row>
    <row r="45" spans="1:24" ht="12.75" x14ac:dyDescent="0.2">
      <c r="A45" s="122"/>
      <c r="B45" s="405"/>
      <c r="C45" s="395" t="s">
        <v>450</v>
      </c>
      <c r="D45" s="405"/>
      <c r="E45" s="405"/>
      <c r="F45" s="503">
        <f t="shared" si="0"/>
        <v>22</v>
      </c>
      <c r="G45" s="405"/>
      <c r="H45" s="405"/>
      <c r="I45" s="405"/>
      <c r="J45" s="424">
        <v>22</v>
      </c>
      <c r="K45" s="395" t="s">
        <v>819</v>
      </c>
      <c r="L45" s="405" t="s">
        <v>357</v>
      </c>
      <c r="M45" s="151" t="s">
        <v>50</v>
      </c>
      <c r="N45" s="122"/>
      <c r="O45" s="122"/>
      <c r="P45" s="122"/>
      <c r="Q45" s="122"/>
      <c r="R45" s="122"/>
      <c r="S45" s="122"/>
      <c r="T45" s="122"/>
      <c r="U45" s="122"/>
      <c r="V45" s="122"/>
      <c r="W45" s="122"/>
      <c r="X45" s="173"/>
    </row>
    <row r="46" spans="1:24" ht="12.75" x14ac:dyDescent="0.2">
      <c r="A46" s="122"/>
      <c r="B46" s="405"/>
      <c r="C46" s="391" t="s">
        <v>451</v>
      </c>
      <c r="D46" s="405"/>
      <c r="E46" s="405"/>
      <c r="F46" s="503">
        <f t="shared" si="0"/>
        <v>3</v>
      </c>
      <c r="G46" s="405"/>
      <c r="H46" s="405"/>
      <c r="I46" s="405"/>
      <c r="J46" s="424">
        <v>3</v>
      </c>
      <c r="K46" s="395" t="s">
        <v>819</v>
      </c>
      <c r="L46" s="405" t="s">
        <v>357</v>
      </c>
      <c r="M46" s="151"/>
      <c r="N46" s="122"/>
      <c r="O46" s="122"/>
      <c r="P46" s="122"/>
      <c r="Q46" s="122"/>
      <c r="R46" s="122"/>
      <c r="S46" s="122"/>
      <c r="T46" s="122"/>
      <c r="U46" s="122"/>
      <c r="V46" s="122"/>
      <c r="W46" s="122"/>
      <c r="X46" s="173"/>
    </row>
    <row r="47" spans="1:24" ht="12.75" x14ac:dyDescent="0.2">
      <c r="A47" s="122"/>
      <c r="B47" s="405"/>
      <c r="C47" s="391" t="s">
        <v>452</v>
      </c>
      <c r="D47" s="405"/>
      <c r="E47" s="405"/>
      <c r="F47" s="503">
        <f t="shared" si="0"/>
        <v>6</v>
      </c>
      <c r="G47" s="405"/>
      <c r="H47" s="405"/>
      <c r="I47" s="405"/>
      <c r="J47" s="424">
        <v>6</v>
      </c>
      <c r="K47" s="395" t="s">
        <v>819</v>
      </c>
      <c r="L47" s="405" t="s">
        <v>357</v>
      </c>
      <c r="M47" s="151"/>
      <c r="N47" s="122"/>
      <c r="O47" s="122"/>
      <c r="P47" s="122"/>
      <c r="Q47" s="122"/>
      <c r="R47" s="122"/>
      <c r="S47" s="122"/>
      <c r="T47" s="122"/>
      <c r="U47" s="122"/>
      <c r="V47" s="122"/>
      <c r="W47" s="122"/>
      <c r="X47" s="173"/>
    </row>
    <row r="48" spans="1:24" ht="12.75" x14ac:dyDescent="0.2">
      <c r="A48" s="122"/>
      <c r="B48" s="405"/>
      <c r="C48" s="391" t="s">
        <v>276</v>
      </c>
      <c r="D48" s="405"/>
      <c r="E48" s="405"/>
      <c r="F48" s="407">
        <v>0</v>
      </c>
      <c r="G48" s="405"/>
      <c r="H48" s="405"/>
      <c r="I48" s="405"/>
      <c r="J48" s="436">
        <v>20</v>
      </c>
      <c r="K48" s="395" t="s">
        <v>86</v>
      </c>
      <c r="L48" s="395"/>
      <c r="M48" s="151" t="s">
        <v>50</v>
      </c>
      <c r="N48" s="122"/>
      <c r="O48" s="122"/>
      <c r="P48" s="122"/>
      <c r="Q48" s="122"/>
      <c r="R48" s="122"/>
      <c r="S48" s="122"/>
      <c r="T48" s="122"/>
      <c r="U48" s="122"/>
      <c r="V48" s="122"/>
      <c r="W48" s="122"/>
      <c r="X48" s="173"/>
    </row>
    <row r="49" spans="1:27" s="574" customFormat="1" ht="12.75" x14ac:dyDescent="0.2">
      <c r="A49" s="122"/>
      <c r="B49" s="405"/>
      <c r="C49" s="391" t="s">
        <v>757</v>
      </c>
      <c r="D49" s="405"/>
      <c r="E49" s="405"/>
      <c r="F49" s="407">
        <v>0</v>
      </c>
      <c r="G49" s="405"/>
      <c r="H49" s="405"/>
      <c r="I49" s="405"/>
      <c r="J49" s="436">
        <v>4</v>
      </c>
      <c r="K49" s="395" t="s">
        <v>487</v>
      </c>
      <c r="L49" s="405" t="s">
        <v>756</v>
      </c>
      <c r="M49" s="151" t="s">
        <v>50</v>
      </c>
      <c r="N49" s="122"/>
      <c r="O49" s="122"/>
      <c r="P49" s="122"/>
      <c r="Q49" s="122"/>
      <c r="R49" s="122"/>
      <c r="S49" s="122"/>
      <c r="T49" s="122"/>
      <c r="U49" s="122"/>
      <c r="V49" s="122"/>
      <c r="W49" s="122"/>
      <c r="X49" s="173"/>
      <c r="Y49" s="173"/>
      <c r="Z49" s="173"/>
      <c r="AA49" s="173"/>
    </row>
    <row r="50" spans="1:27" ht="12.75" x14ac:dyDescent="0.2">
      <c r="A50" s="122"/>
      <c r="B50" s="405"/>
      <c r="C50" s="425" t="str">
        <f>"Hired Wage Rate - "&amp;C42</f>
        <v>Hired Wage Rate - Land Prep</v>
      </c>
      <c r="D50" s="405"/>
      <c r="E50" s="405"/>
      <c r="F50" s="503">
        <f t="shared" si="0"/>
        <v>2625</v>
      </c>
      <c r="G50" s="405"/>
      <c r="H50" s="405"/>
      <c r="I50" s="405"/>
      <c r="J50" s="426">
        <v>2625</v>
      </c>
      <c r="K50" s="395" t="s">
        <v>87</v>
      </c>
      <c r="L50" s="405" t="s">
        <v>357</v>
      </c>
      <c r="M50" s="153"/>
      <c r="N50" s="122"/>
      <c r="O50" s="122"/>
      <c r="P50" s="122"/>
      <c r="Q50" s="122"/>
      <c r="R50" s="122"/>
      <c r="S50" s="122"/>
      <c r="T50" s="122"/>
      <c r="U50" s="122"/>
      <c r="V50" s="122"/>
      <c r="W50" s="122"/>
      <c r="X50" s="173"/>
    </row>
    <row r="51" spans="1:27" ht="12.75" x14ac:dyDescent="0.2">
      <c r="A51" s="122"/>
      <c r="B51" s="405"/>
      <c r="C51" s="425" t="str">
        <f>"Hired Wage Rate - "&amp;C43</f>
        <v>Hired Wage Rate - Fish Feeding</v>
      </c>
      <c r="D51" s="405"/>
      <c r="E51" s="405"/>
      <c r="F51" s="503">
        <f t="shared" si="0"/>
        <v>2000</v>
      </c>
      <c r="G51" s="405"/>
      <c r="H51" s="405"/>
      <c r="I51" s="405"/>
      <c r="J51" s="426">
        <v>2000</v>
      </c>
      <c r="K51" s="395" t="s">
        <v>87</v>
      </c>
      <c r="L51" s="405" t="s">
        <v>357</v>
      </c>
      <c r="M51" s="151" t="s">
        <v>50</v>
      </c>
      <c r="N51" s="122"/>
      <c r="O51" s="122"/>
      <c r="P51" s="122"/>
      <c r="Q51" s="122"/>
      <c r="R51" s="122"/>
      <c r="S51" s="122"/>
      <c r="T51" s="122"/>
      <c r="U51" s="122"/>
      <c r="V51" s="122"/>
      <c r="W51" s="122"/>
      <c r="X51" s="173"/>
    </row>
    <row r="52" spans="1:27" ht="12.75" x14ac:dyDescent="0.2">
      <c r="A52" s="122"/>
      <c r="B52" s="405"/>
      <c r="C52" s="425" t="str">
        <f>"Hired Wage Rate - "&amp;C44</f>
        <v>Hired Wage Rate - Harvest</v>
      </c>
      <c r="D52" s="405"/>
      <c r="E52" s="405"/>
      <c r="F52" s="503">
        <f t="shared" si="0"/>
        <v>500</v>
      </c>
      <c r="G52" s="405"/>
      <c r="H52" s="405"/>
      <c r="I52" s="405"/>
      <c r="J52" s="426">
        <v>500</v>
      </c>
      <c r="K52" s="395" t="s">
        <v>87</v>
      </c>
      <c r="L52" s="405" t="s">
        <v>357</v>
      </c>
      <c r="M52" s="151"/>
      <c r="N52" s="122"/>
      <c r="O52" s="122"/>
      <c r="P52" s="122"/>
      <c r="Q52" s="122"/>
      <c r="R52" s="122"/>
      <c r="S52" s="122"/>
      <c r="T52" s="122"/>
      <c r="U52" s="122"/>
      <c r="V52" s="122"/>
      <c r="W52" s="122"/>
      <c r="X52" s="173"/>
    </row>
    <row r="53" spans="1:27" ht="12.75" x14ac:dyDescent="0.2">
      <c r="A53" s="122"/>
      <c r="B53" s="405"/>
      <c r="C53" s="425" t="str">
        <f>"Hired Wage Rate - "&amp;C45</f>
        <v>Hired Wage Rate - Fish Processing/Packaging</v>
      </c>
      <c r="D53" s="405"/>
      <c r="E53" s="405"/>
      <c r="F53" s="503">
        <f t="shared" si="0"/>
        <v>1208.5</v>
      </c>
      <c r="G53" s="405"/>
      <c r="H53" s="405"/>
      <c r="I53" s="405"/>
      <c r="J53" s="427">
        <f>AVERAGE(1314,1103)</f>
        <v>1208.5</v>
      </c>
      <c r="K53" s="395" t="s">
        <v>87</v>
      </c>
      <c r="L53" s="405" t="s">
        <v>357</v>
      </c>
      <c r="M53" s="151"/>
      <c r="N53" s="122"/>
      <c r="O53" s="122"/>
      <c r="P53" s="122"/>
      <c r="Q53" s="122"/>
      <c r="R53" s="122"/>
      <c r="S53" s="122"/>
      <c r="T53" s="122"/>
      <c r="U53" s="122"/>
      <c r="V53" s="122"/>
      <c r="W53" s="122"/>
      <c r="X53" s="173"/>
    </row>
    <row r="54" spans="1:27" ht="12.75" x14ac:dyDescent="0.2">
      <c r="A54" s="122"/>
      <c r="B54" s="405"/>
      <c r="C54" s="425" t="str">
        <f>"Hired Wage Rate - "&amp;C46</f>
        <v>Hired Wage Rate - Fingerling Production</v>
      </c>
      <c r="D54" s="405"/>
      <c r="E54" s="405"/>
      <c r="F54" s="503">
        <f t="shared" si="0"/>
        <v>2333</v>
      </c>
      <c r="G54" s="405"/>
      <c r="H54" s="405"/>
      <c r="I54" s="405"/>
      <c r="J54" s="426">
        <v>2333</v>
      </c>
      <c r="K54" s="395" t="s">
        <v>87</v>
      </c>
      <c r="L54" s="405" t="s">
        <v>357</v>
      </c>
      <c r="M54" s="151"/>
      <c r="N54" s="122"/>
      <c r="O54" s="122"/>
      <c r="P54" s="122"/>
      <c r="Q54" s="122"/>
      <c r="R54" s="122"/>
      <c r="S54" s="122"/>
      <c r="T54" s="122"/>
      <c r="U54" s="122"/>
      <c r="V54" s="122"/>
      <c r="W54" s="122"/>
      <c r="X54" s="173"/>
    </row>
    <row r="55" spans="1:27" ht="12.75" x14ac:dyDescent="0.2">
      <c r="A55" s="122"/>
      <c r="B55" s="405"/>
      <c r="C55" s="391" t="s">
        <v>271</v>
      </c>
      <c r="D55" s="405"/>
      <c r="E55" s="405"/>
      <c r="F55" s="503">
        <f t="shared" si="0"/>
        <v>1467</v>
      </c>
      <c r="G55" s="405"/>
      <c r="H55" s="405"/>
      <c r="I55" s="405"/>
      <c r="J55" s="426">
        <v>1467</v>
      </c>
      <c r="K55" s="395" t="s">
        <v>87</v>
      </c>
      <c r="L55" s="405" t="s">
        <v>357</v>
      </c>
      <c r="M55" s="151"/>
      <c r="N55" s="122"/>
      <c r="O55" s="122"/>
      <c r="P55" s="122"/>
      <c r="Q55" s="122"/>
      <c r="R55" s="122"/>
      <c r="S55" s="122"/>
      <c r="T55" s="122"/>
      <c r="U55" s="122"/>
      <c r="V55" s="122"/>
      <c r="W55" s="122"/>
      <c r="X55" s="173"/>
    </row>
    <row r="56" spans="1:27" ht="12.75" x14ac:dyDescent="0.2">
      <c r="A56" s="122"/>
      <c r="B56" s="405"/>
      <c r="C56" s="395" t="s">
        <v>89</v>
      </c>
      <c r="D56" s="405"/>
      <c r="E56" s="405"/>
      <c r="F56" s="503">
        <f t="shared" si="0"/>
        <v>0</v>
      </c>
      <c r="G56" s="405"/>
      <c r="H56" s="405"/>
      <c r="I56" s="405"/>
      <c r="J56" s="428">
        <v>0</v>
      </c>
      <c r="K56" s="429"/>
      <c r="L56" s="430"/>
      <c r="M56" s="153"/>
      <c r="N56" s="122"/>
      <c r="O56" s="122"/>
      <c r="P56" s="122"/>
      <c r="Q56" s="122"/>
      <c r="R56" s="122"/>
      <c r="S56" s="122"/>
      <c r="T56" s="122"/>
      <c r="U56" s="122"/>
      <c r="V56" s="122"/>
      <c r="W56" s="122"/>
      <c r="X56" s="173"/>
    </row>
    <row r="57" spans="1:27" ht="12.75" x14ac:dyDescent="0.2">
      <c r="A57" s="122"/>
      <c r="B57" s="412"/>
      <c r="C57" s="412"/>
      <c r="D57" s="412"/>
      <c r="E57" s="412"/>
      <c r="F57" s="412"/>
      <c r="G57" s="412"/>
      <c r="H57" s="412"/>
      <c r="I57" s="412"/>
      <c r="J57" s="412"/>
      <c r="K57" s="412"/>
      <c r="L57" s="412"/>
      <c r="M57" s="122"/>
      <c r="N57" s="122"/>
      <c r="O57" s="122"/>
      <c r="P57" s="122"/>
      <c r="Q57" s="122"/>
      <c r="R57" s="122"/>
      <c r="S57" s="122"/>
      <c r="T57" s="122"/>
      <c r="U57" s="122"/>
      <c r="V57" s="122"/>
      <c r="W57" s="122"/>
      <c r="X57" s="173"/>
    </row>
    <row r="58" spans="1:27" ht="12.75" x14ac:dyDescent="0.2">
      <c r="A58" s="122"/>
      <c r="B58" s="389" t="s">
        <v>215</v>
      </c>
      <c r="C58" s="432"/>
      <c r="D58" s="432"/>
      <c r="E58" s="432"/>
      <c r="F58" s="432"/>
      <c r="G58" s="432"/>
      <c r="H58" s="432"/>
      <c r="I58" s="432"/>
      <c r="J58" s="432"/>
      <c r="K58" s="432"/>
      <c r="L58" s="432"/>
      <c r="M58" s="155"/>
      <c r="N58" s="122"/>
      <c r="O58" s="122"/>
      <c r="P58" s="122"/>
      <c r="Q58" s="122"/>
      <c r="R58" s="122"/>
      <c r="S58" s="122"/>
      <c r="T58" s="122"/>
      <c r="U58" s="122"/>
      <c r="V58" s="122"/>
      <c r="W58" s="122"/>
      <c r="X58" s="173"/>
    </row>
    <row r="59" spans="1:27" ht="12.75" x14ac:dyDescent="0.2">
      <c r="A59" s="122"/>
      <c r="B59" s="422"/>
      <c r="C59" s="391" t="s">
        <v>110</v>
      </c>
      <c r="D59" s="422"/>
      <c r="E59" s="422"/>
      <c r="F59" s="515">
        <f>J59</f>
        <v>20000</v>
      </c>
      <c r="G59" s="422"/>
      <c r="H59" s="422"/>
      <c r="I59" s="422"/>
      <c r="J59" s="433">
        <v>20000</v>
      </c>
      <c r="K59" s="395" t="s">
        <v>820</v>
      </c>
      <c r="L59" s="405" t="s">
        <v>453</v>
      </c>
      <c r="M59" s="151" t="s">
        <v>50</v>
      </c>
      <c r="N59" s="122"/>
      <c r="O59" s="122"/>
      <c r="P59" s="122"/>
      <c r="Q59" s="122"/>
      <c r="R59" s="122"/>
      <c r="S59" s="122"/>
      <c r="T59" s="122"/>
      <c r="U59" s="122"/>
      <c r="V59" s="122"/>
      <c r="W59" s="122"/>
      <c r="X59" s="173"/>
    </row>
    <row r="60" spans="1:27" ht="12.75" x14ac:dyDescent="0.2">
      <c r="A60" s="122"/>
      <c r="B60" s="390"/>
      <c r="C60" s="391" t="s">
        <v>286</v>
      </c>
      <c r="D60" s="333"/>
      <c r="E60" s="333"/>
      <c r="F60" s="878">
        <f>J60</f>
        <v>0.5</v>
      </c>
      <c r="G60" s="333"/>
      <c r="H60" s="333"/>
      <c r="I60" s="333"/>
      <c r="J60" s="434">
        <v>0.5</v>
      </c>
      <c r="K60" s="333" t="s">
        <v>821</v>
      </c>
      <c r="L60" s="333" t="s">
        <v>760</v>
      </c>
      <c r="M60" s="157"/>
      <c r="N60" s="122"/>
      <c r="O60" s="122"/>
      <c r="P60" s="122"/>
      <c r="Q60" s="122"/>
      <c r="R60" s="122"/>
      <c r="S60" s="122"/>
      <c r="T60" s="122"/>
      <c r="U60" s="122"/>
      <c r="V60" s="122"/>
      <c r="W60" s="122"/>
      <c r="X60" s="173"/>
    </row>
    <row r="61" spans="1:27" ht="12.75" x14ac:dyDescent="0.2">
      <c r="A61" s="122"/>
      <c r="B61" s="390"/>
      <c r="C61" s="432" t="s">
        <v>283</v>
      </c>
      <c r="D61" s="390"/>
      <c r="E61" s="390"/>
      <c r="F61" s="879">
        <f>J61*0.7</f>
        <v>6526.7999999999993</v>
      </c>
      <c r="G61" s="390"/>
      <c r="H61" s="390"/>
      <c r="I61" s="390"/>
      <c r="J61" s="435">
        <v>9324</v>
      </c>
      <c r="K61" s="390" t="s">
        <v>822</v>
      </c>
      <c r="L61" s="405" t="s">
        <v>357</v>
      </c>
      <c r="M61" s="156"/>
      <c r="N61" s="122"/>
      <c r="O61" s="122"/>
      <c r="P61" s="122"/>
      <c r="Q61" s="122"/>
      <c r="R61" s="122"/>
      <c r="S61" s="122"/>
      <c r="T61" s="122"/>
      <c r="U61" s="122"/>
      <c r="V61" s="122"/>
      <c r="W61" s="122"/>
      <c r="X61" s="173"/>
    </row>
    <row r="62" spans="1:27" ht="12.75" x14ac:dyDescent="0.2">
      <c r="A62" s="122"/>
      <c r="B62" s="412"/>
      <c r="C62" s="412"/>
      <c r="D62" s="412"/>
      <c r="E62" s="412"/>
      <c r="F62" s="412"/>
      <c r="G62" s="412"/>
      <c r="H62" s="412"/>
      <c r="I62" s="412"/>
      <c r="J62" s="412"/>
      <c r="K62" s="412"/>
      <c r="L62" s="412"/>
      <c r="M62" s="122"/>
      <c r="N62" s="122"/>
      <c r="O62" s="122"/>
      <c r="P62" s="122"/>
      <c r="Q62" s="122"/>
      <c r="R62" s="122"/>
      <c r="S62" s="122"/>
      <c r="T62" s="122"/>
      <c r="U62" s="122"/>
      <c r="V62" s="122"/>
      <c r="W62" s="122"/>
      <c r="X62" s="173"/>
    </row>
    <row r="63" spans="1:27" ht="12.75" x14ac:dyDescent="0.2">
      <c r="A63" s="122"/>
      <c r="B63" s="340" t="s">
        <v>91</v>
      </c>
      <c r="C63" s="405"/>
      <c r="D63" s="405"/>
      <c r="E63" s="405"/>
      <c r="F63" s="405"/>
      <c r="G63" s="405"/>
      <c r="H63" s="405"/>
      <c r="I63" s="405"/>
      <c r="J63" s="422"/>
      <c r="K63" s="405"/>
      <c r="L63" s="405"/>
      <c r="M63" s="151" t="s">
        <v>50</v>
      </c>
      <c r="N63" s="122"/>
      <c r="O63" s="122"/>
      <c r="P63" s="122"/>
      <c r="Q63" s="122"/>
      <c r="R63" s="122"/>
      <c r="S63" s="122"/>
      <c r="T63" s="122"/>
      <c r="U63" s="122"/>
      <c r="V63" s="122"/>
      <c r="W63" s="122"/>
      <c r="X63" s="173"/>
    </row>
    <row r="64" spans="1:27" ht="12.75" x14ac:dyDescent="0.2">
      <c r="A64" s="122"/>
      <c r="B64" s="405"/>
      <c r="C64" s="391" t="s">
        <v>454</v>
      </c>
      <c r="D64" s="405"/>
      <c r="E64" s="405"/>
      <c r="F64" s="503">
        <f>J64</f>
        <v>4385</v>
      </c>
      <c r="G64" s="405"/>
      <c r="H64" s="405"/>
      <c r="I64" s="405"/>
      <c r="J64" s="436">
        <v>4385</v>
      </c>
      <c r="K64" s="395" t="s">
        <v>455</v>
      </c>
      <c r="L64" s="405" t="s">
        <v>357</v>
      </c>
      <c r="M64" s="151" t="s">
        <v>50</v>
      </c>
      <c r="N64" s="122"/>
      <c r="O64" s="122"/>
      <c r="P64" s="122"/>
      <c r="Q64" s="122"/>
      <c r="R64" s="122"/>
      <c r="S64" s="122"/>
      <c r="T64" s="122"/>
      <c r="U64" s="122"/>
      <c r="V64" s="122"/>
      <c r="W64" s="122"/>
      <c r="X64" s="173"/>
    </row>
    <row r="65" spans="1:30" ht="12.75" x14ac:dyDescent="0.2">
      <c r="A65" s="122"/>
      <c r="B65" s="405"/>
      <c r="C65" s="391" t="s">
        <v>987</v>
      </c>
      <c r="D65" s="405"/>
      <c r="E65" s="405"/>
      <c r="F65" s="525">
        <f>F38*F67*F34*1000</f>
        <v>295.68</v>
      </c>
      <c r="G65" s="405"/>
      <c r="H65" s="405"/>
      <c r="I65" s="405"/>
      <c r="J65" s="425">
        <f>J38*J67*J34*1000</f>
        <v>1919.9999999999998</v>
      </c>
      <c r="K65" s="395" t="s">
        <v>823</v>
      </c>
      <c r="L65" s="391" t="s">
        <v>458</v>
      </c>
      <c r="M65" s="151" t="s">
        <v>50</v>
      </c>
      <c r="N65" s="122"/>
      <c r="O65" s="122"/>
      <c r="P65" s="122"/>
      <c r="Q65" s="122"/>
      <c r="R65" s="122"/>
      <c r="S65" s="122"/>
      <c r="T65" s="122"/>
      <c r="U65" s="122"/>
      <c r="V65" s="122"/>
      <c r="W65" s="122"/>
      <c r="X65" s="173"/>
    </row>
    <row r="66" spans="1:30" ht="12.75" x14ac:dyDescent="0.2">
      <c r="A66" s="122"/>
      <c r="B66" s="405"/>
      <c r="C66" s="391" t="s">
        <v>459</v>
      </c>
      <c r="D66" s="405"/>
      <c r="E66" s="405"/>
      <c r="F66" s="525">
        <f>F38*(1-F67)*F34*1000</f>
        <v>2661.12</v>
      </c>
      <c r="G66" s="405"/>
      <c r="H66" s="405"/>
      <c r="I66" s="405"/>
      <c r="J66" s="425">
        <f>J38*(1-J67)*J34*1000</f>
        <v>960</v>
      </c>
      <c r="K66" s="395" t="s">
        <v>823</v>
      </c>
      <c r="L66" s="395"/>
      <c r="M66" s="151"/>
      <c r="N66" s="122"/>
      <c r="O66" s="122"/>
      <c r="P66" s="122"/>
      <c r="Q66" s="122"/>
      <c r="R66" s="122"/>
      <c r="S66" s="122"/>
      <c r="T66" s="122"/>
      <c r="U66" s="122"/>
      <c r="V66" s="122"/>
      <c r="W66" s="122"/>
      <c r="X66" s="173"/>
    </row>
    <row r="67" spans="1:30" ht="12.75" x14ac:dyDescent="0.2">
      <c r="A67" s="122"/>
      <c r="B67" s="405"/>
      <c r="C67" s="391" t="s">
        <v>989</v>
      </c>
      <c r="D67" s="405"/>
      <c r="E67" s="405"/>
      <c r="F67" s="877">
        <v>0.1</v>
      </c>
      <c r="G67" s="405"/>
      <c r="H67" s="405"/>
      <c r="I67" s="405"/>
      <c r="J67" s="880">
        <f>2/3</f>
        <v>0.66666666666666663</v>
      </c>
      <c r="K67" s="395" t="s">
        <v>5</v>
      </c>
      <c r="L67" s="395" t="s">
        <v>12</v>
      </c>
      <c r="M67" s="151"/>
      <c r="N67" s="122"/>
      <c r="O67" s="122"/>
      <c r="P67" s="122"/>
      <c r="Q67" s="122"/>
      <c r="R67" s="122"/>
      <c r="S67" s="122"/>
      <c r="T67" s="122"/>
      <c r="U67" s="122"/>
      <c r="V67" s="122"/>
      <c r="W67" s="122"/>
      <c r="X67" s="173"/>
    </row>
    <row r="68" spans="1:30" ht="12.75" x14ac:dyDescent="0.2">
      <c r="A68" s="122"/>
      <c r="B68" s="405"/>
      <c r="C68" s="391" t="s">
        <v>102</v>
      </c>
      <c r="D68" s="405"/>
      <c r="E68" s="405"/>
      <c r="F68" s="407">
        <v>0</v>
      </c>
      <c r="G68" s="405"/>
      <c r="H68" s="405"/>
      <c r="I68" s="405"/>
      <c r="J68" s="436">
        <v>0</v>
      </c>
      <c r="K68" s="395" t="s">
        <v>457</v>
      </c>
      <c r="L68" s="405" t="s">
        <v>357</v>
      </c>
      <c r="M68" s="151" t="s">
        <v>50</v>
      </c>
      <c r="N68" s="122"/>
      <c r="O68" s="122"/>
      <c r="P68" s="122"/>
      <c r="Q68" s="122"/>
      <c r="R68" s="122"/>
      <c r="S68" s="122"/>
      <c r="T68" s="122"/>
      <c r="U68" s="122"/>
      <c r="V68" s="122"/>
      <c r="W68" s="122"/>
      <c r="X68" s="173"/>
    </row>
    <row r="69" spans="1:30" ht="12.75" x14ac:dyDescent="0.2">
      <c r="A69" s="122"/>
      <c r="B69" s="412"/>
      <c r="C69" s="412"/>
      <c r="D69" s="412"/>
      <c r="E69" s="412"/>
      <c r="F69" s="412"/>
      <c r="G69" s="412"/>
      <c r="H69" s="412"/>
      <c r="I69" s="412"/>
      <c r="J69" s="412"/>
      <c r="K69" s="412"/>
      <c r="L69" s="412"/>
      <c r="M69" s="122"/>
      <c r="N69" s="122"/>
      <c r="O69" s="122"/>
      <c r="P69" s="122"/>
      <c r="Q69" s="122"/>
      <c r="R69" s="122"/>
      <c r="S69" s="122"/>
      <c r="T69" s="122"/>
      <c r="U69" s="122"/>
      <c r="V69" s="122"/>
      <c r="W69" s="122"/>
      <c r="X69" s="173"/>
    </row>
    <row r="70" spans="1:30" ht="12.75" x14ac:dyDescent="0.2">
      <c r="A70" s="122"/>
      <c r="B70" s="340" t="s">
        <v>109</v>
      </c>
      <c r="C70" s="405"/>
      <c r="D70" s="405"/>
      <c r="E70" s="405"/>
      <c r="F70" s="405"/>
      <c r="G70" s="405"/>
      <c r="H70" s="405"/>
      <c r="I70" s="405"/>
      <c r="J70" s="405"/>
      <c r="K70" s="405"/>
      <c r="L70" s="405"/>
      <c r="M70" s="151" t="s">
        <v>50</v>
      </c>
      <c r="N70" s="122"/>
      <c r="O70" s="122"/>
      <c r="P70" s="122"/>
      <c r="Q70" s="122"/>
      <c r="R70" s="122"/>
      <c r="S70" s="122"/>
      <c r="T70" s="122"/>
      <c r="U70" s="122"/>
      <c r="V70" s="122"/>
      <c r="W70" s="122"/>
      <c r="X70" s="173"/>
    </row>
    <row r="71" spans="1:30" ht="12.75" x14ac:dyDescent="0.2">
      <c r="A71" s="122"/>
      <c r="B71" s="405"/>
      <c r="C71" s="391" t="s">
        <v>454</v>
      </c>
      <c r="D71" s="405"/>
      <c r="E71" s="405"/>
      <c r="F71" s="515">
        <f>J71</f>
        <v>15</v>
      </c>
      <c r="G71" s="405"/>
      <c r="H71" s="405"/>
      <c r="I71" s="405"/>
      <c r="J71" s="437">
        <v>15</v>
      </c>
      <c r="K71" s="395" t="s">
        <v>460</v>
      </c>
      <c r="L71" s="405" t="s">
        <v>461</v>
      </c>
      <c r="M71" s="151" t="s">
        <v>50</v>
      </c>
      <c r="N71" s="122"/>
      <c r="O71" s="122"/>
      <c r="P71" s="122"/>
      <c r="Q71" s="122"/>
      <c r="R71" s="122"/>
      <c r="S71" s="122"/>
      <c r="T71" s="122"/>
      <c r="U71" s="122"/>
      <c r="V71" s="122"/>
      <c r="W71" s="122"/>
      <c r="X71" s="173"/>
    </row>
    <row r="72" spans="1:30" ht="12.75" x14ac:dyDescent="0.2">
      <c r="A72" s="122"/>
      <c r="B72" s="405"/>
      <c r="C72" s="391" t="s">
        <v>987</v>
      </c>
      <c r="D72" s="405"/>
      <c r="E72" s="405"/>
      <c r="F72" s="515">
        <f>J72*1.03</f>
        <v>283.25</v>
      </c>
      <c r="G72" s="405"/>
      <c r="H72" s="405"/>
      <c r="I72" s="405"/>
      <c r="J72" s="438">
        <v>275</v>
      </c>
      <c r="K72" s="395" t="s">
        <v>113</v>
      </c>
      <c r="L72" s="405" t="s">
        <v>739</v>
      </c>
      <c r="M72" s="151" t="s">
        <v>50</v>
      </c>
      <c r="N72" s="122"/>
      <c r="O72" s="122"/>
      <c r="P72" s="122"/>
      <c r="Q72" s="122"/>
      <c r="R72" s="122"/>
      <c r="S72" s="122"/>
      <c r="T72" s="122"/>
      <c r="U72" s="122"/>
      <c r="V72" s="122"/>
      <c r="W72" s="122"/>
      <c r="X72" s="173"/>
    </row>
    <row r="73" spans="1:30" ht="12.75" x14ac:dyDescent="0.2">
      <c r="A73" s="122"/>
      <c r="B73" s="405"/>
      <c r="C73" s="391" t="s">
        <v>459</v>
      </c>
      <c r="D73" s="405"/>
      <c r="E73" s="405"/>
      <c r="F73" s="515">
        <f>J73</f>
        <v>200</v>
      </c>
      <c r="G73" s="405"/>
      <c r="H73" s="405"/>
      <c r="I73" s="405"/>
      <c r="J73" s="438">
        <v>200</v>
      </c>
      <c r="K73" s="395" t="s">
        <v>113</v>
      </c>
      <c r="L73" s="405" t="s">
        <v>739</v>
      </c>
      <c r="M73" s="151"/>
      <c r="N73" s="122"/>
      <c r="O73" s="122"/>
      <c r="P73" s="122"/>
      <c r="Q73" s="122"/>
      <c r="R73" s="122"/>
      <c r="S73" s="122"/>
      <c r="T73" s="122"/>
      <c r="U73" s="122"/>
      <c r="V73" s="122"/>
      <c r="W73" s="122"/>
      <c r="X73" s="173"/>
    </row>
    <row r="74" spans="1:30" ht="12.75" x14ac:dyDescent="0.2">
      <c r="A74" s="122"/>
      <c r="B74" s="405"/>
      <c r="C74" s="391" t="s">
        <v>102</v>
      </c>
      <c r="D74" s="405"/>
      <c r="E74" s="405"/>
      <c r="F74" s="847">
        <v>0.60899999999999999</v>
      </c>
      <c r="G74" s="838"/>
      <c r="H74" s="837"/>
      <c r="I74" s="582"/>
      <c r="J74" s="848">
        <f>F74</f>
        <v>0.60899999999999999</v>
      </c>
      <c r="K74" s="838" t="s">
        <v>1038</v>
      </c>
      <c r="L74" s="405" t="s">
        <v>357</v>
      </c>
      <c r="M74" s="151" t="s">
        <v>50</v>
      </c>
      <c r="N74" s="122"/>
      <c r="O74" s="122"/>
      <c r="P74" s="122"/>
      <c r="Q74" s="122"/>
      <c r="R74" s="122"/>
      <c r="S74" s="122"/>
      <c r="T74" s="122"/>
      <c r="U74" s="122"/>
      <c r="V74" s="122"/>
      <c r="W74" s="122"/>
      <c r="X74" s="173"/>
    </row>
    <row r="75" spans="1:30" customFormat="1" ht="12.75" x14ac:dyDescent="0.2">
      <c r="A75" s="3"/>
      <c r="B75" s="2"/>
      <c r="C75" s="393" t="s">
        <v>911</v>
      </c>
      <c r="D75" s="2"/>
      <c r="E75" s="2"/>
      <c r="F75" s="515">
        <f>J75</f>
        <v>0</v>
      </c>
      <c r="G75" s="837"/>
      <c r="H75" s="837"/>
      <c r="I75" s="837"/>
      <c r="J75" s="759">
        <v>0</v>
      </c>
      <c r="K75" s="752" t="s">
        <v>5</v>
      </c>
      <c r="L75" s="473" t="s">
        <v>913</v>
      </c>
      <c r="M75" s="475"/>
      <c r="N75" s="122"/>
      <c r="O75" s="122"/>
      <c r="P75" s="122"/>
      <c r="Q75" s="122"/>
      <c r="R75" s="122"/>
      <c r="S75" s="122"/>
      <c r="T75" s="3"/>
      <c r="U75" s="3"/>
      <c r="V75" s="3"/>
      <c r="W75" s="3"/>
      <c r="X75" s="3"/>
      <c r="Y75" s="3"/>
      <c r="Z75" s="3"/>
      <c r="AA75" s="3"/>
      <c r="AB75" s="3"/>
      <c r="AC75" s="3"/>
      <c r="AD75" s="3"/>
    </row>
    <row r="76" spans="1:30" s="748" customFormat="1" ht="12.75" x14ac:dyDescent="0.2">
      <c r="A76" s="3"/>
      <c r="B76" s="749"/>
      <c r="C76" s="751" t="s">
        <v>1008</v>
      </c>
      <c r="D76" s="749"/>
      <c r="E76" s="749"/>
      <c r="F76" s="515">
        <f>J76</f>
        <v>0</v>
      </c>
      <c r="G76" s="837"/>
      <c r="H76" s="837"/>
      <c r="I76" s="837"/>
      <c r="J76" s="759">
        <v>0</v>
      </c>
      <c r="K76" s="752"/>
      <c r="L76" s="753"/>
      <c r="M76" s="752"/>
      <c r="N76" s="122"/>
      <c r="O76" s="122"/>
      <c r="P76" s="122"/>
      <c r="Q76" s="122"/>
      <c r="R76" s="122"/>
      <c r="S76" s="122"/>
      <c r="T76" s="3"/>
      <c r="U76" s="3"/>
      <c r="V76" s="3"/>
      <c r="W76" s="3"/>
      <c r="X76" s="3"/>
      <c r="Y76" s="3"/>
      <c r="Z76" s="3"/>
      <c r="AA76" s="3"/>
      <c r="AB76" s="3"/>
      <c r="AC76" s="3"/>
      <c r="AD76" s="3"/>
    </row>
    <row r="77" spans="1:30" s="748" customFormat="1" ht="12.75" x14ac:dyDescent="0.2">
      <c r="A77" s="3"/>
      <c r="B77" s="749"/>
      <c r="C77" s="751" t="s">
        <v>1009</v>
      </c>
      <c r="D77" s="749"/>
      <c r="E77" s="749"/>
      <c r="F77" s="544"/>
      <c r="G77" s="837"/>
      <c r="H77" s="837"/>
      <c r="I77" s="837"/>
      <c r="J77" s="759">
        <v>0</v>
      </c>
      <c r="K77" s="752"/>
      <c r="L77" s="753"/>
      <c r="M77" s="752"/>
      <c r="N77" s="122"/>
      <c r="O77" s="122"/>
      <c r="P77" s="122"/>
      <c r="Q77" s="122"/>
      <c r="R77" s="122"/>
      <c r="S77" s="122"/>
      <c r="T77" s="3"/>
      <c r="U77" s="3"/>
      <c r="V77" s="3"/>
      <c r="W77" s="3"/>
      <c r="X77" s="3"/>
      <c r="Y77" s="3"/>
      <c r="Z77" s="3"/>
      <c r="AA77" s="3"/>
      <c r="AB77" s="3"/>
      <c r="AC77" s="3"/>
      <c r="AD77" s="3"/>
    </row>
    <row r="78" spans="1:30" ht="12.75" x14ac:dyDescent="0.2">
      <c r="A78" s="122"/>
      <c r="B78" s="412"/>
      <c r="C78" s="412"/>
      <c r="D78" s="412"/>
      <c r="E78" s="412"/>
      <c r="F78" s="412"/>
      <c r="G78" s="412"/>
      <c r="H78" s="412"/>
      <c r="I78" s="412"/>
      <c r="J78" s="412"/>
      <c r="K78" s="412"/>
      <c r="L78" s="412"/>
      <c r="M78" s="122"/>
      <c r="N78" s="122"/>
      <c r="O78" s="122"/>
      <c r="P78" s="122"/>
      <c r="Q78" s="122"/>
      <c r="R78" s="122"/>
      <c r="S78" s="122"/>
      <c r="T78" s="122"/>
      <c r="U78" s="122"/>
      <c r="V78" s="122"/>
      <c r="W78" s="122"/>
      <c r="X78" s="173"/>
    </row>
    <row r="79" spans="1:30" ht="12.75" x14ac:dyDescent="0.2">
      <c r="A79" s="122"/>
      <c r="B79" s="439" t="s">
        <v>287</v>
      </c>
      <c r="C79" s="390"/>
      <c r="D79" s="390"/>
      <c r="E79" s="390"/>
      <c r="F79" s="390"/>
      <c r="G79" s="390"/>
      <c r="H79" s="390"/>
      <c r="I79" s="390"/>
      <c r="J79" s="390"/>
      <c r="K79" s="390"/>
      <c r="L79" s="390"/>
      <c r="M79" s="156"/>
      <c r="N79" s="122"/>
      <c r="O79" s="122"/>
      <c r="P79" s="122"/>
      <c r="Q79" s="122"/>
      <c r="R79" s="122"/>
      <c r="S79" s="122"/>
      <c r="T79" s="122"/>
      <c r="U79" s="122"/>
      <c r="V79" s="122"/>
      <c r="W79" s="122"/>
      <c r="X79" s="173"/>
    </row>
    <row r="80" spans="1:30" ht="12.75" x14ac:dyDescent="0.2">
      <c r="A80" s="122"/>
      <c r="B80" s="390"/>
      <c r="C80" s="432" t="s">
        <v>375</v>
      </c>
      <c r="D80" s="390"/>
      <c r="E80" s="390"/>
      <c r="F80" s="440">
        <f>J80</f>
        <v>2076.666666666667</v>
      </c>
      <c r="G80" s="390"/>
      <c r="H80" s="390"/>
      <c r="I80" s="390"/>
      <c r="J80" s="440">
        <f>4984/$J$34</f>
        <v>2076.666666666667</v>
      </c>
      <c r="K80" s="390" t="s">
        <v>288</v>
      </c>
      <c r="L80" s="405" t="s">
        <v>357</v>
      </c>
      <c r="M80" s="156"/>
      <c r="N80" s="122"/>
      <c r="O80" s="122"/>
      <c r="P80" s="122"/>
      <c r="Q80" s="122"/>
      <c r="R80" s="122"/>
      <c r="S80" s="122"/>
      <c r="T80" s="122"/>
      <c r="U80" s="122"/>
      <c r="V80" s="122"/>
      <c r="W80" s="122"/>
      <c r="X80" s="173"/>
    </row>
    <row r="81" spans="1:27" ht="12.75" x14ac:dyDescent="0.2">
      <c r="A81" s="122"/>
      <c r="B81" s="390"/>
      <c r="C81" s="432" t="s">
        <v>284</v>
      </c>
      <c r="D81" s="390"/>
      <c r="E81" s="390"/>
      <c r="F81" s="440">
        <f>J81</f>
        <v>1723.3333333333335</v>
      </c>
      <c r="G81" s="390"/>
      <c r="H81" s="390"/>
      <c r="I81" s="390"/>
      <c r="J81" s="440">
        <f>4136/$J$34</f>
        <v>1723.3333333333335</v>
      </c>
      <c r="K81" s="390" t="s">
        <v>288</v>
      </c>
      <c r="L81" s="405" t="s">
        <v>357</v>
      </c>
      <c r="M81" s="156"/>
      <c r="N81" s="122"/>
      <c r="O81" s="122"/>
      <c r="P81" s="122"/>
      <c r="Q81" s="122"/>
      <c r="R81" s="122"/>
      <c r="S81" s="122"/>
      <c r="T81" s="122"/>
      <c r="U81" s="122"/>
      <c r="V81" s="122"/>
      <c r="W81" s="122"/>
      <c r="X81" s="173"/>
    </row>
    <row r="82" spans="1:27" ht="12.75" x14ac:dyDescent="0.2">
      <c r="A82" s="122"/>
      <c r="B82" s="412"/>
      <c r="C82" s="412"/>
      <c r="D82" s="412"/>
      <c r="E82" s="412"/>
      <c r="F82" s="412"/>
      <c r="G82" s="412"/>
      <c r="H82" s="412"/>
      <c r="I82" s="412"/>
      <c r="J82" s="412"/>
      <c r="K82" s="412"/>
      <c r="L82" s="412"/>
      <c r="M82" s="122"/>
      <c r="N82" s="122"/>
      <c r="O82" s="122"/>
      <c r="P82" s="122"/>
      <c r="Q82" s="122"/>
      <c r="R82" s="122"/>
      <c r="S82" s="122"/>
      <c r="T82" s="122"/>
      <c r="U82" s="122"/>
      <c r="V82" s="122"/>
      <c r="W82" s="122"/>
      <c r="X82" s="173"/>
    </row>
    <row r="83" spans="1:27" ht="12.75" x14ac:dyDescent="0.2">
      <c r="A83" s="122"/>
      <c r="B83" s="340" t="s">
        <v>131</v>
      </c>
      <c r="C83" s="405"/>
      <c r="D83" s="405"/>
      <c r="E83" s="405"/>
      <c r="F83" s="405"/>
      <c r="G83" s="405"/>
      <c r="H83" s="405"/>
      <c r="I83" s="405"/>
      <c r="J83" s="405"/>
      <c r="K83" s="405"/>
      <c r="L83" s="405"/>
      <c r="M83" s="151" t="s">
        <v>50</v>
      </c>
      <c r="N83" s="122"/>
      <c r="O83" s="122"/>
      <c r="P83" s="122"/>
      <c r="Q83" s="122"/>
      <c r="R83" s="122"/>
      <c r="S83" s="122"/>
      <c r="T83" s="122"/>
      <c r="U83" s="122"/>
      <c r="V83" s="122"/>
      <c r="W83" s="122"/>
      <c r="X83" s="173"/>
    </row>
    <row r="84" spans="1:27" ht="12.75" x14ac:dyDescent="0.2">
      <c r="A84" s="122"/>
      <c r="B84" s="405"/>
      <c r="C84" s="395" t="s">
        <v>462</v>
      </c>
      <c r="D84" s="405"/>
      <c r="E84" s="405"/>
      <c r="F84" s="440">
        <f>J84</f>
        <v>500</v>
      </c>
      <c r="G84" s="405"/>
      <c r="H84" s="405"/>
      <c r="I84" s="405"/>
      <c r="J84" s="417">
        <v>500</v>
      </c>
      <c r="K84" s="395" t="s">
        <v>113</v>
      </c>
      <c r="L84" s="405" t="s">
        <v>739</v>
      </c>
      <c r="M84" s="151" t="s">
        <v>50</v>
      </c>
      <c r="N84" s="122"/>
      <c r="O84" s="122"/>
      <c r="P84" s="122"/>
      <c r="Q84" s="122"/>
      <c r="R84" s="122"/>
      <c r="S84" s="122"/>
      <c r="T84" s="122"/>
      <c r="U84" s="122"/>
      <c r="V84" s="122"/>
      <c r="W84" s="122"/>
      <c r="X84" s="173"/>
    </row>
    <row r="85" spans="1:27" ht="12.75" x14ac:dyDescent="0.2">
      <c r="A85" s="122"/>
      <c r="B85" s="405"/>
      <c r="C85" s="395" t="s">
        <v>463</v>
      </c>
      <c r="D85" s="405"/>
      <c r="E85" s="405"/>
      <c r="F85" s="440">
        <f>J85</f>
        <v>0</v>
      </c>
      <c r="G85" s="405"/>
      <c r="H85" s="405"/>
      <c r="I85" s="405"/>
      <c r="J85" s="431">
        <v>0</v>
      </c>
      <c r="K85" s="395"/>
      <c r="L85" s="405"/>
      <c r="M85" s="151"/>
      <c r="N85" s="122"/>
      <c r="O85" s="122"/>
      <c r="P85" s="122"/>
      <c r="Q85" s="122"/>
      <c r="R85" s="122"/>
      <c r="S85" s="122"/>
      <c r="T85" s="122"/>
      <c r="U85" s="122"/>
      <c r="V85" s="122"/>
      <c r="W85" s="122"/>
      <c r="X85" s="173"/>
    </row>
    <row r="86" spans="1:27" ht="12.75" x14ac:dyDescent="0.2">
      <c r="A86" s="122"/>
      <c r="B86" s="412"/>
      <c r="C86" s="412"/>
      <c r="D86" s="412"/>
      <c r="E86" s="412"/>
      <c r="F86" s="412"/>
      <c r="G86" s="412"/>
      <c r="H86" s="412"/>
      <c r="I86" s="412"/>
      <c r="J86" s="412"/>
      <c r="K86" s="412"/>
      <c r="L86" s="412"/>
      <c r="M86" s="122"/>
      <c r="N86" s="122"/>
      <c r="O86" s="122"/>
      <c r="P86" s="122"/>
      <c r="Q86" s="122"/>
      <c r="R86" s="122"/>
      <c r="S86" s="122"/>
      <c r="T86" s="122"/>
      <c r="U86" s="122"/>
      <c r="V86" s="122"/>
      <c r="W86" s="122"/>
      <c r="X86" s="173"/>
    </row>
    <row r="87" spans="1:27" ht="12.75" x14ac:dyDescent="0.2">
      <c r="A87" s="122"/>
      <c r="B87" s="340" t="s">
        <v>209</v>
      </c>
      <c r="C87" s="405"/>
      <c r="D87" s="405"/>
      <c r="E87" s="405"/>
      <c r="F87" s="405"/>
      <c r="G87" s="405"/>
      <c r="H87" s="405"/>
      <c r="I87" s="405"/>
      <c r="J87" s="405"/>
      <c r="K87" s="405"/>
      <c r="L87" s="405"/>
      <c r="M87" s="151" t="s">
        <v>50</v>
      </c>
      <c r="N87" s="122"/>
      <c r="O87" s="122"/>
      <c r="P87" s="122"/>
      <c r="Q87" s="122"/>
      <c r="R87" s="122"/>
      <c r="S87" s="122"/>
      <c r="T87" s="122"/>
      <c r="U87" s="122"/>
      <c r="V87" s="122"/>
      <c r="W87" s="122"/>
      <c r="X87" s="173"/>
    </row>
    <row r="88" spans="1:27" ht="12.75" x14ac:dyDescent="0.2">
      <c r="A88" s="122"/>
      <c r="B88" s="405"/>
      <c r="C88" s="391" t="s">
        <v>145</v>
      </c>
      <c r="D88" s="405"/>
      <c r="E88" s="405"/>
      <c r="F88" s="440">
        <f>J88</f>
        <v>0</v>
      </c>
      <c r="G88" s="405"/>
      <c r="H88" s="405"/>
      <c r="I88" s="405"/>
      <c r="J88" s="441">
        <v>0</v>
      </c>
      <c r="K88" s="395" t="s">
        <v>146</v>
      </c>
      <c r="L88" s="405"/>
      <c r="M88" s="151" t="s">
        <v>50</v>
      </c>
      <c r="N88" s="122"/>
      <c r="O88" s="122"/>
      <c r="P88" s="122"/>
      <c r="Q88" s="122"/>
      <c r="R88" s="122"/>
      <c r="S88" s="122"/>
      <c r="T88" s="122"/>
      <c r="U88" s="122"/>
      <c r="V88" s="122"/>
      <c r="W88" s="122"/>
      <c r="X88" s="173"/>
    </row>
    <row r="89" spans="1:27" ht="12.75" x14ac:dyDescent="0.2">
      <c r="A89" s="122"/>
      <c r="B89" s="405"/>
      <c r="C89" s="391" t="s">
        <v>148</v>
      </c>
      <c r="D89" s="405"/>
      <c r="E89" s="405"/>
      <c r="F89" s="440">
        <f>J89</f>
        <v>0.1</v>
      </c>
      <c r="G89" s="405"/>
      <c r="H89" s="405"/>
      <c r="I89" s="405"/>
      <c r="J89" s="431">
        <v>0.1</v>
      </c>
      <c r="K89" s="395" t="s">
        <v>5</v>
      </c>
      <c r="L89" s="405"/>
      <c r="M89" s="151" t="s">
        <v>50</v>
      </c>
      <c r="N89" s="122"/>
      <c r="O89" s="122"/>
      <c r="P89" s="122"/>
      <c r="Q89" s="122"/>
      <c r="R89" s="122"/>
      <c r="S89" s="122"/>
      <c r="T89" s="122"/>
      <c r="U89" s="122"/>
      <c r="V89" s="122"/>
      <c r="W89" s="122"/>
      <c r="X89" s="173"/>
    </row>
    <row r="90" spans="1:27" ht="12.75" x14ac:dyDescent="0.2">
      <c r="A90" s="122"/>
      <c r="B90" s="412"/>
      <c r="C90" s="412"/>
      <c r="D90" s="412"/>
      <c r="E90" s="412"/>
      <c r="F90" s="412"/>
      <c r="G90" s="412"/>
      <c r="H90" s="412"/>
      <c r="I90" s="412"/>
      <c r="J90" s="412"/>
      <c r="K90" s="412"/>
      <c r="L90" s="412"/>
      <c r="M90" s="122"/>
      <c r="N90" s="122"/>
      <c r="O90" s="122"/>
      <c r="P90" s="122"/>
      <c r="Q90" s="122"/>
      <c r="R90" s="122"/>
      <c r="S90" s="122"/>
      <c r="T90" s="122"/>
      <c r="U90" s="122"/>
      <c r="V90" s="122"/>
      <c r="W90" s="122"/>
      <c r="X90" s="173"/>
      <c r="Y90" s="173"/>
      <c r="Z90" s="173"/>
      <c r="AA90" s="173"/>
    </row>
    <row r="91" spans="1:27" ht="12.75" x14ac:dyDescent="0.2">
      <c r="A91" s="122"/>
      <c r="B91" s="340" t="s">
        <v>161</v>
      </c>
      <c r="C91" s="405"/>
      <c r="D91" s="405"/>
      <c r="E91" s="405"/>
      <c r="F91" s="405"/>
      <c r="G91" s="405"/>
      <c r="H91" s="405"/>
      <c r="I91" s="405"/>
      <c r="J91" s="405"/>
      <c r="K91" s="405"/>
      <c r="L91" s="405"/>
      <c r="M91" s="119"/>
      <c r="N91" s="158"/>
      <c r="O91" s="158"/>
      <c r="P91" s="158"/>
      <c r="Q91" s="122"/>
      <c r="R91" s="122"/>
      <c r="S91" s="122"/>
      <c r="T91" s="122"/>
      <c r="U91" s="122"/>
      <c r="V91" s="122"/>
      <c r="W91" s="122"/>
      <c r="X91" s="173"/>
      <c r="Y91" s="173"/>
      <c r="Z91" s="173"/>
      <c r="AA91" s="173"/>
    </row>
    <row r="92" spans="1:27" ht="12.75" x14ac:dyDescent="0.2">
      <c r="A92" s="122"/>
      <c r="B92" s="405"/>
      <c r="C92" s="395" t="s">
        <v>250</v>
      </c>
      <c r="D92" s="405"/>
      <c r="E92" s="405"/>
      <c r="F92" s="405"/>
      <c r="G92" s="405"/>
      <c r="H92" s="405"/>
      <c r="I92" s="405"/>
      <c r="J92" s="442">
        <v>0</v>
      </c>
      <c r="K92" s="395" t="s">
        <v>163</v>
      </c>
      <c r="L92" s="2" t="s">
        <v>854</v>
      </c>
      <c r="M92" s="151" t="s">
        <v>50</v>
      </c>
      <c r="N92" s="159"/>
      <c r="O92" s="159"/>
      <c r="P92" s="159"/>
      <c r="Q92" s="122"/>
      <c r="R92" s="122"/>
      <c r="S92" s="122"/>
      <c r="T92" s="122"/>
      <c r="U92" s="122"/>
      <c r="V92" s="122"/>
      <c r="W92" s="122"/>
      <c r="X92" s="173"/>
      <c r="Y92" s="173"/>
      <c r="Z92" s="173"/>
      <c r="AA92" s="173"/>
    </row>
    <row r="93" spans="1:27" ht="12.75" x14ac:dyDescent="0.2">
      <c r="A93" s="122"/>
      <c r="B93" s="405"/>
      <c r="C93" s="395" t="s">
        <v>162</v>
      </c>
      <c r="D93" s="405"/>
      <c r="E93" s="405"/>
      <c r="F93" s="405"/>
      <c r="G93" s="405"/>
      <c r="H93" s="405"/>
      <c r="I93" s="405"/>
      <c r="J93" s="443">
        <v>2800</v>
      </c>
      <c r="K93" s="395" t="s">
        <v>163</v>
      </c>
      <c r="L93" s="2" t="s">
        <v>854</v>
      </c>
      <c r="M93" s="151" t="s">
        <v>50</v>
      </c>
      <c r="N93" s="159"/>
      <c r="O93" s="159"/>
      <c r="P93" s="159"/>
      <c r="Q93" s="122"/>
      <c r="R93" s="122"/>
      <c r="S93" s="122"/>
      <c r="T93" s="122"/>
      <c r="U93" s="122"/>
      <c r="V93" s="122"/>
      <c r="W93" s="122"/>
      <c r="X93" s="173"/>
      <c r="Y93" s="173"/>
      <c r="Z93" s="173"/>
      <c r="AA93" s="173"/>
    </row>
    <row r="94" spans="1:27" ht="12.75" x14ac:dyDescent="0.2">
      <c r="A94" s="122"/>
      <c r="B94" s="405"/>
      <c r="C94" s="395" t="s">
        <v>164</v>
      </c>
      <c r="D94" s="405"/>
      <c r="E94" s="405"/>
      <c r="F94" s="405"/>
      <c r="G94" s="405"/>
      <c r="H94" s="405"/>
      <c r="I94" s="405"/>
      <c r="J94" s="443">
        <v>4500</v>
      </c>
      <c r="K94" s="395" t="s">
        <v>163</v>
      </c>
      <c r="L94" s="2" t="s">
        <v>854</v>
      </c>
      <c r="M94" s="151" t="s">
        <v>50</v>
      </c>
      <c r="N94" s="159"/>
      <c r="O94" s="159"/>
      <c r="P94" s="159"/>
      <c r="Q94" s="122"/>
      <c r="R94" s="122"/>
      <c r="S94" s="122"/>
      <c r="T94" s="122"/>
      <c r="U94" s="122"/>
      <c r="V94" s="122"/>
      <c r="W94" s="122"/>
      <c r="X94" s="173"/>
      <c r="Y94" s="173"/>
      <c r="Z94" s="173"/>
      <c r="AA94" s="173"/>
    </row>
    <row r="95" spans="1:27" ht="12.75" x14ac:dyDescent="0.2">
      <c r="A95" s="122"/>
      <c r="B95" s="405"/>
      <c r="C95" s="395" t="s">
        <v>166</v>
      </c>
      <c r="D95" s="405"/>
      <c r="E95" s="405"/>
      <c r="F95" s="405"/>
      <c r="G95" s="405"/>
      <c r="H95" s="405"/>
      <c r="I95" s="405"/>
      <c r="J95" s="443">
        <v>10000</v>
      </c>
      <c r="K95" s="395" t="s">
        <v>163</v>
      </c>
      <c r="L95" s="2" t="s">
        <v>854</v>
      </c>
      <c r="M95" s="151" t="s">
        <v>50</v>
      </c>
      <c r="N95" s="159"/>
      <c r="O95" s="159"/>
      <c r="P95" s="159"/>
      <c r="Q95" s="122"/>
      <c r="R95" s="122"/>
      <c r="S95" s="122"/>
      <c r="T95" s="122"/>
      <c r="U95" s="122"/>
      <c r="V95" s="122"/>
      <c r="W95" s="122"/>
      <c r="X95" s="173"/>
      <c r="Y95" s="173"/>
      <c r="Z95" s="173"/>
      <c r="AA95" s="173"/>
    </row>
    <row r="96" spans="1:27" ht="12.75" x14ac:dyDescent="0.2">
      <c r="A96" s="122"/>
      <c r="B96" s="405"/>
      <c r="C96" s="395" t="s">
        <v>168</v>
      </c>
      <c r="D96" s="405"/>
      <c r="E96" s="405"/>
      <c r="F96" s="405"/>
      <c r="G96" s="405"/>
      <c r="H96" s="405"/>
      <c r="I96" s="405"/>
      <c r="J96" s="443">
        <v>13000</v>
      </c>
      <c r="K96" s="395" t="s">
        <v>163</v>
      </c>
      <c r="L96" s="2" t="s">
        <v>854</v>
      </c>
      <c r="M96" s="151" t="s">
        <v>50</v>
      </c>
      <c r="N96" s="159"/>
      <c r="O96" s="159"/>
      <c r="P96" s="159"/>
      <c r="Q96" s="122"/>
      <c r="R96" s="122"/>
      <c r="S96" s="122"/>
      <c r="T96" s="122"/>
      <c r="U96" s="122"/>
      <c r="V96" s="122"/>
      <c r="W96" s="122"/>
      <c r="X96" s="173"/>
      <c r="Y96" s="173"/>
      <c r="Z96" s="173"/>
      <c r="AA96" s="173"/>
    </row>
    <row r="97" spans="1:30" ht="12.75" x14ac:dyDescent="0.2">
      <c r="A97" s="122"/>
      <c r="B97" s="405"/>
      <c r="C97" s="395" t="s">
        <v>171</v>
      </c>
      <c r="D97" s="405"/>
      <c r="E97" s="405"/>
      <c r="F97" s="405"/>
      <c r="G97" s="405"/>
      <c r="H97" s="405"/>
      <c r="I97" s="405"/>
      <c r="J97" s="444">
        <v>0.9</v>
      </c>
      <c r="K97" s="395" t="s">
        <v>256</v>
      </c>
      <c r="L97" s="405" t="s">
        <v>381</v>
      </c>
      <c r="M97" s="151" t="s">
        <v>50</v>
      </c>
      <c r="N97" s="159"/>
      <c r="O97" s="159"/>
      <c r="P97" s="159"/>
      <c r="Q97" s="122"/>
      <c r="R97" s="122"/>
      <c r="S97" s="122"/>
      <c r="T97" s="122"/>
      <c r="U97" s="122"/>
      <c r="V97" s="122"/>
      <c r="W97" s="122"/>
      <c r="X97" s="173"/>
      <c r="Y97" s="173"/>
      <c r="Z97" s="173"/>
      <c r="AA97" s="173"/>
    </row>
    <row r="98" spans="1:30" ht="12.75" x14ac:dyDescent="0.2">
      <c r="A98" s="122"/>
      <c r="B98" s="405"/>
      <c r="C98" s="395" t="s">
        <v>251</v>
      </c>
      <c r="D98" s="405"/>
      <c r="E98" s="405"/>
      <c r="F98" s="405"/>
      <c r="G98" s="405"/>
      <c r="H98" s="405"/>
      <c r="I98" s="405"/>
      <c r="J98" s="444">
        <v>0.2</v>
      </c>
      <c r="K98" s="395" t="s">
        <v>256</v>
      </c>
      <c r="L98" s="405" t="s">
        <v>12</v>
      </c>
      <c r="M98" s="151" t="s">
        <v>50</v>
      </c>
      <c r="N98" s="159"/>
      <c r="O98" s="159"/>
      <c r="P98" s="159"/>
      <c r="Q98" s="122"/>
      <c r="R98" s="122"/>
      <c r="S98" s="122"/>
      <c r="T98" s="122"/>
      <c r="U98" s="122"/>
      <c r="V98" s="122"/>
      <c r="W98" s="122"/>
      <c r="X98" s="173"/>
      <c r="Y98" s="173"/>
      <c r="Z98" s="173"/>
      <c r="AA98" s="173"/>
    </row>
    <row r="99" spans="1:30" ht="12.75" x14ac:dyDescent="0.2">
      <c r="A99" s="122"/>
      <c r="B99" s="405"/>
      <c r="C99" s="395" t="s">
        <v>257</v>
      </c>
      <c r="D99" s="405"/>
      <c r="E99" s="405"/>
      <c r="F99" s="405"/>
      <c r="G99" s="405"/>
      <c r="H99" s="405"/>
      <c r="I99" s="405"/>
      <c r="J99" s="445">
        <v>5</v>
      </c>
      <c r="K99" s="395" t="s">
        <v>12</v>
      </c>
      <c r="L99" s="405" t="s">
        <v>12</v>
      </c>
      <c r="M99" s="151"/>
      <c r="N99" s="159"/>
      <c r="O99" s="159"/>
      <c r="P99" s="159"/>
      <c r="Q99" s="122"/>
      <c r="R99" s="122"/>
      <c r="S99" s="122"/>
      <c r="T99" s="122"/>
      <c r="U99" s="122"/>
      <c r="V99" s="122"/>
      <c r="W99" s="122"/>
      <c r="X99" s="173"/>
      <c r="Y99" s="173"/>
      <c r="Z99" s="173"/>
      <c r="AA99" s="173"/>
    </row>
    <row r="100" spans="1:30" ht="12.75" x14ac:dyDescent="0.2">
      <c r="A100" s="122"/>
      <c r="B100" s="405"/>
      <c r="C100" s="395" t="s">
        <v>710</v>
      </c>
      <c r="D100" s="405"/>
      <c r="E100" s="405"/>
      <c r="F100" s="405"/>
      <c r="G100" s="405"/>
      <c r="H100" s="405"/>
      <c r="I100" s="405"/>
      <c r="J100" s="581">
        <f>'Total Beneficiaries and Funding'!E15</f>
        <v>2630604.6451557353</v>
      </c>
      <c r="K100" s="395" t="s">
        <v>172</v>
      </c>
      <c r="L100" s="405" t="s">
        <v>740</v>
      </c>
      <c r="M100" s="151" t="s">
        <v>50</v>
      </c>
      <c r="N100" s="159"/>
      <c r="O100" s="159"/>
      <c r="P100" s="159"/>
      <c r="Q100" s="122"/>
      <c r="R100" s="122"/>
      <c r="S100" s="122"/>
      <c r="T100" s="122"/>
      <c r="U100" s="122"/>
      <c r="V100" s="122"/>
      <c r="W100" s="122"/>
      <c r="X100" s="173"/>
      <c r="Y100" s="173"/>
      <c r="Z100" s="173"/>
      <c r="AA100" s="173"/>
    </row>
    <row r="101" spans="1:30" customFormat="1" ht="12.75" x14ac:dyDescent="0.2">
      <c r="A101" s="3"/>
      <c r="B101" s="2"/>
      <c r="C101" s="393" t="s">
        <v>939</v>
      </c>
      <c r="D101" s="2"/>
      <c r="E101" s="2"/>
      <c r="F101" s="837"/>
      <c r="G101" s="837"/>
      <c r="H101" s="837"/>
      <c r="I101" s="837"/>
      <c r="J101" s="444">
        <v>0</v>
      </c>
      <c r="K101" s="838" t="s">
        <v>5</v>
      </c>
      <c r="L101" s="422" t="s">
        <v>940</v>
      </c>
      <c r="M101" s="393"/>
      <c r="N101" s="159"/>
      <c r="O101" s="159"/>
      <c r="P101" s="159"/>
      <c r="Q101" s="122"/>
      <c r="R101" s="122"/>
      <c r="S101" s="122"/>
      <c r="T101" s="3"/>
      <c r="U101" s="3"/>
      <c r="V101" s="3"/>
      <c r="W101" s="3"/>
      <c r="X101" s="3"/>
      <c r="Y101" s="3"/>
      <c r="Z101" s="3"/>
      <c r="AA101" s="3"/>
      <c r="AB101" s="3"/>
      <c r="AC101" s="3"/>
      <c r="AD101" s="3"/>
    </row>
    <row r="102" spans="1:30" ht="12.75" x14ac:dyDescent="0.2">
      <c r="A102" s="122"/>
      <c r="B102" s="405"/>
      <c r="C102" s="395" t="s">
        <v>268</v>
      </c>
      <c r="D102" s="405"/>
      <c r="E102" s="405"/>
      <c r="F102" s="405"/>
      <c r="G102" s="405"/>
      <c r="H102" s="405"/>
      <c r="I102" s="405"/>
      <c r="J102" s="446">
        <v>0</v>
      </c>
      <c r="K102" s="391" t="s">
        <v>269</v>
      </c>
      <c r="L102" s="422"/>
      <c r="M102" s="160"/>
      <c r="N102" s="159"/>
      <c r="O102" s="159"/>
      <c r="P102" s="159"/>
      <c r="Q102" s="122"/>
      <c r="R102" s="122"/>
      <c r="S102" s="122"/>
      <c r="T102" s="122"/>
      <c r="U102" s="122"/>
      <c r="V102" s="122"/>
      <c r="W102" s="122"/>
      <c r="X102" s="173"/>
      <c r="Y102" s="173"/>
      <c r="Z102" s="173"/>
      <c r="AA102" s="173"/>
    </row>
    <row r="103" spans="1:30" ht="12.75" x14ac:dyDescent="0.2">
      <c r="A103" s="122"/>
      <c r="B103" s="405"/>
      <c r="C103" s="395" t="s">
        <v>270</v>
      </c>
      <c r="D103" s="405"/>
      <c r="E103" s="405"/>
      <c r="F103" s="405"/>
      <c r="G103" s="405"/>
      <c r="H103" s="405"/>
      <c r="I103" s="405"/>
      <c r="J103" s="445">
        <v>5</v>
      </c>
      <c r="K103" s="391" t="s">
        <v>66</v>
      </c>
      <c r="L103" s="422"/>
      <c r="M103" s="160"/>
      <c r="N103" s="159"/>
      <c r="O103" s="159"/>
      <c r="P103" s="159"/>
      <c r="Q103" s="122"/>
      <c r="R103" s="122"/>
      <c r="S103" s="122"/>
      <c r="T103" s="122"/>
      <c r="U103" s="122"/>
      <c r="V103" s="122"/>
      <c r="W103" s="122"/>
      <c r="X103" s="173"/>
      <c r="Y103" s="173"/>
      <c r="Z103" s="173"/>
      <c r="AA103" s="173"/>
    </row>
    <row r="104" spans="1:30" ht="12.75" x14ac:dyDescent="0.2">
      <c r="A104" s="122"/>
      <c r="B104" s="405"/>
      <c r="C104" s="395" t="s">
        <v>909</v>
      </c>
      <c r="D104" s="405"/>
      <c r="E104" s="405"/>
      <c r="F104" s="405"/>
      <c r="G104" s="405"/>
      <c r="H104" s="405"/>
      <c r="I104" s="405"/>
      <c r="J104" s="444">
        <v>0</v>
      </c>
      <c r="K104" s="391" t="s">
        <v>5</v>
      </c>
      <c r="L104" s="422" t="s">
        <v>910</v>
      </c>
      <c r="M104" s="160"/>
      <c r="N104" s="159"/>
      <c r="O104" s="159"/>
      <c r="P104" s="159"/>
      <c r="Q104" s="122"/>
      <c r="R104" s="122"/>
      <c r="S104" s="122"/>
      <c r="T104" s="122"/>
      <c r="U104" s="122"/>
      <c r="V104" s="122"/>
      <c r="W104" s="122"/>
      <c r="X104" s="173"/>
      <c r="Y104" s="173"/>
      <c r="Z104" s="173"/>
      <c r="AA104" s="173"/>
    </row>
    <row r="105" spans="1:30" ht="12.75" x14ac:dyDescent="0.2">
      <c r="A105" s="122"/>
      <c r="B105" s="122"/>
      <c r="C105" s="122"/>
      <c r="D105" s="122"/>
      <c r="E105" s="122"/>
      <c r="F105" s="122"/>
      <c r="G105" s="122"/>
      <c r="H105" s="122"/>
      <c r="I105" s="122"/>
      <c r="J105" s="122"/>
      <c r="K105" s="122"/>
      <c r="L105" s="122"/>
      <c r="M105" s="122"/>
      <c r="N105" s="122"/>
      <c r="O105" s="122"/>
      <c r="P105" s="122"/>
      <c r="Q105" s="122"/>
      <c r="R105" s="122"/>
      <c r="S105" s="122"/>
      <c r="T105" s="173"/>
      <c r="U105" s="173"/>
      <c r="V105" s="173"/>
      <c r="W105" s="173"/>
      <c r="X105" s="173"/>
      <c r="Y105" s="173"/>
      <c r="Z105" s="173"/>
    </row>
    <row r="106" spans="1:30" ht="12.75" x14ac:dyDescent="0.2">
      <c r="A106" s="145" t="s">
        <v>173</v>
      </c>
      <c r="B106" s="119"/>
      <c r="C106" s="119"/>
      <c r="D106" s="161" t="s">
        <v>174</v>
      </c>
      <c r="E106" s="161"/>
      <c r="F106" s="162">
        <v>0</v>
      </c>
      <c r="G106" s="162">
        <v>1</v>
      </c>
      <c r="H106" s="162">
        <v>2</v>
      </c>
      <c r="I106" s="162">
        <v>3</v>
      </c>
      <c r="J106" s="162">
        <v>4</v>
      </c>
      <c r="K106" s="162">
        <v>5</v>
      </c>
      <c r="L106" s="162">
        <v>6</v>
      </c>
      <c r="M106" s="162">
        <v>7</v>
      </c>
      <c r="N106" s="162">
        <v>8</v>
      </c>
      <c r="O106" s="162">
        <v>9</v>
      </c>
      <c r="P106" s="119"/>
      <c r="Q106" s="119"/>
      <c r="R106" s="119"/>
      <c r="S106" s="119"/>
      <c r="T106" s="158"/>
      <c r="U106" s="158"/>
      <c r="V106" s="158"/>
      <c r="W106" s="158"/>
      <c r="X106" s="158"/>
      <c r="Y106" s="158"/>
      <c r="Z106" s="158"/>
    </row>
    <row r="107" spans="1:30" ht="12.75" x14ac:dyDescent="0.2">
      <c r="A107" s="122"/>
      <c r="B107" s="145" t="s">
        <v>175</v>
      </c>
      <c r="C107" s="119"/>
      <c r="D107" s="157"/>
      <c r="E107" s="157"/>
      <c r="F107" s="157"/>
      <c r="G107" s="157"/>
      <c r="H107" s="157"/>
      <c r="I107" s="157"/>
      <c r="J107" s="157"/>
      <c r="K107" s="157"/>
      <c r="L107" s="157"/>
      <c r="M107" s="157"/>
      <c r="N107" s="157"/>
      <c r="O107" s="157"/>
      <c r="P107" s="149"/>
      <c r="Q107" s="122"/>
      <c r="R107" s="122"/>
      <c r="S107" s="122"/>
      <c r="T107" s="173"/>
      <c r="U107" s="173"/>
      <c r="V107" s="173"/>
      <c r="W107" s="173"/>
      <c r="X107" s="173"/>
      <c r="Y107" s="173"/>
      <c r="Z107" s="173"/>
    </row>
    <row r="108" spans="1:30" ht="12.75" x14ac:dyDescent="0.2">
      <c r="A108" s="122"/>
      <c r="B108" s="119"/>
      <c r="C108" s="123" t="s">
        <v>176</v>
      </c>
      <c r="D108" s="119"/>
      <c r="E108" s="119"/>
      <c r="F108" s="118">
        <f t="shared" ref="F108:O108" si="1">$F$8</f>
        <v>7.9000000000000001E-2</v>
      </c>
      <c r="G108" s="118">
        <f t="shared" si="1"/>
        <v>7.9000000000000001E-2</v>
      </c>
      <c r="H108" s="118">
        <f t="shared" si="1"/>
        <v>7.9000000000000001E-2</v>
      </c>
      <c r="I108" s="118">
        <f t="shared" si="1"/>
        <v>7.9000000000000001E-2</v>
      </c>
      <c r="J108" s="118">
        <f t="shared" si="1"/>
        <v>7.9000000000000001E-2</v>
      </c>
      <c r="K108" s="118">
        <f t="shared" si="1"/>
        <v>7.9000000000000001E-2</v>
      </c>
      <c r="L108" s="118">
        <f t="shared" si="1"/>
        <v>7.9000000000000001E-2</v>
      </c>
      <c r="M108" s="118">
        <f t="shared" si="1"/>
        <v>7.9000000000000001E-2</v>
      </c>
      <c r="N108" s="118">
        <f t="shared" si="1"/>
        <v>7.9000000000000001E-2</v>
      </c>
      <c r="O108" s="118">
        <f t="shared" si="1"/>
        <v>7.9000000000000001E-2</v>
      </c>
      <c r="P108" s="122"/>
      <c r="Q108" s="122"/>
      <c r="R108" s="122"/>
      <c r="S108" s="122"/>
      <c r="T108" s="173"/>
      <c r="U108" s="173"/>
      <c r="V108" s="173"/>
      <c r="W108" s="173"/>
      <c r="X108" s="173"/>
      <c r="Y108" s="173"/>
      <c r="Z108" s="173"/>
    </row>
    <row r="109" spans="1:30" ht="12.75" x14ac:dyDescent="0.2">
      <c r="A109" s="122"/>
      <c r="B109" s="119"/>
      <c r="C109" s="123" t="s">
        <v>177</v>
      </c>
      <c r="D109" s="119"/>
      <c r="E109" s="119"/>
      <c r="F109" s="163">
        <v>1</v>
      </c>
      <c r="G109" s="164">
        <f t="shared" ref="G109:O109" si="2">F109*(1+G108)</f>
        <v>1.079</v>
      </c>
      <c r="H109" s="164">
        <f t="shared" si="2"/>
        <v>1.1642409999999999</v>
      </c>
      <c r="I109" s="164">
        <f t="shared" si="2"/>
        <v>1.2562160389999999</v>
      </c>
      <c r="J109" s="164">
        <f t="shared" si="2"/>
        <v>1.3554571060809999</v>
      </c>
      <c r="K109" s="164">
        <f t="shared" si="2"/>
        <v>1.4625382174613988</v>
      </c>
      <c r="L109" s="164">
        <f t="shared" si="2"/>
        <v>1.5780787366408493</v>
      </c>
      <c r="M109" s="164">
        <f t="shared" si="2"/>
        <v>1.7027469568354763</v>
      </c>
      <c r="N109" s="164">
        <f t="shared" si="2"/>
        <v>1.8372639664254788</v>
      </c>
      <c r="O109" s="164">
        <f t="shared" si="2"/>
        <v>1.9824078197730917</v>
      </c>
      <c r="P109" s="122"/>
      <c r="Q109" s="122"/>
      <c r="R109" s="122"/>
      <c r="S109" s="122"/>
      <c r="T109" s="173"/>
      <c r="U109" s="173"/>
      <c r="V109" s="173"/>
      <c r="W109" s="173"/>
      <c r="X109" s="173"/>
      <c r="Y109" s="173"/>
      <c r="Z109" s="173"/>
    </row>
    <row r="110" spans="1:30" ht="12.75" x14ac:dyDescent="0.2">
      <c r="A110" s="122"/>
      <c r="B110" s="119"/>
      <c r="C110" s="123" t="s">
        <v>7</v>
      </c>
      <c r="D110" s="119"/>
      <c r="E110" s="119"/>
      <c r="F110" s="118">
        <f t="shared" ref="F110:O110" si="3">$F$9</f>
        <v>2.5000000000000001E-2</v>
      </c>
      <c r="G110" s="118">
        <f t="shared" si="3"/>
        <v>2.5000000000000001E-2</v>
      </c>
      <c r="H110" s="118">
        <f t="shared" si="3"/>
        <v>2.5000000000000001E-2</v>
      </c>
      <c r="I110" s="118">
        <f t="shared" si="3"/>
        <v>2.5000000000000001E-2</v>
      </c>
      <c r="J110" s="118">
        <f t="shared" si="3"/>
        <v>2.5000000000000001E-2</v>
      </c>
      <c r="K110" s="118">
        <f t="shared" si="3"/>
        <v>2.5000000000000001E-2</v>
      </c>
      <c r="L110" s="118">
        <f t="shared" si="3"/>
        <v>2.5000000000000001E-2</v>
      </c>
      <c r="M110" s="118">
        <f t="shared" si="3"/>
        <v>2.5000000000000001E-2</v>
      </c>
      <c r="N110" s="118">
        <f t="shared" si="3"/>
        <v>2.5000000000000001E-2</v>
      </c>
      <c r="O110" s="118">
        <f t="shared" si="3"/>
        <v>2.5000000000000001E-2</v>
      </c>
      <c r="P110" s="122"/>
      <c r="Q110" s="122"/>
      <c r="R110" s="122"/>
      <c r="S110" s="122"/>
      <c r="T110" s="173"/>
      <c r="U110" s="173"/>
      <c r="V110" s="173"/>
      <c r="W110" s="173"/>
      <c r="X110" s="173"/>
      <c r="Y110" s="173"/>
      <c r="Z110" s="173"/>
    </row>
    <row r="111" spans="1:30" ht="12.75" x14ac:dyDescent="0.2">
      <c r="A111" s="122"/>
      <c r="B111" s="119"/>
      <c r="C111" s="123" t="s">
        <v>179</v>
      </c>
      <c r="D111" s="119"/>
      <c r="E111" s="119"/>
      <c r="F111" s="121">
        <v>1</v>
      </c>
      <c r="G111" s="121">
        <f t="shared" ref="G111:O111" si="4">F111*(1+G110)</f>
        <v>1.0249999999999999</v>
      </c>
      <c r="H111" s="121">
        <f t="shared" si="4"/>
        <v>1.0506249999999999</v>
      </c>
      <c r="I111" s="121">
        <f t="shared" si="4"/>
        <v>1.0768906249999999</v>
      </c>
      <c r="J111" s="121">
        <f t="shared" si="4"/>
        <v>1.1038128906249998</v>
      </c>
      <c r="K111" s="121">
        <f t="shared" si="4"/>
        <v>1.1314082128906247</v>
      </c>
      <c r="L111" s="121">
        <f t="shared" si="4"/>
        <v>1.1596934182128902</v>
      </c>
      <c r="M111" s="121">
        <f t="shared" si="4"/>
        <v>1.1886857536682123</v>
      </c>
      <c r="N111" s="121">
        <f t="shared" si="4"/>
        <v>1.2184028975099175</v>
      </c>
      <c r="O111" s="121">
        <f t="shared" si="4"/>
        <v>1.2488629699476652</v>
      </c>
      <c r="P111" s="122"/>
      <c r="Q111" s="122"/>
      <c r="R111" s="122"/>
      <c r="S111" s="122"/>
      <c r="T111" s="173"/>
      <c r="U111" s="173"/>
      <c r="V111" s="173"/>
      <c r="W111" s="173"/>
      <c r="X111" s="173"/>
      <c r="Y111" s="173"/>
      <c r="Z111" s="173"/>
    </row>
    <row r="112" spans="1:30" ht="12.75" x14ac:dyDescent="0.2">
      <c r="A112" s="122"/>
      <c r="B112" s="119"/>
      <c r="C112" s="123" t="s">
        <v>180</v>
      </c>
      <c r="D112" s="119"/>
      <c r="E112" s="119"/>
      <c r="F112" s="121">
        <f t="shared" ref="F112:O112" si="5">F109/F111</f>
        <v>1</v>
      </c>
      <c r="G112" s="121">
        <f t="shared" si="5"/>
        <v>1.0526829268292683</v>
      </c>
      <c r="H112" s="121">
        <f t="shared" si="5"/>
        <v>1.1081413444378345</v>
      </c>
      <c r="I112" s="121">
        <f t="shared" si="5"/>
        <v>1.16652147380334</v>
      </c>
      <c r="J112" s="121">
        <f t="shared" si="5"/>
        <v>1.2279772392524917</v>
      </c>
      <c r="K112" s="121">
        <f t="shared" si="5"/>
        <v>1.2926706742960377</v>
      </c>
      <c r="L112" s="121">
        <f t="shared" si="5"/>
        <v>1.3607723488443169</v>
      </c>
      <c r="M112" s="121">
        <f t="shared" si="5"/>
        <v>1.4324618189297738</v>
      </c>
      <c r="N112" s="121">
        <f t="shared" si="5"/>
        <v>1.5079281001221716</v>
      </c>
      <c r="O112" s="121">
        <f t="shared" si="5"/>
        <v>1.5873701658847057</v>
      </c>
      <c r="P112" s="122"/>
      <c r="Q112" s="122"/>
      <c r="R112" s="122"/>
      <c r="S112" s="122"/>
      <c r="T112" s="173"/>
      <c r="U112" s="173"/>
      <c r="V112" s="173"/>
      <c r="W112" s="173"/>
      <c r="X112" s="173"/>
      <c r="Y112" s="173"/>
      <c r="Z112" s="173"/>
    </row>
    <row r="113" spans="1:26" ht="12.75" x14ac:dyDescent="0.2">
      <c r="A113" s="122"/>
      <c r="B113" s="119"/>
      <c r="C113" s="123" t="s">
        <v>181</v>
      </c>
      <c r="D113" s="119"/>
      <c r="E113" s="119"/>
      <c r="F113" s="164">
        <f t="shared" ref="F113:O113" si="6">$F$10</f>
        <v>157.54</v>
      </c>
      <c r="G113" s="164">
        <f t="shared" si="6"/>
        <v>157.54</v>
      </c>
      <c r="H113" s="164">
        <f t="shared" si="6"/>
        <v>157.54</v>
      </c>
      <c r="I113" s="164">
        <f t="shared" si="6"/>
        <v>157.54</v>
      </c>
      <c r="J113" s="164">
        <f t="shared" si="6"/>
        <v>157.54</v>
      </c>
      <c r="K113" s="164">
        <f t="shared" si="6"/>
        <v>157.54</v>
      </c>
      <c r="L113" s="164">
        <f t="shared" si="6"/>
        <v>157.54</v>
      </c>
      <c r="M113" s="164">
        <f t="shared" si="6"/>
        <v>157.54</v>
      </c>
      <c r="N113" s="164">
        <f t="shared" si="6"/>
        <v>157.54</v>
      </c>
      <c r="O113" s="164">
        <f t="shared" si="6"/>
        <v>157.54</v>
      </c>
      <c r="P113" s="122"/>
      <c r="Q113" s="122"/>
      <c r="R113" s="122"/>
      <c r="S113" s="122"/>
      <c r="T113" s="173"/>
      <c r="U113" s="173"/>
      <c r="V113" s="173"/>
      <c r="W113" s="173"/>
      <c r="X113" s="173"/>
      <c r="Y113" s="173"/>
      <c r="Z113" s="173"/>
    </row>
    <row r="114" spans="1:26" ht="12.75" x14ac:dyDescent="0.2">
      <c r="A114" s="122"/>
      <c r="B114" s="119"/>
      <c r="C114" s="123" t="s">
        <v>182</v>
      </c>
      <c r="D114" s="119"/>
      <c r="E114" s="119"/>
      <c r="F114" s="118">
        <f t="shared" ref="F114:O114" si="7">$F$11</f>
        <v>0</v>
      </c>
      <c r="G114" s="118">
        <f t="shared" si="7"/>
        <v>0</v>
      </c>
      <c r="H114" s="118">
        <f t="shared" si="7"/>
        <v>0</v>
      </c>
      <c r="I114" s="118">
        <f t="shared" si="7"/>
        <v>0</v>
      </c>
      <c r="J114" s="118">
        <f t="shared" si="7"/>
        <v>0</v>
      </c>
      <c r="K114" s="118">
        <f t="shared" si="7"/>
        <v>0</v>
      </c>
      <c r="L114" s="118">
        <f t="shared" si="7"/>
        <v>0</v>
      </c>
      <c r="M114" s="118">
        <f t="shared" si="7"/>
        <v>0</v>
      </c>
      <c r="N114" s="118">
        <f t="shared" si="7"/>
        <v>0</v>
      </c>
      <c r="O114" s="118">
        <f t="shared" si="7"/>
        <v>0</v>
      </c>
      <c r="P114" s="122"/>
      <c r="Q114" s="122"/>
      <c r="R114" s="122"/>
      <c r="S114" s="122"/>
      <c r="T114" s="173"/>
      <c r="U114" s="173"/>
      <c r="V114" s="173"/>
      <c r="W114" s="173"/>
      <c r="X114" s="173"/>
      <c r="Y114" s="173"/>
      <c r="Z114" s="173"/>
    </row>
    <row r="115" spans="1:26" ht="12.75" x14ac:dyDescent="0.2">
      <c r="A115" s="122"/>
      <c r="B115" s="119"/>
      <c r="C115" s="123" t="s">
        <v>183</v>
      </c>
      <c r="D115" s="119"/>
      <c r="E115" s="119"/>
      <c r="F115" s="164">
        <f t="shared" ref="F115:O115" si="8">F113*(1+F114)^F106</f>
        <v>157.54</v>
      </c>
      <c r="G115" s="164">
        <f t="shared" si="8"/>
        <v>157.54</v>
      </c>
      <c r="H115" s="164">
        <f t="shared" si="8"/>
        <v>157.54</v>
      </c>
      <c r="I115" s="164">
        <f t="shared" si="8"/>
        <v>157.54</v>
      </c>
      <c r="J115" s="164">
        <f t="shared" si="8"/>
        <v>157.54</v>
      </c>
      <c r="K115" s="164">
        <f t="shared" si="8"/>
        <v>157.54</v>
      </c>
      <c r="L115" s="164">
        <f t="shared" si="8"/>
        <v>157.54</v>
      </c>
      <c r="M115" s="164">
        <f t="shared" si="8"/>
        <v>157.54</v>
      </c>
      <c r="N115" s="164">
        <f t="shared" si="8"/>
        <v>157.54</v>
      </c>
      <c r="O115" s="164">
        <f t="shared" si="8"/>
        <v>157.54</v>
      </c>
      <c r="P115" s="122"/>
      <c r="Q115" s="122"/>
      <c r="R115" s="122"/>
      <c r="S115" s="122"/>
      <c r="T115" s="173"/>
      <c r="U115" s="173"/>
      <c r="V115" s="173"/>
      <c r="W115" s="173"/>
      <c r="X115" s="173"/>
      <c r="Y115" s="173"/>
      <c r="Z115" s="173"/>
    </row>
    <row r="116" spans="1:26" ht="12.75" x14ac:dyDescent="0.2">
      <c r="A116" s="122"/>
      <c r="B116" s="119"/>
      <c r="C116" s="123" t="s">
        <v>184</v>
      </c>
      <c r="D116" s="119"/>
      <c r="E116" s="119"/>
      <c r="F116" s="164">
        <f t="shared" ref="F116:O116" si="9">F115*F112</f>
        <v>157.54</v>
      </c>
      <c r="G116" s="164">
        <f t="shared" si="9"/>
        <v>165.83966829268292</v>
      </c>
      <c r="H116" s="164">
        <f t="shared" si="9"/>
        <v>174.57658740273644</v>
      </c>
      <c r="I116" s="164">
        <f t="shared" si="9"/>
        <v>183.77379298297819</v>
      </c>
      <c r="J116" s="164">
        <f t="shared" si="9"/>
        <v>193.45553427183754</v>
      </c>
      <c r="K116" s="164">
        <f t="shared" si="9"/>
        <v>203.64733802859777</v>
      </c>
      <c r="L116" s="164">
        <f t="shared" si="9"/>
        <v>214.37607583693367</v>
      </c>
      <c r="M116" s="164">
        <f t="shared" si="9"/>
        <v>225.67003495419655</v>
      </c>
      <c r="N116" s="164">
        <f t="shared" si="9"/>
        <v>237.55899289324691</v>
      </c>
      <c r="O116" s="164">
        <f t="shared" si="9"/>
        <v>250.07429593347652</v>
      </c>
      <c r="P116" s="122"/>
      <c r="Q116" s="122"/>
      <c r="R116" s="122"/>
      <c r="S116" s="122"/>
      <c r="T116" s="173"/>
      <c r="U116" s="173"/>
      <c r="V116" s="173"/>
      <c r="W116" s="173"/>
      <c r="X116" s="173"/>
      <c r="Y116" s="173"/>
      <c r="Z116" s="173"/>
    </row>
    <row r="117" spans="1:26" ht="12.75" x14ac:dyDescent="0.2">
      <c r="A117" s="122"/>
      <c r="B117" s="122"/>
      <c r="C117" s="122"/>
      <c r="D117" s="122"/>
      <c r="E117" s="122"/>
      <c r="F117" s="122"/>
      <c r="G117" s="122"/>
      <c r="H117" s="122"/>
      <c r="I117" s="122"/>
      <c r="J117" s="122"/>
      <c r="K117" s="122"/>
      <c r="L117" s="122"/>
      <c r="M117" s="122"/>
      <c r="N117" s="122"/>
      <c r="O117" s="122"/>
      <c r="P117" s="122"/>
      <c r="Q117" s="122"/>
      <c r="R117" s="122"/>
      <c r="S117" s="122"/>
      <c r="T117" s="173"/>
      <c r="U117" s="173"/>
      <c r="V117" s="173"/>
      <c r="W117" s="173"/>
      <c r="X117" s="173"/>
      <c r="Y117" s="173"/>
      <c r="Z117" s="173"/>
    </row>
    <row r="118" spans="1:26" ht="12.75" x14ac:dyDescent="0.2">
      <c r="A118" s="147"/>
      <c r="B118" s="145" t="s">
        <v>185</v>
      </c>
      <c r="C118" s="119"/>
      <c r="D118" s="145"/>
      <c r="E118" s="165"/>
      <c r="F118" s="145"/>
      <c r="G118" s="145"/>
      <c r="H118" s="145"/>
      <c r="I118" s="145"/>
      <c r="J118" s="145"/>
      <c r="K118" s="145"/>
      <c r="L118" s="145"/>
      <c r="M118" s="145"/>
      <c r="N118" s="145"/>
      <c r="O118" s="119"/>
      <c r="P118" s="122"/>
      <c r="Q118" s="122"/>
      <c r="R118" s="122"/>
      <c r="S118" s="122"/>
      <c r="T118" s="173"/>
      <c r="U118" s="173"/>
      <c r="V118" s="173"/>
      <c r="W118" s="173"/>
      <c r="X118" s="173"/>
      <c r="Y118" s="173"/>
      <c r="Z118" s="173"/>
    </row>
    <row r="119" spans="1:26" ht="12.75" x14ac:dyDescent="0.2">
      <c r="A119" s="147"/>
      <c r="B119" s="145"/>
      <c r="C119" s="395" t="s">
        <v>1003</v>
      </c>
      <c r="D119" s="145"/>
      <c r="E119" s="165"/>
      <c r="F119" s="120">
        <f>$F$36</f>
        <v>0.02</v>
      </c>
      <c r="G119" s="120">
        <f t="shared" ref="G119:O119" si="10">$F$36</f>
        <v>0.02</v>
      </c>
      <c r="H119" s="120">
        <f t="shared" si="10"/>
        <v>0.02</v>
      </c>
      <c r="I119" s="120">
        <f t="shared" si="10"/>
        <v>0.02</v>
      </c>
      <c r="J119" s="120">
        <f t="shared" si="10"/>
        <v>0.02</v>
      </c>
      <c r="K119" s="120">
        <f t="shared" si="10"/>
        <v>0.02</v>
      </c>
      <c r="L119" s="120">
        <f t="shared" si="10"/>
        <v>0.02</v>
      </c>
      <c r="M119" s="120">
        <f t="shared" si="10"/>
        <v>0.02</v>
      </c>
      <c r="N119" s="120">
        <f t="shared" si="10"/>
        <v>0.02</v>
      </c>
      <c r="O119" s="120">
        <f t="shared" si="10"/>
        <v>0.02</v>
      </c>
      <c r="P119" s="122"/>
      <c r="Q119" s="122"/>
      <c r="R119" s="122"/>
      <c r="S119" s="122"/>
      <c r="T119" s="173"/>
      <c r="U119" s="173"/>
      <c r="V119" s="173"/>
      <c r="W119" s="173"/>
      <c r="X119" s="173"/>
      <c r="Y119" s="173"/>
      <c r="Z119" s="173"/>
    </row>
    <row r="120" spans="1:26" ht="12.75" x14ac:dyDescent="0.2">
      <c r="A120" s="147"/>
      <c r="B120" s="145"/>
      <c r="C120" s="395" t="s">
        <v>1004</v>
      </c>
      <c r="D120" s="145"/>
      <c r="E120" s="165"/>
      <c r="F120" s="166">
        <v>1</v>
      </c>
      <c r="G120" s="166">
        <f>MIN(F120*(1+G119),$F$35/$F$34)</f>
        <v>1.02</v>
      </c>
      <c r="H120" s="166">
        <f t="shared" ref="H120:O120" si="11">MIN(G120*(1+H119),$F$35/$F$34)</f>
        <v>1.0404</v>
      </c>
      <c r="I120" s="166">
        <f t="shared" si="11"/>
        <v>1.0612079999999999</v>
      </c>
      <c r="J120" s="166">
        <f t="shared" si="11"/>
        <v>1.08243216</v>
      </c>
      <c r="K120" s="166">
        <f t="shared" si="11"/>
        <v>1.1040808032</v>
      </c>
      <c r="L120" s="166">
        <f t="shared" si="11"/>
        <v>1.1261624192640001</v>
      </c>
      <c r="M120" s="166">
        <f t="shared" si="11"/>
        <v>1.14868566764928</v>
      </c>
      <c r="N120" s="166">
        <f t="shared" si="11"/>
        <v>1.1716593810022657</v>
      </c>
      <c r="O120" s="166">
        <f t="shared" si="11"/>
        <v>1.1837121212121211</v>
      </c>
      <c r="P120" s="122"/>
      <c r="Q120" s="122"/>
      <c r="R120" s="122"/>
      <c r="S120" s="122"/>
      <c r="T120" s="173"/>
      <c r="U120" s="173"/>
      <c r="V120" s="173"/>
      <c r="W120" s="173"/>
      <c r="X120" s="173"/>
      <c r="Y120" s="173"/>
      <c r="Z120" s="173"/>
    </row>
    <row r="121" spans="1:26" ht="12.75" x14ac:dyDescent="0.2">
      <c r="A121" s="147"/>
      <c r="B121" s="145"/>
      <c r="C121" s="395" t="s">
        <v>1001</v>
      </c>
      <c r="D121" s="145"/>
      <c r="E121" s="165"/>
      <c r="F121" s="120">
        <f t="shared" ref="F121:O121" si="12">$J$36</f>
        <v>0.02</v>
      </c>
      <c r="G121" s="120">
        <f t="shared" si="12"/>
        <v>0.02</v>
      </c>
      <c r="H121" s="120">
        <f t="shared" si="12"/>
        <v>0.02</v>
      </c>
      <c r="I121" s="120">
        <f t="shared" si="12"/>
        <v>0.02</v>
      </c>
      <c r="J121" s="120">
        <f t="shared" si="12"/>
        <v>0.02</v>
      </c>
      <c r="K121" s="120">
        <f t="shared" si="12"/>
        <v>0.02</v>
      </c>
      <c r="L121" s="120">
        <f t="shared" si="12"/>
        <v>0.02</v>
      </c>
      <c r="M121" s="120">
        <f t="shared" si="12"/>
        <v>0.02</v>
      </c>
      <c r="N121" s="120">
        <f t="shared" si="12"/>
        <v>0.02</v>
      </c>
      <c r="O121" s="120">
        <f t="shared" si="12"/>
        <v>0.02</v>
      </c>
      <c r="P121" s="122"/>
      <c r="Q121" s="122"/>
      <c r="R121" s="122"/>
      <c r="S121" s="122"/>
      <c r="T121" s="173"/>
      <c r="U121" s="173"/>
      <c r="V121" s="173"/>
      <c r="W121" s="173"/>
      <c r="X121" s="173"/>
      <c r="Y121" s="173"/>
      <c r="Z121" s="173"/>
    </row>
    <row r="122" spans="1:26" ht="12.75" x14ac:dyDescent="0.2">
      <c r="A122" s="147"/>
      <c r="B122" s="145"/>
      <c r="C122" s="395" t="s">
        <v>1002</v>
      </c>
      <c r="D122" s="145"/>
      <c r="E122" s="165"/>
      <c r="F122" s="166">
        <v>1</v>
      </c>
      <c r="G122" s="166">
        <f t="shared" ref="G122:O122" si="13">MIN(F122*(1+G121),$J$35/$J$34)</f>
        <v>1.02</v>
      </c>
      <c r="H122" s="166">
        <f t="shared" si="13"/>
        <v>1.0404</v>
      </c>
      <c r="I122" s="166">
        <f t="shared" si="13"/>
        <v>1.0612079999999999</v>
      </c>
      <c r="J122" s="166">
        <f t="shared" si="13"/>
        <v>1.08243216</v>
      </c>
      <c r="K122" s="166">
        <f t="shared" si="13"/>
        <v>1.1040808032</v>
      </c>
      <c r="L122" s="166">
        <f t="shared" si="13"/>
        <v>1.1261624192640001</v>
      </c>
      <c r="M122" s="166">
        <f t="shared" si="13"/>
        <v>1.14868566764928</v>
      </c>
      <c r="N122" s="166">
        <f t="shared" si="13"/>
        <v>1.1716593810022657</v>
      </c>
      <c r="O122" s="166">
        <f t="shared" si="13"/>
        <v>1.1950925686223111</v>
      </c>
      <c r="P122" s="122"/>
      <c r="Q122" s="122"/>
      <c r="R122" s="122"/>
      <c r="S122" s="122"/>
      <c r="T122" s="173"/>
      <c r="U122" s="173"/>
      <c r="V122" s="173"/>
      <c r="W122" s="173"/>
      <c r="X122" s="173"/>
      <c r="Y122" s="173"/>
      <c r="Z122" s="173"/>
    </row>
    <row r="123" spans="1:26" ht="12.75" x14ac:dyDescent="0.2">
      <c r="A123" s="147"/>
      <c r="B123" s="145"/>
      <c r="C123" s="123" t="s">
        <v>190</v>
      </c>
      <c r="D123" s="145"/>
      <c r="E123" s="165"/>
      <c r="F123" s="120">
        <f t="shared" ref="F123:O123" si="14">$J$56</f>
        <v>0</v>
      </c>
      <c r="G123" s="120">
        <f t="shared" si="14"/>
        <v>0</v>
      </c>
      <c r="H123" s="120">
        <f t="shared" si="14"/>
        <v>0</v>
      </c>
      <c r="I123" s="120">
        <f t="shared" si="14"/>
        <v>0</v>
      </c>
      <c r="J123" s="120">
        <f t="shared" si="14"/>
        <v>0</v>
      </c>
      <c r="K123" s="120">
        <f t="shared" si="14"/>
        <v>0</v>
      </c>
      <c r="L123" s="120">
        <f t="shared" si="14"/>
        <v>0</v>
      </c>
      <c r="M123" s="120">
        <f t="shared" si="14"/>
        <v>0</v>
      </c>
      <c r="N123" s="120">
        <f t="shared" si="14"/>
        <v>0</v>
      </c>
      <c r="O123" s="120">
        <f t="shared" si="14"/>
        <v>0</v>
      </c>
      <c r="P123" s="122"/>
      <c r="Q123" s="122"/>
      <c r="R123" s="122"/>
      <c r="S123" s="122"/>
      <c r="T123" s="173"/>
      <c r="U123" s="173"/>
      <c r="V123" s="173"/>
      <c r="W123" s="173"/>
      <c r="X123" s="173"/>
      <c r="Y123" s="173"/>
      <c r="Z123" s="173"/>
    </row>
    <row r="124" spans="1:26" ht="12.75" x14ac:dyDescent="0.2">
      <c r="A124" s="147"/>
      <c r="B124" s="145"/>
      <c r="C124" s="123" t="s">
        <v>191</v>
      </c>
      <c r="D124" s="145"/>
      <c r="E124" s="165"/>
      <c r="F124" s="166">
        <v>1</v>
      </c>
      <c r="G124" s="166">
        <f t="shared" ref="G124:O124" si="15">F124*(1+G123)</f>
        <v>1</v>
      </c>
      <c r="H124" s="166">
        <f t="shared" si="15"/>
        <v>1</v>
      </c>
      <c r="I124" s="166">
        <f t="shared" si="15"/>
        <v>1</v>
      </c>
      <c r="J124" s="166">
        <f t="shared" si="15"/>
        <v>1</v>
      </c>
      <c r="K124" s="166">
        <f t="shared" si="15"/>
        <v>1</v>
      </c>
      <c r="L124" s="166">
        <f t="shared" si="15"/>
        <v>1</v>
      </c>
      <c r="M124" s="166">
        <f t="shared" si="15"/>
        <v>1</v>
      </c>
      <c r="N124" s="166">
        <f t="shared" si="15"/>
        <v>1</v>
      </c>
      <c r="O124" s="166">
        <f t="shared" si="15"/>
        <v>1</v>
      </c>
      <c r="P124" s="122"/>
      <c r="Q124" s="122"/>
      <c r="R124" s="122"/>
      <c r="S124" s="122"/>
      <c r="T124" s="173"/>
      <c r="U124" s="173"/>
      <c r="V124" s="173"/>
      <c r="W124" s="173"/>
      <c r="X124" s="173"/>
      <c r="Y124" s="173"/>
      <c r="Z124" s="173"/>
    </row>
    <row r="125" spans="1:26" ht="12.75" x14ac:dyDescent="0.2">
      <c r="A125" s="147"/>
      <c r="B125" s="145"/>
      <c r="C125" s="395" t="s">
        <v>1005</v>
      </c>
      <c r="D125" s="145"/>
      <c r="E125" s="165"/>
      <c r="F125" s="746">
        <f>$J$76</f>
        <v>0</v>
      </c>
      <c r="G125" s="746">
        <f t="shared" ref="G125:O125" si="16">$J$76</f>
        <v>0</v>
      </c>
      <c r="H125" s="746">
        <f t="shared" si="16"/>
        <v>0</v>
      </c>
      <c r="I125" s="746">
        <f t="shared" si="16"/>
        <v>0</v>
      </c>
      <c r="J125" s="746">
        <f t="shared" si="16"/>
        <v>0</v>
      </c>
      <c r="K125" s="746">
        <f t="shared" si="16"/>
        <v>0</v>
      </c>
      <c r="L125" s="746">
        <f t="shared" si="16"/>
        <v>0</v>
      </c>
      <c r="M125" s="746">
        <f t="shared" si="16"/>
        <v>0</v>
      </c>
      <c r="N125" s="746">
        <f t="shared" si="16"/>
        <v>0</v>
      </c>
      <c r="O125" s="746">
        <f t="shared" si="16"/>
        <v>0</v>
      </c>
      <c r="P125" s="122"/>
      <c r="Q125" s="122"/>
      <c r="R125" s="122"/>
      <c r="S125" s="122"/>
      <c r="T125" s="173"/>
      <c r="U125" s="173"/>
      <c r="V125" s="173"/>
      <c r="W125" s="173"/>
      <c r="X125" s="173"/>
      <c r="Y125" s="173"/>
      <c r="Z125" s="173"/>
    </row>
    <row r="126" spans="1:26" ht="12.75" x14ac:dyDescent="0.2">
      <c r="A126" s="147"/>
      <c r="B126" s="145"/>
      <c r="C126" s="395" t="s">
        <v>1007</v>
      </c>
      <c r="D126" s="145"/>
      <c r="E126" s="165"/>
      <c r="F126" s="166">
        <f>1*(1+$F$125)^F$106</f>
        <v>1</v>
      </c>
      <c r="G126" s="166">
        <f t="shared" ref="G126:O126" si="17">1*(1+$F$125)^G$106</f>
        <v>1</v>
      </c>
      <c r="H126" s="166">
        <f t="shared" si="17"/>
        <v>1</v>
      </c>
      <c r="I126" s="166">
        <f t="shared" si="17"/>
        <v>1</v>
      </c>
      <c r="J126" s="166">
        <f t="shared" si="17"/>
        <v>1</v>
      </c>
      <c r="K126" s="166">
        <f t="shared" si="17"/>
        <v>1</v>
      </c>
      <c r="L126" s="166">
        <f t="shared" si="17"/>
        <v>1</v>
      </c>
      <c r="M126" s="166">
        <f t="shared" si="17"/>
        <v>1</v>
      </c>
      <c r="N126" s="166">
        <f t="shared" si="17"/>
        <v>1</v>
      </c>
      <c r="O126" s="166">
        <f t="shared" si="17"/>
        <v>1</v>
      </c>
      <c r="P126" s="122"/>
      <c r="Q126" s="122"/>
      <c r="R126" s="122"/>
      <c r="S126" s="122"/>
      <c r="T126" s="173"/>
      <c r="U126" s="173"/>
      <c r="V126" s="173"/>
      <c r="W126" s="173"/>
      <c r="X126" s="173"/>
      <c r="Y126" s="173"/>
      <c r="Z126" s="173"/>
    </row>
    <row r="127" spans="1:26" ht="12.75" x14ac:dyDescent="0.2">
      <c r="A127" s="147"/>
      <c r="B127" s="145"/>
      <c r="C127" s="395" t="s">
        <v>1006</v>
      </c>
      <c r="D127" s="145"/>
      <c r="E127" s="165"/>
      <c r="F127" s="746">
        <f>$J$77</f>
        <v>0</v>
      </c>
      <c r="G127" s="746">
        <f t="shared" ref="G127:O127" si="18">$J$77</f>
        <v>0</v>
      </c>
      <c r="H127" s="746">
        <f t="shared" si="18"/>
        <v>0</v>
      </c>
      <c r="I127" s="746">
        <f t="shared" si="18"/>
        <v>0</v>
      </c>
      <c r="J127" s="746">
        <f t="shared" si="18"/>
        <v>0</v>
      </c>
      <c r="K127" s="746">
        <f t="shared" si="18"/>
        <v>0</v>
      </c>
      <c r="L127" s="746">
        <f t="shared" si="18"/>
        <v>0</v>
      </c>
      <c r="M127" s="746">
        <f t="shared" si="18"/>
        <v>0</v>
      </c>
      <c r="N127" s="746">
        <f t="shared" si="18"/>
        <v>0</v>
      </c>
      <c r="O127" s="746">
        <f t="shared" si="18"/>
        <v>0</v>
      </c>
      <c r="P127" s="122"/>
      <c r="Q127" s="122"/>
      <c r="R127" s="122"/>
      <c r="S127" s="122"/>
      <c r="T127" s="173"/>
      <c r="U127" s="173"/>
      <c r="V127" s="173"/>
      <c r="W127" s="173"/>
      <c r="X127" s="173"/>
      <c r="Y127" s="173"/>
      <c r="Z127" s="173"/>
    </row>
    <row r="128" spans="1:26" ht="12.75" x14ac:dyDescent="0.2">
      <c r="A128" s="147"/>
      <c r="B128" s="145"/>
      <c r="C128" s="395" t="s">
        <v>1010</v>
      </c>
      <c r="D128" s="145"/>
      <c r="E128" s="165"/>
      <c r="F128" s="166">
        <f>1*(1+$F$125)^F$106</f>
        <v>1</v>
      </c>
      <c r="G128" s="166">
        <f t="shared" ref="G128:O128" si="19">1*(1+$F$125)^G$106</f>
        <v>1</v>
      </c>
      <c r="H128" s="166">
        <f t="shared" si="19"/>
        <v>1</v>
      </c>
      <c r="I128" s="166">
        <f t="shared" si="19"/>
        <v>1</v>
      </c>
      <c r="J128" s="166">
        <f t="shared" si="19"/>
        <v>1</v>
      </c>
      <c r="K128" s="166">
        <f t="shared" si="19"/>
        <v>1</v>
      </c>
      <c r="L128" s="166">
        <f t="shared" si="19"/>
        <v>1</v>
      </c>
      <c r="M128" s="166">
        <f t="shared" si="19"/>
        <v>1</v>
      </c>
      <c r="N128" s="166">
        <f t="shared" si="19"/>
        <v>1</v>
      </c>
      <c r="O128" s="166">
        <f t="shared" si="19"/>
        <v>1</v>
      </c>
      <c r="P128" s="122"/>
      <c r="Q128" s="122"/>
      <c r="R128" s="122"/>
      <c r="S128" s="122"/>
      <c r="T128" s="173"/>
      <c r="U128" s="173"/>
      <c r="V128" s="173"/>
      <c r="W128" s="173"/>
      <c r="X128" s="173"/>
      <c r="Y128" s="173"/>
      <c r="Z128" s="173"/>
    </row>
    <row r="129" spans="1:26" ht="12.75" x14ac:dyDescent="0.2">
      <c r="A129" s="147"/>
      <c r="B129" s="147"/>
      <c r="C129" s="122"/>
      <c r="D129" s="147"/>
      <c r="E129" s="167"/>
      <c r="F129" s="147"/>
      <c r="G129" s="147"/>
      <c r="H129" s="147"/>
      <c r="I129" s="147"/>
      <c r="J129" s="147"/>
      <c r="K129" s="147"/>
      <c r="L129" s="147"/>
      <c r="M129" s="147"/>
      <c r="N129" s="147"/>
      <c r="O129" s="122"/>
      <c r="P129" s="122"/>
      <c r="Q129" s="122"/>
      <c r="R129" s="122"/>
      <c r="S129" s="122"/>
      <c r="T129" s="173"/>
      <c r="U129" s="173"/>
      <c r="V129" s="173"/>
      <c r="W129" s="173"/>
      <c r="X129" s="173"/>
      <c r="Y129" s="173"/>
      <c r="Z129" s="173"/>
    </row>
    <row r="130" spans="1:26" ht="12.75" x14ac:dyDescent="0.2">
      <c r="A130" s="147"/>
      <c r="B130" s="168" t="s">
        <v>211</v>
      </c>
      <c r="C130" s="155"/>
      <c r="D130" s="169"/>
      <c r="E130" s="154"/>
      <c r="F130" s="169"/>
      <c r="G130" s="169"/>
      <c r="H130" s="169"/>
      <c r="I130" s="169"/>
      <c r="J130" s="169"/>
      <c r="K130" s="169"/>
      <c r="L130" s="169"/>
      <c r="M130" s="169"/>
      <c r="N130" s="169"/>
      <c r="O130" s="155"/>
      <c r="P130" s="122"/>
      <c r="Q130" s="122"/>
      <c r="R130" s="122"/>
      <c r="S130" s="122"/>
      <c r="T130" s="173"/>
      <c r="U130" s="173"/>
      <c r="V130" s="173"/>
      <c r="W130" s="173"/>
      <c r="X130" s="173"/>
      <c r="Y130" s="173"/>
      <c r="Z130" s="173"/>
    </row>
    <row r="131" spans="1:26" ht="12.75" x14ac:dyDescent="0.2">
      <c r="A131" s="147"/>
      <c r="B131" s="168"/>
      <c r="C131" s="432" t="s">
        <v>44</v>
      </c>
      <c r="D131" s="169"/>
      <c r="E131" s="154"/>
      <c r="F131" s="170">
        <f>IF(F$106&lt;$F$29,$F$27+$F$28,$F$27)</f>
        <v>2</v>
      </c>
      <c r="G131" s="170">
        <f t="shared" ref="G131:O131" si="20">IF(G$106&lt;$F$29,$F$27+$F$28,$F$27)</f>
        <v>2</v>
      </c>
      <c r="H131" s="170">
        <f t="shared" si="20"/>
        <v>2</v>
      </c>
      <c r="I131" s="170">
        <f t="shared" si="20"/>
        <v>2</v>
      </c>
      <c r="J131" s="170">
        <f t="shared" si="20"/>
        <v>2</v>
      </c>
      <c r="K131" s="170">
        <f t="shared" si="20"/>
        <v>2</v>
      </c>
      <c r="L131" s="170">
        <f t="shared" si="20"/>
        <v>2</v>
      </c>
      <c r="M131" s="170">
        <f t="shared" si="20"/>
        <v>2</v>
      </c>
      <c r="N131" s="170">
        <f t="shared" si="20"/>
        <v>2</v>
      </c>
      <c r="O131" s="170">
        <f t="shared" si="20"/>
        <v>2</v>
      </c>
      <c r="P131" s="122"/>
      <c r="Q131" s="122"/>
      <c r="R131" s="122"/>
      <c r="S131" s="122"/>
      <c r="T131" s="173"/>
      <c r="U131" s="173"/>
      <c r="V131" s="173"/>
      <c r="W131" s="173"/>
      <c r="X131" s="173"/>
      <c r="Y131" s="173"/>
      <c r="Z131" s="173"/>
    </row>
    <row r="132" spans="1:26" ht="12.75" x14ac:dyDescent="0.2">
      <c r="A132" s="147"/>
      <c r="B132" s="169"/>
      <c r="C132" s="432" t="s">
        <v>427</v>
      </c>
      <c r="D132" s="169"/>
      <c r="E132" s="154"/>
      <c r="F132" s="170">
        <f t="shared" ref="F132:O132" si="21">IF(F$106&lt;$J$29,$J$27+$J$28,$J$27)</f>
        <v>2</v>
      </c>
      <c r="G132" s="170">
        <f t="shared" si="21"/>
        <v>2</v>
      </c>
      <c r="H132" s="170">
        <f t="shared" si="21"/>
        <v>2</v>
      </c>
      <c r="I132" s="170">
        <f t="shared" si="21"/>
        <v>2</v>
      </c>
      <c r="J132" s="170">
        <f t="shared" si="21"/>
        <v>2</v>
      </c>
      <c r="K132" s="170">
        <f t="shared" si="21"/>
        <v>2</v>
      </c>
      <c r="L132" s="170">
        <f t="shared" si="21"/>
        <v>2</v>
      </c>
      <c r="M132" s="170">
        <f t="shared" si="21"/>
        <v>2</v>
      </c>
      <c r="N132" s="170">
        <f t="shared" si="21"/>
        <v>2</v>
      </c>
      <c r="O132" s="170">
        <f t="shared" si="21"/>
        <v>2</v>
      </c>
      <c r="P132" s="122"/>
      <c r="Q132" s="122"/>
      <c r="R132" s="122"/>
      <c r="S132" s="122"/>
      <c r="T132" s="173"/>
      <c r="U132" s="173"/>
      <c r="V132" s="173"/>
      <c r="W132" s="173"/>
      <c r="X132" s="173"/>
      <c r="Y132" s="173"/>
      <c r="Z132" s="173"/>
    </row>
    <row r="133" spans="1:26" ht="12.75" x14ac:dyDescent="0.2">
      <c r="A133" s="147"/>
      <c r="B133" s="147"/>
      <c r="C133" s="122"/>
      <c r="D133" s="147"/>
      <c r="E133" s="167"/>
      <c r="F133" s="147"/>
      <c r="G133" s="147"/>
      <c r="H133" s="147"/>
      <c r="I133" s="147"/>
      <c r="J133" s="147"/>
      <c r="K133" s="147"/>
      <c r="L133" s="147"/>
      <c r="M133" s="147"/>
      <c r="N133" s="147"/>
      <c r="O133" s="122"/>
      <c r="P133" s="122"/>
      <c r="Q133" s="122"/>
      <c r="R133" s="122"/>
      <c r="S133" s="122"/>
      <c r="T133" s="173"/>
      <c r="U133" s="173"/>
      <c r="V133" s="173"/>
      <c r="W133" s="173"/>
      <c r="X133" s="173"/>
      <c r="Y133" s="173"/>
      <c r="Z133" s="173"/>
    </row>
    <row r="134" spans="1:26" ht="12.75" x14ac:dyDescent="0.2">
      <c r="A134" s="168" t="s">
        <v>192</v>
      </c>
      <c r="B134" s="168"/>
      <c r="C134" s="150"/>
      <c r="D134" s="171" t="s">
        <v>174</v>
      </c>
      <c r="E134" s="171"/>
      <c r="F134" s="172">
        <v>0</v>
      </c>
      <c r="G134" s="172">
        <v>1</v>
      </c>
      <c r="H134" s="172">
        <v>2</v>
      </c>
      <c r="I134" s="172">
        <v>3</v>
      </c>
      <c r="J134" s="172">
        <v>4</v>
      </c>
      <c r="K134" s="172">
        <v>5</v>
      </c>
      <c r="L134" s="172">
        <v>6</v>
      </c>
      <c r="M134" s="172">
        <v>7</v>
      </c>
      <c r="N134" s="172">
        <v>8</v>
      </c>
      <c r="O134" s="172">
        <v>9</v>
      </c>
      <c r="P134" s="155"/>
      <c r="Q134" s="155"/>
      <c r="R134" s="155"/>
      <c r="S134" s="155"/>
      <c r="T134" s="173"/>
      <c r="U134" s="173"/>
      <c r="V134" s="173"/>
      <c r="W134" s="173"/>
      <c r="X134" s="173"/>
      <c r="Y134" s="173"/>
      <c r="Z134" s="173"/>
    </row>
    <row r="135" spans="1:26" ht="12.75" x14ac:dyDescent="0.2">
      <c r="A135" s="745"/>
      <c r="B135" s="340" t="s">
        <v>1011</v>
      </c>
      <c r="C135" s="123"/>
      <c r="D135" s="119"/>
      <c r="E135" s="119"/>
      <c r="F135" s="119"/>
      <c r="G135" s="119"/>
      <c r="H135" s="119"/>
      <c r="I135" s="119"/>
      <c r="J135" s="119"/>
      <c r="K135" s="119"/>
      <c r="L135" s="119"/>
      <c r="M135" s="119"/>
      <c r="N135" s="119"/>
      <c r="O135" s="119"/>
      <c r="P135" s="173"/>
      <c r="Q135" s="173"/>
      <c r="R135" s="173"/>
      <c r="S135" s="173"/>
      <c r="T135" s="173"/>
      <c r="U135" s="173"/>
      <c r="V135" s="173"/>
      <c r="W135" s="173"/>
      <c r="X135" s="173"/>
      <c r="Y135" s="173"/>
      <c r="Z135" s="173"/>
    </row>
    <row r="136" spans="1:26" ht="12.75" x14ac:dyDescent="0.2">
      <c r="A136" s="745"/>
      <c r="B136" s="119"/>
      <c r="C136" s="123" t="s">
        <v>464</v>
      </c>
      <c r="D136" s="119"/>
      <c r="E136" s="119"/>
      <c r="F136" s="125">
        <f>MIN(F$131*$F$34*F$120,$F$35*F$131)</f>
        <v>4.2240000000000002</v>
      </c>
      <c r="G136" s="125">
        <f t="shared" ref="G136:O136" si="22">MIN(G$131*$F$34*G$120,$F$35*G$131)</f>
        <v>4.3084800000000003</v>
      </c>
      <c r="H136" s="125">
        <f t="shared" si="22"/>
        <v>4.3946496000000002</v>
      </c>
      <c r="I136" s="125">
        <f t="shared" si="22"/>
        <v>4.4825425919999997</v>
      </c>
      <c r="J136" s="125">
        <f t="shared" si="22"/>
        <v>4.5721934438399998</v>
      </c>
      <c r="K136" s="125">
        <f t="shared" si="22"/>
        <v>4.6636373127168005</v>
      </c>
      <c r="L136" s="125">
        <f t="shared" si="22"/>
        <v>4.7569100589711368</v>
      </c>
      <c r="M136" s="125">
        <f t="shared" si="22"/>
        <v>4.8520482601505588</v>
      </c>
      <c r="N136" s="125">
        <f t="shared" si="22"/>
        <v>4.9490892253535703</v>
      </c>
      <c r="O136" s="125">
        <f t="shared" si="22"/>
        <v>5</v>
      </c>
      <c r="P136" s="173"/>
      <c r="Q136" s="173"/>
      <c r="R136" s="173"/>
      <c r="S136" s="173"/>
      <c r="T136" s="173"/>
      <c r="U136" s="173"/>
      <c r="V136" s="173"/>
      <c r="W136" s="173"/>
      <c r="X136" s="173"/>
      <c r="Y136" s="173"/>
      <c r="Z136" s="173"/>
    </row>
    <row r="137" spans="1:26" ht="12.75" x14ac:dyDescent="0.2">
      <c r="A137" s="745"/>
      <c r="B137" s="119"/>
      <c r="C137" s="123" t="s">
        <v>232</v>
      </c>
      <c r="D137" s="119"/>
      <c r="E137" s="119"/>
      <c r="F137" s="125">
        <f>$F$37*F136</f>
        <v>1.056</v>
      </c>
      <c r="G137" s="125">
        <f t="shared" ref="G137:O137" si="23">$F$37*G136</f>
        <v>1.0771200000000001</v>
      </c>
      <c r="H137" s="125">
        <f t="shared" si="23"/>
        <v>1.0986624</v>
      </c>
      <c r="I137" s="125">
        <f t="shared" si="23"/>
        <v>1.1206356479999999</v>
      </c>
      <c r="J137" s="125">
        <f t="shared" si="23"/>
        <v>1.14304836096</v>
      </c>
      <c r="K137" s="125">
        <f t="shared" si="23"/>
        <v>1.1659093281792001</v>
      </c>
      <c r="L137" s="125">
        <f t="shared" si="23"/>
        <v>1.1892275147427842</v>
      </c>
      <c r="M137" s="125">
        <f t="shared" si="23"/>
        <v>1.2130120650376397</v>
      </c>
      <c r="N137" s="125">
        <f t="shared" si="23"/>
        <v>1.2372723063383926</v>
      </c>
      <c r="O137" s="125">
        <f t="shared" si="23"/>
        <v>1.25</v>
      </c>
      <c r="P137" s="173"/>
      <c r="Q137" s="173"/>
      <c r="R137" s="173"/>
      <c r="S137" s="173"/>
      <c r="T137" s="173"/>
      <c r="U137" s="173"/>
      <c r="V137" s="173"/>
      <c r="W137" s="173"/>
      <c r="X137" s="173"/>
      <c r="Y137" s="173"/>
      <c r="Z137" s="173"/>
    </row>
    <row r="138" spans="1:26" ht="12.75" x14ac:dyDescent="0.2">
      <c r="A138" s="745"/>
      <c r="B138" s="119"/>
      <c r="C138" s="123" t="s">
        <v>465</v>
      </c>
      <c r="D138" s="119"/>
      <c r="E138" s="119"/>
      <c r="F138" s="125">
        <f>$F$31/1000</f>
        <v>0.30936000000000002</v>
      </c>
      <c r="G138" s="125">
        <f t="shared" ref="G138:O138" si="24">$F$31/1000</f>
        <v>0.30936000000000002</v>
      </c>
      <c r="H138" s="125">
        <f t="shared" si="24"/>
        <v>0.30936000000000002</v>
      </c>
      <c r="I138" s="125">
        <f t="shared" si="24"/>
        <v>0.30936000000000002</v>
      </c>
      <c r="J138" s="125">
        <f t="shared" si="24"/>
        <v>0.30936000000000002</v>
      </c>
      <c r="K138" s="125">
        <f t="shared" si="24"/>
        <v>0.30936000000000002</v>
      </c>
      <c r="L138" s="125">
        <f t="shared" si="24"/>
        <v>0.30936000000000002</v>
      </c>
      <c r="M138" s="125">
        <f t="shared" si="24"/>
        <v>0.30936000000000002</v>
      </c>
      <c r="N138" s="125">
        <f t="shared" si="24"/>
        <v>0.30936000000000002</v>
      </c>
      <c r="O138" s="125">
        <f t="shared" si="24"/>
        <v>0.30936000000000002</v>
      </c>
      <c r="P138" s="173"/>
      <c r="Q138" s="173"/>
      <c r="R138" s="173"/>
      <c r="S138" s="173"/>
      <c r="T138" s="173"/>
      <c r="U138" s="173"/>
      <c r="V138" s="173"/>
      <c r="W138" s="173"/>
      <c r="X138" s="173"/>
      <c r="Y138" s="173"/>
      <c r="Z138" s="173"/>
    </row>
    <row r="139" spans="1:26" ht="12.75" x14ac:dyDescent="0.2">
      <c r="A139" s="745"/>
      <c r="B139" s="119"/>
      <c r="C139" s="123" t="s">
        <v>466</v>
      </c>
      <c r="D139" s="119"/>
      <c r="E139" s="119"/>
      <c r="F139" s="125">
        <f>F136-F137-F138</f>
        <v>2.8586400000000003</v>
      </c>
      <c r="G139" s="125">
        <f t="shared" ref="G139:O139" si="25">G136-G137-G138</f>
        <v>2.9220000000000006</v>
      </c>
      <c r="H139" s="125">
        <f t="shared" si="25"/>
        <v>2.9866272</v>
      </c>
      <c r="I139" s="125">
        <f t="shared" si="25"/>
        <v>3.0525469439999999</v>
      </c>
      <c r="J139" s="125">
        <f t="shared" si="25"/>
        <v>3.11978508288</v>
      </c>
      <c r="K139" s="125">
        <f t="shared" si="25"/>
        <v>3.1883679845376003</v>
      </c>
      <c r="L139" s="125">
        <f t="shared" si="25"/>
        <v>3.2583225442283528</v>
      </c>
      <c r="M139" s="125">
        <f t="shared" si="25"/>
        <v>3.3296761951129192</v>
      </c>
      <c r="N139" s="125">
        <f t="shared" si="25"/>
        <v>3.4024569190151777</v>
      </c>
      <c r="O139" s="125">
        <f t="shared" si="25"/>
        <v>3.4406400000000001</v>
      </c>
      <c r="P139" s="173"/>
      <c r="Q139" s="173"/>
      <c r="R139" s="173"/>
      <c r="S139" s="173"/>
      <c r="T139" s="173"/>
      <c r="U139" s="173"/>
      <c r="V139" s="173"/>
      <c r="W139" s="173"/>
      <c r="X139" s="173"/>
      <c r="Y139" s="173"/>
      <c r="Z139" s="173"/>
    </row>
    <row r="140" spans="1:26" ht="12.75" x14ac:dyDescent="0.2">
      <c r="A140" s="745"/>
      <c r="B140" s="158"/>
      <c r="C140" s="747"/>
      <c r="D140" s="158"/>
      <c r="E140" s="158"/>
      <c r="F140" s="126"/>
      <c r="G140" s="126"/>
      <c r="H140" s="126"/>
      <c r="I140" s="126"/>
      <c r="J140" s="126"/>
      <c r="K140" s="126"/>
      <c r="L140" s="126"/>
      <c r="M140" s="126"/>
      <c r="N140" s="126"/>
      <c r="O140" s="126"/>
      <c r="P140" s="173"/>
      <c r="Q140" s="173"/>
      <c r="R140" s="173"/>
      <c r="S140" s="173"/>
      <c r="T140" s="173"/>
      <c r="U140" s="173"/>
      <c r="V140" s="173"/>
      <c r="W140" s="173"/>
      <c r="X140" s="173"/>
      <c r="Y140" s="173"/>
      <c r="Z140" s="173"/>
    </row>
    <row r="141" spans="1:26" ht="12.75" x14ac:dyDescent="0.2">
      <c r="A141" s="122"/>
      <c r="B141" s="340" t="s">
        <v>1012</v>
      </c>
      <c r="C141" s="123"/>
      <c r="D141" s="119"/>
      <c r="E141" s="119"/>
      <c r="F141" s="119"/>
      <c r="G141" s="119"/>
      <c r="H141" s="119"/>
      <c r="I141" s="119"/>
      <c r="J141" s="119"/>
      <c r="K141" s="119"/>
      <c r="L141" s="119"/>
      <c r="M141" s="119"/>
      <c r="N141" s="119"/>
      <c r="O141" s="119"/>
      <c r="P141" s="122"/>
      <c r="Q141" s="122"/>
      <c r="R141" s="122"/>
      <c r="S141" s="122"/>
      <c r="T141" s="173"/>
      <c r="U141" s="173"/>
      <c r="V141" s="173"/>
      <c r="W141" s="173"/>
      <c r="X141" s="173"/>
      <c r="Y141" s="173"/>
      <c r="Z141" s="173"/>
    </row>
    <row r="142" spans="1:26" ht="12.75" x14ac:dyDescent="0.2">
      <c r="A142" s="122"/>
      <c r="B142" s="119"/>
      <c r="C142" s="123" t="s">
        <v>464</v>
      </c>
      <c r="D142" s="119"/>
      <c r="E142" s="119"/>
      <c r="F142" s="125">
        <f t="shared" ref="F142:O142" si="26">MIN(F$132*$J$34*F$122,$J$35*F$132)</f>
        <v>4.8</v>
      </c>
      <c r="G142" s="125">
        <f t="shared" si="26"/>
        <v>4.8959999999999999</v>
      </c>
      <c r="H142" s="125">
        <f t="shared" si="26"/>
        <v>4.9939200000000001</v>
      </c>
      <c r="I142" s="125">
        <f t="shared" si="26"/>
        <v>5.0937983999999998</v>
      </c>
      <c r="J142" s="125">
        <f t="shared" si="26"/>
        <v>5.1956743679999997</v>
      </c>
      <c r="K142" s="125">
        <f t="shared" si="26"/>
        <v>5.2995878553599995</v>
      </c>
      <c r="L142" s="125">
        <f t="shared" si="26"/>
        <v>5.4055796124672</v>
      </c>
      <c r="M142" s="125">
        <f t="shared" si="26"/>
        <v>5.5136912047165438</v>
      </c>
      <c r="N142" s="125">
        <f t="shared" si="26"/>
        <v>5.6239650288108756</v>
      </c>
      <c r="O142" s="125">
        <f t="shared" si="26"/>
        <v>5.7364443293870933</v>
      </c>
      <c r="P142" s="197"/>
      <c r="Q142" s="197"/>
      <c r="R142" s="122"/>
      <c r="S142" s="122"/>
      <c r="T142" s="173"/>
      <c r="U142" s="173"/>
      <c r="V142" s="173"/>
      <c r="W142" s="173"/>
      <c r="X142" s="173"/>
      <c r="Y142" s="173"/>
      <c r="Z142" s="173"/>
    </row>
    <row r="143" spans="1:26" ht="12.75" x14ac:dyDescent="0.2">
      <c r="A143" s="122"/>
      <c r="B143" s="119"/>
      <c r="C143" s="123" t="s">
        <v>232</v>
      </c>
      <c r="D143" s="119"/>
      <c r="E143" s="119"/>
      <c r="F143" s="125">
        <f t="shared" ref="F143:O143" si="27">$J$37*F142</f>
        <v>0.96</v>
      </c>
      <c r="G143" s="125">
        <f t="shared" si="27"/>
        <v>0.97920000000000007</v>
      </c>
      <c r="H143" s="125">
        <f t="shared" si="27"/>
        <v>0.99878400000000012</v>
      </c>
      <c r="I143" s="125">
        <f t="shared" si="27"/>
        <v>1.0187596800000001</v>
      </c>
      <c r="J143" s="125">
        <f t="shared" si="27"/>
        <v>1.0391348735999999</v>
      </c>
      <c r="K143" s="125">
        <f t="shared" si="27"/>
        <v>1.0599175710719999</v>
      </c>
      <c r="L143" s="125">
        <f t="shared" si="27"/>
        <v>1.0811159224934401</v>
      </c>
      <c r="M143" s="125">
        <f t="shared" si="27"/>
        <v>1.1027382409433089</v>
      </c>
      <c r="N143" s="125">
        <f t="shared" si="27"/>
        <v>1.1247930057621751</v>
      </c>
      <c r="O143" s="125">
        <f t="shared" si="27"/>
        <v>1.1472888658774187</v>
      </c>
      <c r="P143" s="197"/>
      <c r="Q143" s="122"/>
      <c r="R143" s="122"/>
      <c r="S143" s="122"/>
      <c r="T143" s="173"/>
      <c r="U143" s="173"/>
      <c r="V143" s="173"/>
      <c r="W143" s="173"/>
      <c r="X143" s="173"/>
      <c r="Y143" s="173"/>
      <c r="Z143" s="173"/>
    </row>
    <row r="144" spans="1:26" ht="12.75" x14ac:dyDescent="0.2">
      <c r="A144" s="122"/>
      <c r="B144" s="119"/>
      <c r="C144" s="123" t="s">
        <v>465</v>
      </c>
      <c r="D144" s="119"/>
      <c r="E144" s="119"/>
      <c r="F144" s="125">
        <f t="shared" ref="F144:O144" si="28">$J$31/1000</f>
        <v>0.30936000000000002</v>
      </c>
      <c r="G144" s="125">
        <f t="shared" si="28"/>
        <v>0.30936000000000002</v>
      </c>
      <c r="H144" s="125">
        <f t="shared" si="28"/>
        <v>0.30936000000000002</v>
      </c>
      <c r="I144" s="125">
        <f t="shared" si="28"/>
        <v>0.30936000000000002</v>
      </c>
      <c r="J144" s="125">
        <f t="shared" si="28"/>
        <v>0.30936000000000002</v>
      </c>
      <c r="K144" s="125">
        <f t="shared" si="28"/>
        <v>0.30936000000000002</v>
      </c>
      <c r="L144" s="125">
        <f t="shared" si="28"/>
        <v>0.30936000000000002</v>
      </c>
      <c r="M144" s="125">
        <f t="shared" si="28"/>
        <v>0.30936000000000002</v>
      </c>
      <c r="N144" s="125">
        <f t="shared" si="28"/>
        <v>0.30936000000000002</v>
      </c>
      <c r="O144" s="125">
        <f t="shared" si="28"/>
        <v>0.30936000000000002</v>
      </c>
      <c r="P144" s="122"/>
      <c r="Q144" s="122"/>
      <c r="R144" s="122"/>
      <c r="S144" s="122"/>
      <c r="T144" s="173"/>
      <c r="U144" s="173"/>
      <c r="V144" s="173"/>
      <c r="W144" s="173"/>
      <c r="X144" s="173"/>
      <c r="Y144" s="173"/>
      <c r="Z144" s="173"/>
    </row>
    <row r="145" spans="1:26" ht="12.75" x14ac:dyDescent="0.2">
      <c r="A145" s="122"/>
      <c r="B145" s="119"/>
      <c r="C145" s="123" t="s">
        <v>466</v>
      </c>
      <c r="D145" s="119"/>
      <c r="E145" s="119"/>
      <c r="F145" s="125">
        <f>F142-F143-F144</f>
        <v>3.53064</v>
      </c>
      <c r="G145" s="125">
        <f t="shared" ref="G145:O145" si="29">G142-G143-G144</f>
        <v>3.60744</v>
      </c>
      <c r="H145" s="125">
        <f t="shared" si="29"/>
        <v>3.6857760000000002</v>
      </c>
      <c r="I145" s="125">
        <f t="shared" si="29"/>
        <v>3.7656787200000004</v>
      </c>
      <c r="J145" s="125">
        <f t="shared" si="29"/>
        <v>3.8471794943999997</v>
      </c>
      <c r="K145" s="125">
        <f t="shared" si="29"/>
        <v>3.9303102842879998</v>
      </c>
      <c r="L145" s="125">
        <f t="shared" si="29"/>
        <v>4.0151036899737598</v>
      </c>
      <c r="M145" s="125">
        <f t="shared" si="29"/>
        <v>4.1015929637732356</v>
      </c>
      <c r="N145" s="125">
        <f t="shared" si="29"/>
        <v>4.1898120230487006</v>
      </c>
      <c r="O145" s="125">
        <f t="shared" si="29"/>
        <v>4.2797954635096751</v>
      </c>
      <c r="P145" s="122"/>
      <c r="Q145" s="122"/>
      <c r="R145" s="122"/>
      <c r="S145" s="122"/>
      <c r="T145" s="173"/>
      <c r="U145" s="173"/>
      <c r="V145" s="173"/>
      <c r="W145" s="173"/>
      <c r="X145" s="173"/>
      <c r="Y145" s="173"/>
      <c r="Z145" s="173"/>
    </row>
    <row r="146" spans="1:26" ht="12.75" x14ac:dyDescent="0.2">
      <c r="A146" s="122"/>
      <c r="B146" s="122"/>
      <c r="C146" s="122"/>
      <c r="D146" s="122"/>
      <c r="E146" s="122"/>
      <c r="F146" s="122"/>
      <c r="G146" s="122"/>
      <c r="H146" s="122"/>
      <c r="I146" s="122"/>
      <c r="J146" s="122"/>
      <c r="K146" s="122"/>
      <c r="L146" s="122"/>
      <c r="M146" s="122"/>
      <c r="N146" s="122"/>
      <c r="O146" s="122"/>
      <c r="P146" s="122"/>
      <c r="Q146" s="122"/>
      <c r="R146" s="122"/>
      <c r="S146" s="122"/>
      <c r="T146" s="173"/>
      <c r="U146" s="173"/>
      <c r="V146" s="173"/>
      <c r="W146" s="173"/>
      <c r="X146" s="173"/>
      <c r="Y146" s="173"/>
      <c r="Z146" s="173"/>
    </row>
    <row r="147" spans="1:26" ht="12.75" x14ac:dyDescent="0.2">
      <c r="A147" s="122"/>
      <c r="B147" s="340" t="s">
        <v>225</v>
      </c>
      <c r="C147" s="119"/>
      <c r="D147" s="119"/>
      <c r="E147" s="119"/>
      <c r="F147" s="119"/>
      <c r="G147" s="119"/>
      <c r="H147" s="119"/>
      <c r="I147" s="119"/>
      <c r="J147" s="119"/>
      <c r="K147" s="119"/>
      <c r="L147" s="119"/>
      <c r="M147" s="119"/>
      <c r="N147" s="119"/>
      <c r="O147" s="119"/>
      <c r="P147" s="122"/>
      <c r="Q147" s="122"/>
      <c r="R147" s="122"/>
      <c r="S147" s="122"/>
      <c r="T147" s="173"/>
      <c r="U147" s="173"/>
      <c r="V147" s="173"/>
      <c r="W147" s="173"/>
      <c r="X147" s="173"/>
      <c r="Y147" s="173"/>
      <c r="Z147" s="173"/>
    </row>
    <row r="148" spans="1:26" ht="12.75" x14ac:dyDescent="0.2">
      <c r="A148" s="122"/>
      <c r="B148" s="119"/>
      <c r="C148" s="123" t="s">
        <v>464</v>
      </c>
      <c r="D148" s="119"/>
      <c r="E148" s="119"/>
      <c r="F148" s="174">
        <f>F136*$F$84*F$109*(1+$F$85)</f>
        <v>2112</v>
      </c>
      <c r="G148" s="174">
        <f>G136*$F$84*G$109*(1+$F$85)</f>
        <v>2324.4249600000003</v>
      </c>
      <c r="H148" s="174">
        <f>H136*$F$84*H$109*(1+$F$85)</f>
        <v>2558.2156224767996</v>
      </c>
      <c r="I148" s="174">
        <f>I136*$F$84*I$109*(1+$F$85)</f>
        <v>2815.5209497855162</v>
      </c>
      <c r="J148" s="174">
        <f>J136*$F$84*J$109*(1+$F$85)</f>
        <v>3098.7060469149433</v>
      </c>
      <c r="K148" s="174">
        <f>K136*$F$84*K$109*(1+$F$85)</f>
        <v>3410.373901113649</v>
      </c>
      <c r="L148" s="174">
        <f>L136*$F$84*L$109*(1+$F$85)</f>
        <v>3753.3893080876601</v>
      </c>
      <c r="M148" s="174">
        <f>M136*$F$84*M$109*(1+$F$85)</f>
        <v>4130.9052046951156</v>
      </c>
      <c r="N148" s="174">
        <f>N136*$F$84*N$109*(1+$F$85)</f>
        <v>4546.391650183351</v>
      </c>
      <c r="O148" s="174">
        <f>O136*$F$84*O$109*(1+$F$85)</f>
        <v>4956.019549432729</v>
      </c>
      <c r="P148" s="122"/>
      <c r="Q148" s="122"/>
      <c r="R148" s="122"/>
      <c r="S148" s="122"/>
      <c r="T148" s="173"/>
      <c r="U148" s="173"/>
      <c r="V148" s="173"/>
      <c r="W148" s="173"/>
      <c r="X148" s="173"/>
      <c r="Y148" s="173"/>
      <c r="Z148" s="173"/>
    </row>
    <row r="149" spans="1:26" ht="12.75" x14ac:dyDescent="0.2">
      <c r="A149" s="122"/>
      <c r="B149" s="119"/>
      <c r="C149" s="123" t="s">
        <v>231</v>
      </c>
      <c r="D149" s="119"/>
      <c r="E149" s="119"/>
      <c r="F149" s="174">
        <f>F137*$F$84*F$109*(1+$F$85)</f>
        <v>528</v>
      </c>
      <c r="G149" s="174">
        <f>G137*$F$84*G$109*(1+$F$85)</f>
        <v>581.10624000000007</v>
      </c>
      <c r="H149" s="174">
        <f>H137*$F$84*H$109*(1+$F$85)</f>
        <v>639.5539056191999</v>
      </c>
      <c r="I149" s="174">
        <f>I137*$F$84*I$109*(1+$F$85)</f>
        <v>703.88023744637906</v>
      </c>
      <c r="J149" s="174">
        <f>J137*$F$84*J$109*(1+$F$85)</f>
        <v>774.67651172873582</v>
      </c>
      <c r="K149" s="174">
        <f>K137*$F$84*K$109*(1+$F$85)</f>
        <v>852.59347527841226</v>
      </c>
      <c r="L149" s="174">
        <f>L137*$F$84*L$109*(1+$F$85)</f>
        <v>938.34732702191502</v>
      </c>
      <c r="M149" s="174">
        <f>M137*$F$84*M$109*(1+$F$85)</f>
        <v>1032.7263011737789</v>
      </c>
      <c r="N149" s="174">
        <f>N137*$F$84*N$109*(1+$F$85)</f>
        <v>1136.5979125458377</v>
      </c>
      <c r="O149" s="174">
        <f>O137*$F$84*O$109*(1+$F$85)</f>
        <v>1239.0048873581823</v>
      </c>
      <c r="P149" s="122"/>
      <c r="Q149" s="122"/>
      <c r="R149" s="122"/>
      <c r="S149" s="122"/>
      <c r="T149" s="173"/>
      <c r="U149" s="173"/>
      <c r="V149" s="173"/>
      <c r="W149" s="173"/>
      <c r="X149" s="173"/>
      <c r="Y149" s="173"/>
      <c r="Z149" s="173"/>
    </row>
    <row r="150" spans="1:26" ht="12.75" x14ac:dyDescent="0.2">
      <c r="A150" s="122"/>
      <c r="B150" s="119"/>
      <c r="C150" s="123" t="s">
        <v>467</v>
      </c>
      <c r="D150" s="119"/>
      <c r="E150" s="119"/>
      <c r="F150" s="174">
        <f>F138*$F$84*F$109*(1+$F$85)</f>
        <v>154.68</v>
      </c>
      <c r="G150" s="174">
        <f>G138*$F$84*G$109*(1+$F$85)</f>
        <v>166.89972</v>
      </c>
      <c r="H150" s="174">
        <f>H138*$F$84*H$109*(1+$F$85)</f>
        <v>180.08479788</v>
      </c>
      <c r="I150" s="174">
        <f>I138*$F$84*I$109*(1+$F$85)</f>
        <v>194.31149691252</v>
      </c>
      <c r="J150" s="174">
        <f>J138*$F$84*J$109*(1+$F$85)</f>
        <v>209.66210516860906</v>
      </c>
      <c r="K150" s="174">
        <f>K138*$F$84*K$109*(1+$F$85)</f>
        <v>226.22541147692917</v>
      </c>
      <c r="L150" s="174">
        <f>L138*$F$84*L$109*(1+$F$85)</f>
        <v>244.09721898360658</v>
      </c>
      <c r="M150" s="174">
        <f>M138*$F$84*M$109*(1+$F$85)</f>
        <v>263.38089928331146</v>
      </c>
      <c r="N150" s="174">
        <f>N138*$F$84*N$109*(1+$F$85)</f>
        <v>284.18799032669307</v>
      </c>
      <c r="O150" s="174">
        <f>O138*$F$84*O$109*(1+$F$85)</f>
        <v>306.63884156250185</v>
      </c>
      <c r="P150" s="122"/>
      <c r="Q150" s="122"/>
      <c r="R150" s="122"/>
      <c r="S150" s="122"/>
      <c r="T150" s="173"/>
      <c r="U150" s="173"/>
      <c r="V150" s="173"/>
      <c r="W150" s="173"/>
      <c r="X150" s="173"/>
      <c r="Y150" s="173"/>
      <c r="Z150" s="173"/>
    </row>
    <row r="151" spans="1:26" ht="12.75" x14ac:dyDescent="0.2">
      <c r="A151" s="122"/>
      <c r="B151" s="119"/>
      <c r="C151" s="175" t="s">
        <v>466</v>
      </c>
      <c r="D151" s="176"/>
      <c r="E151" s="176"/>
      <c r="F151" s="177">
        <f>F148-F149-F150</f>
        <v>1429.32</v>
      </c>
      <c r="G151" s="177">
        <f t="shared" ref="G151:O151" si="30">G148-G149-G150</f>
        <v>1576.4190000000003</v>
      </c>
      <c r="H151" s="177">
        <f t="shared" si="30"/>
        <v>1738.5769189775997</v>
      </c>
      <c r="I151" s="177">
        <f t="shared" si="30"/>
        <v>1917.3292154266173</v>
      </c>
      <c r="J151" s="177">
        <f t="shared" si="30"/>
        <v>2114.3674300175981</v>
      </c>
      <c r="K151" s="177">
        <f t="shared" si="30"/>
        <v>2331.5550143583073</v>
      </c>
      <c r="L151" s="177">
        <f t="shared" si="30"/>
        <v>2570.9447620821384</v>
      </c>
      <c r="M151" s="177">
        <f t="shared" si="30"/>
        <v>2834.7980042380254</v>
      </c>
      <c r="N151" s="177">
        <f t="shared" si="30"/>
        <v>3125.6057473108199</v>
      </c>
      <c r="O151" s="177">
        <f t="shared" si="30"/>
        <v>3410.3758205120448</v>
      </c>
      <c r="P151" s="122"/>
      <c r="Q151" s="122"/>
      <c r="R151" s="122"/>
      <c r="S151" s="122"/>
      <c r="T151" s="173"/>
      <c r="U151" s="173"/>
      <c r="V151" s="173"/>
      <c r="W151" s="173"/>
      <c r="X151" s="173"/>
      <c r="Y151" s="173"/>
      <c r="Z151" s="173"/>
    </row>
    <row r="152" spans="1:26" ht="12.75" x14ac:dyDescent="0.2">
      <c r="A152" s="745"/>
      <c r="B152" s="158"/>
      <c r="C152" s="747"/>
      <c r="D152" s="158"/>
      <c r="E152" s="158"/>
      <c r="F152" s="126"/>
      <c r="G152" s="126"/>
      <c r="H152" s="126"/>
      <c r="I152" s="126"/>
      <c r="J152" s="126"/>
      <c r="K152" s="126"/>
      <c r="L152" s="126"/>
      <c r="M152" s="126"/>
      <c r="N152" s="126"/>
      <c r="O152" s="126"/>
      <c r="P152" s="173"/>
      <c r="Q152" s="173"/>
      <c r="R152" s="173"/>
      <c r="S152" s="173"/>
      <c r="T152" s="173"/>
      <c r="U152" s="173"/>
      <c r="V152" s="173"/>
      <c r="W152" s="173"/>
      <c r="X152" s="173"/>
      <c r="Y152" s="173"/>
      <c r="Z152" s="173"/>
    </row>
    <row r="153" spans="1:26" ht="12.75" x14ac:dyDescent="0.2">
      <c r="A153" s="122"/>
      <c r="B153" s="340" t="s">
        <v>1013</v>
      </c>
      <c r="C153" s="119"/>
      <c r="D153" s="119"/>
      <c r="E153" s="119"/>
      <c r="F153" s="119"/>
      <c r="G153" s="119"/>
      <c r="H153" s="119"/>
      <c r="I153" s="119"/>
      <c r="J153" s="119"/>
      <c r="K153" s="119"/>
      <c r="L153" s="119"/>
      <c r="M153" s="119"/>
      <c r="N153" s="119"/>
      <c r="O153" s="119"/>
      <c r="P153" s="122"/>
      <c r="Q153" s="122"/>
      <c r="R153" s="122"/>
      <c r="S153" s="122"/>
      <c r="T153" s="173"/>
      <c r="U153" s="173"/>
      <c r="V153" s="173"/>
      <c r="W153" s="173"/>
      <c r="X153" s="173"/>
      <c r="Y153" s="173"/>
      <c r="Z153" s="173"/>
    </row>
    <row r="154" spans="1:26" ht="12.75" x14ac:dyDescent="0.2">
      <c r="A154" s="122"/>
      <c r="B154" s="119"/>
      <c r="C154" s="123" t="s">
        <v>464</v>
      </c>
      <c r="D154" s="119"/>
      <c r="E154" s="119"/>
      <c r="F154" s="174">
        <f>F142*$J$84*F$109*(1+$J$85)</f>
        <v>2400</v>
      </c>
      <c r="G154" s="174">
        <f>G142*$J$84*G$109*(1+$J$85)</f>
        <v>2641.3919999999998</v>
      </c>
      <c r="H154" s="174">
        <f>H142*$J$84*H$109*(1+$J$85)</f>
        <v>2907.0632073599995</v>
      </c>
      <c r="I154" s="174">
        <f>I142*$J$84*I$109*(1+$J$85)</f>
        <v>3199.4556247562682</v>
      </c>
      <c r="J154" s="174">
        <f>J142*$J$84*J$109*(1+$J$85)</f>
        <v>3521.256871494254</v>
      </c>
      <c r="K154" s="174">
        <f>K142*$J$84*K$109*(1+$J$85)</f>
        <v>3875.4248876291454</v>
      </c>
      <c r="L154" s="174">
        <f>L142*$J$84*L$109*(1+$J$85)</f>
        <v>4265.2151228268849</v>
      </c>
      <c r="M154" s="174">
        <f>M142*$J$84*M$109*(1+$J$85)</f>
        <v>4694.2104598808137</v>
      </c>
      <c r="N154" s="174">
        <f>N142*$J$84*N$109*(1+$J$85)</f>
        <v>5166.3541479356263</v>
      </c>
      <c r="O154" s="174">
        <f>O142*$J$84*O$109*(1+$J$85)</f>
        <v>5685.9860481349915</v>
      </c>
      <c r="P154" s="122"/>
      <c r="Q154" s="122"/>
      <c r="R154" s="122"/>
      <c r="S154" s="122"/>
      <c r="T154" s="173"/>
      <c r="U154" s="173"/>
      <c r="V154" s="173"/>
      <c r="W154" s="173"/>
      <c r="X154" s="173"/>
      <c r="Y154" s="173"/>
      <c r="Z154" s="173"/>
    </row>
    <row r="155" spans="1:26" ht="12.75" x14ac:dyDescent="0.2">
      <c r="A155" s="122"/>
      <c r="B155" s="119"/>
      <c r="C155" s="123" t="s">
        <v>231</v>
      </c>
      <c r="D155" s="119"/>
      <c r="E155" s="119"/>
      <c r="F155" s="174">
        <f>F143*$J$84*F$109*(1+$J$85)</f>
        <v>480</v>
      </c>
      <c r="G155" s="174">
        <f>G143*$J$84*G$109*(1+$J$85)</f>
        <v>528.27840000000003</v>
      </c>
      <c r="H155" s="174">
        <f>H143*$J$84*H$109*(1+$J$85)</f>
        <v>581.41264147200002</v>
      </c>
      <c r="I155" s="174">
        <f>I143*$J$84*I$109*(1+$J$85)</f>
        <v>639.89112495125369</v>
      </c>
      <c r="J155" s="174">
        <f>J143*$J$84*J$109*(1+$J$85)</f>
        <v>704.25137429885081</v>
      </c>
      <c r="K155" s="174">
        <f>K143*$J$84*K$109*(1+$J$85)</f>
        <v>775.08497752582912</v>
      </c>
      <c r="L155" s="174">
        <f>L143*$J$84*L$109*(1+$J$85)</f>
        <v>853.04302456537721</v>
      </c>
      <c r="M155" s="174">
        <f>M143*$J$84*M$109*(1+$J$85)</f>
        <v>938.84209197616281</v>
      </c>
      <c r="N155" s="174">
        <f>N143*$J$84*N$109*(1+$J$85)</f>
        <v>1033.2708295871253</v>
      </c>
      <c r="O155" s="174">
        <f>O143*$J$84*O$109*(1+$J$85)</f>
        <v>1137.1972096269983</v>
      </c>
      <c r="P155" s="122"/>
      <c r="Q155" s="122"/>
      <c r="R155" s="122"/>
      <c r="S155" s="122"/>
      <c r="T155" s="173"/>
      <c r="U155" s="173"/>
      <c r="V155" s="173"/>
      <c r="W155" s="173"/>
      <c r="X155" s="173"/>
      <c r="Y155" s="173"/>
      <c r="Z155" s="173"/>
    </row>
    <row r="156" spans="1:26" ht="12.75" x14ac:dyDescent="0.2">
      <c r="A156" s="122"/>
      <c r="B156" s="119"/>
      <c r="C156" s="123" t="s">
        <v>467</v>
      </c>
      <c r="D156" s="119"/>
      <c r="E156" s="119"/>
      <c r="F156" s="174">
        <f>F144*$J$84*F$109*(1+$J$85)</f>
        <v>154.68</v>
      </c>
      <c r="G156" s="174">
        <f>G144*$J$84*G$109*(1+$J$85)</f>
        <v>166.89972</v>
      </c>
      <c r="H156" s="174">
        <f>H144*$J$84*H$109*(1+$J$85)</f>
        <v>180.08479788</v>
      </c>
      <c r="I156" s="174">
        <f>I144*$J$84*I$109*(1+$J$85)</f>
        <v>194.31149691252</v>
      </c>
      <c r="J156" s="174">
        <f>J144*$J$84*J$109*(1+$J$85)</f>
        <v>209.66210516860906</v>
      </c>
      <c r="K156" s="174">
        <f>K144*$J$84*K$109*(1+$J$85)</f>
        <v>226.22541147692917</v>
      </c>
      <c r="L156" s="174">
        <f>L144*$J$84*L$109*(1+$J$85)</f>
        <v>244.09721898360658</v>
      </c>
      <c r="M156" s="174">
        <f>M144*$J$84*M$109*(1+$J$85)</f>
        <v>263.38089928331146</v>
      </c>
      <c r="N156" s="174">
        <f>N144*$J$84*N$109*(1+$J$85)</f>
        <v>284.18799032669307</v>
      </c>
      <c r="O156" s="174">
        <f>O144*$J$84*O$109*(1+$J$85)</f>
        <v>306.63884156250185</v>
      </c>
      <c r="P156" s="122"/>
      <c r="Q156" s="122"/>
      <c r="R156" s="122"/>
      <c r="S156" s="122"/>
      <c r="T156" s="173"/>
      <c r="U156" s="173"/>
      <c r="V156" s="173"/>
      <c r="W156" s="173"/>
      <c r="X156" s="173"/>
      <c r="Y156" s="173"/>
      <c r="Z156" s="173"/>
    </row>
    <row r="157" spans="1:26" ht="12.75" x14ac:dyDescent="0.2">
      <c r="A157" s="122"/>
      <c r="B157" s="119"/>
      <c r="C157" s="175" t="s">
        <v>466</v>
      </c>
      <c r="D157" s="176"/>
      <c r="E157" s="176"/>
      <c r="F157" s="177">
        <f>F154-F155-F156</f>
        <v>1765.32</v>
      </c>
      <c r="G157" s="177">
        <f t="shared" ref="G157:O157" si="31">G154-G155-G156</f>
        <v>1946.2138799999998</v>
      </c>
      <c r="H157" s="177">
        <f t="shared" si="31"/>
        <v>2145.5657680079994</v>
      </c>
      <c r="I157" s="177">
        <f t="shared" si="31"/>
        <v>2365.2530028924948</v>
      </c>
      <c r="J157" s="177">
        <f t="shared" si="31"/>
        <v>2607.3433920267944</v>
      </c>
      <c r="K157" s="177">
        <f t="shared" si="31"/>
        <v>2874.1144986263871</v>
      </c>
      <c r="L157" s="177">
        <f t="shared" si="31"/>
        <v>3168.0748792779013</v>
      </c>
      <c r="M157" s="177">
        <f t="shared" si="31"/>
        <v>3491.9874686213393</v>
      </c>
      <c r="N157" s="177">
        <f t="shared" si="31"/>
        <v>3848.8953280218079</v>
      </c>
      <c r="O157" s="177">
        <f t="shared" si="31"/>
        <v>4242.1499969454917</v>
      </c>
      <c r="P157" s="122"/>
      <c r="Q157" s="122"/>
      <c r="R157" s="122"/>
      <c r="S157" s="122"/>
      <c r="T157" s="173"/>
      <c r="U157" s="173"/>
      <c r="V157" s="173"/>
      <c r="W157" s="173"/>
      <c r="X157" s="173"/>
      <c r="Y157" s="173"/>
      <c r="Z157" s="173"/>
    </row>
    <row r="158" spans="1:26" ht="12.75" x14ac:dyDescent="0.2">
      <c r="A158" s="122"/>
      <c r="B158" s="122"/>
      <c r="C158" s="122"/>
      <c r="D158" s="122"/>
      <c r="E158" s="122"/>
      <c r="F158" s="122"/>
      <c r="G158" s="122"/>
      <c r="H158" s="122"/>
      <c r="I158" s="122"/>
      <c r="J158" s="122"/>
      <c r="K158" s="122"/>
      <c r="L158" s="122"/>
      <c r="M158" s="122"/>
      <c r="N158" s="122"/>
      <c r="O158" s="122"/>
      <c r="P158" s="122"/>
      <c r="Q158" s="122"/>
      <c r="R158" s="122"/>
      <c r="S158" s="122"/>
      <c r="T158" s="173"/>
      <c r="U158" s="173"/>
      <c r="V158" s="173"/>
      <c r="W158" s="173"/>
      <c r="X158" s="173"/>
      <c r="Y158" s="173"/>
      <c r="Z158" s="173"/>
    </row>
    <row r="159" spans="1:26" ht="12.75" hidden="1" x14ac:dyDescent="0.2">
      <c r="A159" s="122"/>
      <c r="B159" s="145" t="s">
        <v>468</v>
      </c>
      <c r="C159" s="119"/>
      <c r="D159" s="119"/>
      <c r="E159" s="119"/>
      <c r="F159" s="119"/>
      <c r="G159" s="119"/>
      <c r="H159" s="119"/>
      <c r="I159" s="119"/>
      <c r="J159" s="119"/>
      <c r="K159" s="119"/>
      <c r="L159" s="119"/>
      <c r="M159" s="119"/>
      <c r="N159" s="119"/>
      <c r="O159" s="119"/>
      <c r="P159" s="122"/>
      <c r="Q159" s="122"/>
      <c r="R159" s="122"/>
      <c r="S159" s="122"/>
      <c r="T159" s="173"/>
      <c r="U159" s="173"/>
      <c r="V159" s="173"/>
      <c r="W159" s="173"/>
      <c r="X159" s="173"/>
      <c r="Y159" s="173"/>
      <c r="Z159" s="173"/>
    </row>
    <row r="160" spans="1:26" ht="12.75" hidden="1" x14ac:dyDescent="0.2">
      <c r="A160" s="122"/>
      <c r="B160" s="119"/>
      <c r="C160" s="123" t="s">
        <v>464</v>
      </c>
      <c r="D160" s="119"/>
      <c r="E160" s="119"/>
      <c r="F160" s="174" t="e">
        <f>#REF!*#REF!*F$109*(1+#REF!)</f>
        <v>#REF!</v>
      </c>
      <c r="G160" s="174" t="e">
        <f>#REF!*#REF!*G$109*(1+#REF!)</f>
        <v>#REF!</v>
      </c>
      <c r="H160" s="174" t="e">
        <f>#REF!*#REF!*H$109*(1+#REF!)</f>
        <v>#REF!</v>
      </c>
      <c r="I160" s="174" t="e">
        <f>#REF!*#REF!*I$109*(1+#REF!)</f>
        <v>#REF!</v>
      </c>
      <c r="J160" s="174" t="e">
        <f>#REF!*#REF!*J$109*(1+#REF!)</f>
        <v>#REF!</v>
      </c>
      <c r="K160" s="174" t="e">
        <f>#REF!*#REF!*K$109*(1+#REF!)</f>
        <v>#REF!</v>
      </c>
      <c r="L160" s="174" t="e">
        <f>#REF!*#REF!*L$109*(1+#REF!)</f>
        <v>#REF!</v>
      </c>
      <c r="M160" s="174" t="e">
        <f>#REF!*#REF!*M$109*(1+#REF!)</f>
        <v>#REF!</v>
      </c>
      <c r="N160" s="174" t="e">
        <f>#REF!*#REF!*N$109*(1+#REF!)</f>
        <v>#REF!</v>
      </c>
      <c r="O160" s="174" t="e">
        <f>#REF!*#REF!*O$109*(1+#REF!)</f>
        <v>#REF!</v>
      </c>
      <c r="P160" s="122"/>
      <c r="Q160" s="122"/>
      <c r="R160" s="122"/>
      <c r="S160" s="122"/>
      <c r="T160" s="173"/>
      <c r="U160" s="173"/>
      <c r="V160" s="173"/>
      <c r="W160" s="173"/>
      <c r="X160" s="173"/>
      <c r="Y160" s="173"/>
      <c r="Z160" s="173"/>
    </row>
    <row r="161" spans="1:26" ht="12.75" hidden="1" x14ac:dyDescent="0.2">
      <c r="A161" s="122"/>
      <c r="B161" s="119"/>
      <c r="C161" s="123" t="s">
        <v>231</v>
      </c>
      <c r="D161" s="119"/>
      <c r="E161" s="119"/>
      <c r="F161" s="174" t="e">
        <f>#REF!*#REF!*F$109*(1+#REF!)</f>
        <v>#REF!</v>
      </c>
      <c r="G161" s="174" t="e">
        <f>#REF!*#REF!*G$109*(1+#REF!)</f>
        <v>#REF!</v>
      </c>
      <c r="H161" s="174" t="e">
        <f>#REF!*#REF!*H$109*(1+#REF!)</f>
        <v>#REF!</v>
      </c>
      <c r="I161" s="174" t="e">
        <f>#REF!*#REF!*I$109*(1+#REF!)</f>
        <v>#REF!</v>
      </c>
      <c r="J161" s="174" t="e">
        <f>#REF!*#REF!*J$109*(1+#REF!)</f>
        <v>#REF!</v>
      </c>
      <c r="K161" s="174" t="e">
        <f>#REF!*#REF!*K$109*(1+#REF!)</f>
        <v>#REF!</v>
      </c>
      <c r="L161" s="174" t="e">
        <f>#REF!*#REF!*L$109*(1+#REF!)</f>
        <v>#REF!</v>
      </c>
      <c r="M161" s="174" t="e">
        <f>#REF!*#REF!*M$109*(1+#REF!)</f>
        <v>#REF!</v>
      </c>
      <c r="N161" s="174" t="e">
        <f>#REF!*#REF!*N$109*(1+#REF!)</f>
        <v>#REF!</v>
      </c>
      <c r="O161" s="174" t="e">
        <f>#REF!*#REF!*O$109*(1+#REF!)</f>
        <v>#REF!</v>
      </c>
      <c r="P161" s="122"/>
      <c r="Q161" s="122"/>
      <c r="R161" s="122"/>
      <c r="S161" s="122"/>
      <c r="T161" s="173"/>
      <c r="U161" s="173"/>
      <c r="V161" s="173"/>
      <c r="W161" s="173"/>
      <c r="X161" s="173"/>
      <c r="Y161" s="173"/>
      <c r="Z161" s="173"/>
    </row>
    <row r="162" spans="1:26" ht="12.75" hidden="1" x14ac:dyDescent="0.2">
      <c r="A162" s="122"/>
      <c r="B162" s="119"/>
      <c r="C162" s="123" t="s">
        <v>467</v>
      </c>
      <c r="D162" s="119"/>
      <c r="E162" s="119"/>
      <c r="F162" s="174" t="e">
        <f>#REF!*#REF!*F$109*(1+#REF!)</f>
        <v>#REF!</v>
      </c>
      <c r="G162" s="174" t="e">
        <f>#REF!*#REF!*G$109*(1+#REF!)</f>
        <v>#REF!</v>
      </c>
      <c r="H162" s="174" t="e">
        <f>#REF!*#REF!*H$109*(1+#REF!)</f>
        <v>#REF!</v>
      </c>
      <c r="I162" s="174" t="e">
        <f>#REF!*#REF!*I$109*(1+#REF!)</f>
        <v>#REF!</v>
      </c>
      <c r="J162" s="174" t="e">
        <f>#REF!*#REF!*J$109*(1+#REF!)</f>
        <v>#REF!</v>
      </c>
      <c r="K162" s="174" t="e">
        <f>#REF!*#REF!*K$109*(1+#REF!)</f>
        <v>#REF!</v>
      </c>
      <c r="L162" s="174" t="e">
        <f>#REF!*#REF!*L$109*(1+#REF!)</f>
        <v>#REF!</v>
      </c>
      <c r="M162" s="174" t="e">
        <f>#REF!*#REF!*M$109*(1+#REF!)</f>
        <v>#REF!</v>
      </c>
      <c r="N162" s="174" t="e">
        <f>#REF!*#REF!*N$109*(1+#REF!)</f>
        <v>#REF!</v>
      </c>
      <c r="O162" s="174" t="e">
        <f>#REF!*#REF!*O$109*(1+#REF!)</f>
        <v>#REF!</v>
      </c>
      <c r="P162" s="122"/>
      <c r="Q162" s="122"/>
      <c r="R162" s="122"/>
      <c r="S162" s="122"/>
      <c r="T162" s="173"/>
      <c r="U162" s="173"/>
      <c r="V162" s="173"/>
      <c r="W162" s="173"/>
      <c r="X162" s="173"/>
      <c r="Y162" s="173"/>
      <c r="Z162" s="173"/>
    </row>
    <row r="163" spans="1:26" ht="12.75" hidden="1" x14ac:dyDescent="0.2">
      <c r="A163" s="122"/>
      <c r="B163" s="119"/>
      <c r="C163" s="175" t="s">
        <v>466</v>
      </c>
      <c r="D163" s="176"/>
      <c r="E163" s="176"/>
      <c r="F163" s="178" t="e">
        <f>F160-F161-F162</f>
        <v>#REF!</v>
      </c>
      <c r="G163" s="178" t="e">
        <f t="shared" ref="G163:O163" si="32">G160-G161-G162</f>
        <v>#REF!</v>
      </c>
      <c r="H163" s="178" t="e">
        <f t="shared" si="32"/>
        <v>#REF!</v>
      </c>
      <c r="I163" s="178" t="e">
        <f t="shared" si="32"/>
        <v>#REF!</v>
      </c>
      <c r="J163" s="178" t="e">
        <f t="shared" si="32"/>
        <v>#REF!</v>
      </c>
      <c r="K163" s="178" t="e">
        <f t="shared" si="32"/>
        <v>#REF!</v>
      </c>
      <c r="L163" s="178" t="e">
        <f t="shared" si="32"/>
        <v>#REF!</v>
      </c>
      <c r="M163" s="178" t="e">
        <f t="shared" si="32"/>
        <v>#REF!</v>
      </c>
      <c r="N163" s="178" t="e">
        <f t="shared" si="32"/>
        <v>#REF!</v>
      </c>
      <c r="O163" s="178" t="e">
        <f t="shared" si="32"/>
        <v>#REF!</v>
      </c>
      <c r="P163" s="122"/>
      <c r="Q163" s="122"/>
      <c r="R163" s="122"/>
      <c r="S163" s="122"/>
      <c r="T163" s="173"/>
      <c r="U163" s="173"/>
      <c r="V163" s="173"/>
      <c r="W163" s="173"/>
      <c r="X163" s="173"/>
      <c r="Y163" s="173"/>
      <c r="Z163" s="173"/>
    </row>
    <row r="164" spans="1:26" ht="12.75" hidden="1" x14ac:dyDescent="0.2">
      <c r="A164" s="122"/>
      <c r="B164" s="122"/>
      <c r="C164" s="122"/>
      <c r="D164" s="122"/>
      <c r="E164" s="122"/>
      <c r="F164" s="122"/>
      <c r="G164" s="122"/>
      <c r="H164" s="122"/>
      <c r="I164" s="122"/>
      <c r="J164" s="122"/>
      <c r="K164" s="122"/>
      <c r="L164" s="122"/>
      <c r="M164" s="122"/>
      <c r="N164" s="122"/>
      <c r="O164" s="122"/>
      <c r="P164" s="122"/>
      <c r="Q164" s="122"/>
      <c r="R164" s="122"/>
      <c r="S164" s="122"/>
      <c r="T164" s="173"/>
      <c r="U164" s="173"/>
      <c r="V164" s="173"/>
      <c r="W164" s="173"/>
      <c r="X164" s="173"/>
      <c r="Y164" s="173"/>
      <c r="Z164" s="173"/>
    </row>
    <row r="165" spans="1:26" ht="12.75" x14ac:dyDescent="0.2">
      <c r="A165" s="145" t="s">
        <v>202</v>
      </c>
      <c r="B165" s="119"/>
      <c r="C165" s="119"/>
      <c r="D165" s="161" t="s">
        <v>174</v>
      </c>
      <c r="E165" s="161"/>
      <c r="F165" s="162">
        <v>0</v>
      </c>
      <c r="G165" s="162">
        <v>1</v>
      </c>
      <c r="H165" s="162">
        <v>2</v>
      </c>
      <c r="I165" s="162">
        <v>3</v>
      </c>
      <c r="J165" s="162">
        <v>4</v>
      </c>
      <c r="K165" s="162">
        <v>5</v>
      </c>
      <c r="L165" s="162">
        <v>6</v>
      </c>
      <c r="M165" s="162">
        <v>7</v>
      </c>
      <c r="N165" s="162">
        <v>8</v>
      </c>
      <c r="O165" s="162">
        <v>9</v>
      </c>
      <c r="P165" s="119"/>
      <c r="Q165" s="119"/>
      <c r="R165" s="119"/>
      <c r="S165" s="119"/>
      <c r="T165" s="158"/>
      <c r="U165" s="158"/>
      <c r="V165" s="158"/>
      <c r="W165" s="158"/>
      <c r="X165" s="158"/>
      <c r="Y165" s="158"/>
      <c r="Z165" s="158"/>
    </row>
    <row r="166" spans="1:26" ht="12.75" x14ac:dyDescent="0.2">
      <c r="A166" s="122"/>
      <c r="B166" s="744" t="s">
        <v>226</v>
      </c>
      <c r="C166" s="180"/>
      <c r="D166" s="180"/>
      <c r="E166" s="180"/>
      <c r="F166" s="180"/>
      <c r="G166" s="180"/>
      <c r="H166" s="180"/>
      <c r="I166" s="180"/>
      <c r="J166" s="180"/>
      <c r="K166" s="180"/>
      <c r="L166" s="180"/>
      <c r="M166" s="180"/>
      <c r="N166" s="180"/>
      <c r="O166" s="180"/>
      <c r="P166" s="122"/>
      <c r="Q166" s="122"/>
      <c r="R166" s="122"/>
      <c r="S166" s="122"/>
      <c r="T166" s="173"/>
      <c r="U166" s="173"/>
      <c r="V166" s="173"/>
      <c r="W166" s="173"/>
      <c r="X166" s="173"/>
      <c r="Y166" s="173"/>
      <c r="Z166" s="173"/>
    </row>
    <row r="167" spans="1:26" ht="12.75" x14ac:dyDescent="0.2">
      <c r="A167" s="122"/>
      <c r="B167" s="180"/>
      <c r="C167" s="181" t="s">
        <v>218</v>
      </c>
      <c r="D167" s="180"/>
      <c r="E167" s="180"/>
      <c r="F167" s="180"/>
      <c r="G167" s="180"/>
      <c r="H167" s="180"/>
      <c r="I167" s="180"/>
      <c r="J167" s="180"/>
      <c r="K167" s="180"/>
      <c r="L167" s="180"/>
      <c r="M167" s="180"/>
      <c r="N167" s="180"/>
      <c r="O167" s="180"/>
      <c r="P167" s="122"/>
      <c r="Q167" s="122"/>
      <c r="R167" s="122"/>
      <c r="S167" s="122"/>
      <c r="T167" s="173"/>
      <c r="U167" s="173"/>
      <c r="V167" s="173"/>
      <c r="W167" s="173"/>
      <c r="X167" s="173"/>
      <c r="Y167" s="173"/>
      <c r="Z167" s="173"/>
    </row>
    <row r="168" spans="1:26" ht="12.75" x14ac:dyDescent="0.2">
      <c r="A168" s="122"/>
      <c r="B168" s="180"/>
      <c r="C168" s="123" t="s">
        <v>447</v>
      </c>
      <c r="D168" s="180"/>
      <c r="E168" s="180"/>
      <c r="F168" s="125">
        <f>$F42*F$131*$F50*F$124*F$109/1000</f>
        <v>24.149999999999995</v>
      </c>
      <c r="G168" s="125">
        <f>$F42*G$131*$F50*G$124*G$109/1000</f>
        <v>26.057849999999995</v>
      </c>
      <c r="H168" s="125">
        <f>$F42*H$131*$F50*H$124*H$109/1000</f>
        <v>28.116420149999989</v>
      </c>
      <c r="I168" s="125">
        <f>$F42*I$131*$F50*I$124*I$109/1000</f>
        <v>30.337617341849992</v>
      </c>
      <c r="J168" s="125">
        <f>$F42*J$131*$F50*J$124*J$109/1000</f>
        <v>32.734289111856143</v>
      </c>
      <c r="K168" s="125">
        <f>$F42*K$131*$F50*K$124*K$109/1000</f>
        <v>35.320297951692773</v>
      </c>
      <c r="L168" s="125">
        <f>$F42*L$131*$F50*L$124*L$109/1000</f>
        <v>38.110601489876508</v>
      </c>
      <c r="M168" s="125">
        <f>$F42*M$131*$F50*M$124*M$109/1000</f>
        <v>41.121339007576744</v>
      </c>
      <c r="N168" s="125">
        <f>$F42*N$131*$F50*N$124*N$109/1000</f>
        <v>44.3699247891753</v>
      </c>
      <c r="O168" s="125">
        <f>$F42*O$131*$F50*O$124*O$109/1000</f>
        <v>47.875148847520158</v>
      </c>
      <c r="P168" s="122"/>
      <c r="Q168" s="122"/>
      <c r="R168" s="122"/>
      <c r="S168" s="122"/>
      <c r="T168" s="173"/>
      <c r="U168" s="173"/>
      <c r="V168" s="173"/>
      <c r="W168" s="173"/>
      <c r="X168" s="173"/>
      <c r="Y168" s="173"/>
      <c r="Z168" s="173"/>
    </row>
    <row r="169" spans="1:26" ht="12.75" x14ac:dyDescent="0.2">
      <c r="A169" s="122"/>
      <c r="B169" s="180"/>
      <c r="C169" s="123" t="s">
        <v>448</v>
      </c>
      <c r="D169" s="180"/>
      <c r="E169" s="180"/>
      <c r="F169" s="125">
        <f>$F43*F$131*$F51*F$124*F$109/1000</f>
        <v>36</v>
      </c>
      <c r="G169" s="125">
        <f>$F43*G$131*$F51*G$124*G120*G$109/1000</f>
        <v>39.62088</v>
      </c>
      <c r="H169" s="125">
        <f>$F43*H$131*$F51*H$124*H120*H$109/1000</f>
        <v>43.605948110399993</v>
      </c>
      <c r="I169" s="125">
        <f>$F43*I$131*$F51*I$124*I120*I$109/1000</f>
        <v>47.991834371344027</v>
      </c>
      <c r="J169" s="125">
        <f>$F43*J$131*$F51*J$124*J120*J$109/1000</f>
        <v>52.818853072413802</v>
      </c>
      <c r="K169" s="125">
        <f>$F43*K$131*$F51*K$124*K120*K$109/1000</f>
        <v>58.131373314437184</v>
      </c>
      <c r="L169" s="125">
        <f>$F43*L$131*$F51*L$124*L120*L$109/1000</f>
        <v>63.978226842403281</v>
      </c>
      <c r="M169" s="125">
        <f>$F43*M$131*$F51*M$124*M120*M$109/1000</f>
        <v>70.413156898212208</v>
      </c>
      <c r="N169" s="125">
        <f>$F43*N$131*$F51*N$124*N120*N$109/1000</f>
        <v>77.495312219034389</v>
      </c>
      <c r="O169" s="125">
        <f>$F43*O$131*$F51*O$124*O120*O$109/1000</f>
        <v>84.477605956239699</v>
      </c>
      <c r="P169" s="122"/>
      <c r="Q169" s="122"/>
      <c r="R169" s="122"/>
      <c r="S169" s="122"/>
      <c r="T169" s="173"/>
      <c r="U169" s="173"/>
      <c r="V169" s="173"/>
      <c r="W169" s="173"/>
      <c r="X169" s="173"/>
      <c r="Y169" s="173"/>
      <c r="Z169" s="173"/>
    </row>
    <row r="170" spans="1:26" ht="12.75" x14ac:dyDescent="0.2">
      <c r="A170" s="122"/>
      <c r="B170" s="180"/>
      <c r="C170" s="123" t="s">
        <v>449</v>
      </c>
      <c r="D170" s="180"/>
      <c r="E170" s="180"/>
      <c r="F170" s="125">
        <f>$F44*F$131*$F52*F$124*F$109/1000</f>
        <v>4.5999999999999996</v>
      </c>
      <c r="G170" s="125">
        <f>$F44*G$131*$F52*G$124*G$109/1000</f>
        <v>4.9634</v>
      </c>
      <c r="H170" s="125">
        <f>$F44*H$131*$F52*H$124*H$109/1000</f>
        <v>5.3555085999999994</v>
      </c>
      <c r="I170" s="125">
        <f>$F44*I$131*$F52*I$124*I$109/1000</f>
        <v>5.7785937793999995</v>
      </c>
      <c r="J170" s="125">
        <f>$F44*J$131*$F52*J$124*J$109/1000</f>
        <v>6.2351026879725993</v>
      </c>
      <c r="K170" s="125">
        <f>$F44*K$131*$F52*K$124*K$109/1000</f>
        <v>6.7276758003224337</v>
      </c>
      <c r="L170" s="125">
        <f>$F44*L$131*$F52*L$124*L$109/1000</f>
        <v>7.259162188547907</v>
      </c>
      <c r="M170" s="125">
        <f>$F44*M$131*$F52*M$124*M$109/1000</f>
        <v>7.8326360014431913</v>
      </c>
      <c r="N170" s="125">
        <f>$F44*N$131*$F52*N$124*N$109/1000</f>
        <v>8.451414245557201</v>
      </c>
      <c r="O170" s="125">
        <f>$F44*O$131*$F52*O$124*O$109/1000</f>
        <v>9.1190759709562208</v>
      </c>
      <c r="P170" s="122"/>
      <c r="Q170" s="122"/>
      <c r="R170" s="122"/>
      <c r="S170" s="122"/>
      <c r="T170" s="173"/>
      <c r="U170" s="173"/>
      <c r="V170" s="173"/>
      <c r="W170" s="173"/>
      <c r="X170" s="173"/>
      <c r="Y170" s="173"/>
      <c r="Z170" s="173"/>
    </row>
    <row r="171" spans="1:26" ht="12.75" x14ac:dyDescent="0.2">
      <c r="A171" s="122"/>
      <c r="B171" s="180"/>
      <c r="C171" s="123" t="s">
        <v>450</v>
      </c>
      <c r="D171" s="180"/>
      <c r="E171" s="180"/>
      <c r="F171" s="125">
        <f>$F45*F$131*$F53*F$124*F$109/1000</f>
        <v>53.173999999999999</v>
      </c>
      <c r="G171" s="125">
        <f>$F45*G$131*$F53*G$124*G$109/1000</f>
        <v>57.374746000000002</v>
      </c>
      <c r="H171" s="125">
        <f>$F45*H$131*$F53*H$124*H$109/1000</f>
        <v>61.907350933999993</v>
      </c>
      <c r="I171" s="125">
        <f>$F45*I$131*$F53*I$124*I$109/1000</f>
        <v>66.798031657785998</v>
      </c>
      <c r="J171" s="125">
        <f>$F45*J$131*$F53*J$124*J$109/1000</f>
        <v>72.075076158751088</v>
      </c>
      <c r="K171" s="125">
        <f>$F45*K$131*$F53*K$124*K$109/1000</f>
        <v>77.769007175292415</v>
      </c>
      <c r="L171" s="125">
        <f>$F45*L$131*$F53*L$124*L$109/1000</f>
        <v>83.912758742140525</v>
      </c>
      <c r="M171" s="125">
        <f>$F45*M$131*$F53*M$124*M$109/1000</f>
        <v>90.541866682769609</v>
      </c>
      <c r="N171" s="125">
        <f>$F45*N$131*$F53*N$124*N$109/1000</f>
        <v>97.694674150708408</v>
      </c>
      <c r="O171" s="125">
        <f>$F45*O$131*$F53*O$124*O$109/1000</f>
        <v>105.41255340861437</v>
      </c>
      <c r="P171" s="122"/>
      <c r="Q171" s="122"/>
      <c r="R171" s="122"/>
      <c r="S171" s="122"/>
      <c r="T171" s="173"/>
      <c r="U171" s="173"/>
      <c r="V171" s="173"/>
      <c r="W171" s="173"/>
      <c r="X171" s="173"/>
      <c r="Y171" s="173"/>
      <c r="Z171" s="173"/>
    </row>
    <row r="172" spans="1:26" ht="12.75" x14ac:dyDescent="0.2">
      <c r="A172" s="122"/>
      <c r="B172" s="180"/>
      <c r="C172" s="152" t="s">
        <v>451</v>
      </c>
      <c r="D172" s="180"/>
      <c r="E172" s="180"/>
      <c r="F172" s="125">
        <f>$F46*F$131*$F54*F$124*F$109/1000</f>
        <v>13.997999999999999</v>
      </c>
      <c r="G172" s="125">
        <f>$F46*G$131*$F54*G$124*G$109/1000</f>
        <v>15.103841999999998</v>
      </c>
      <c r="H172" s="125">
        <f>$F46*H$131*$F54*H$124*H$109/1000</f>
        <v>16.297045517999997</v>
      </c>
      <c r="I172" s="125">
        <f>$F46*I$131*$F54*I$124*I$109/1000</f>
        <v>17.584512113921999</v>
      </c>
      <c r="J172" s="125">
        <f>$F46*J$131*$F54*J$124*J$109/1000</f>
        <v>18.973688570921837</v>
      </c>
      <c r="K172" s="125">
        <f>$F46*K$131*$F54*K$124*K$109/1000</f>
        <v>20.47260996802466</v>
      </c>
      <c r="L172" s="125">
        <f>$F46*L$131*$F54*L$124*L$109/1000</f>
        <v>22.089946155498609</v>
      </c>
      <c r="M172" s="125">
        <f>$F46*M$131*$F54*M$124*M$109/1000</f>
        <v>23.835051901782997</v>
      </c>
      <c r="N172" s="125">
        <f>$F46*N$131*$F54*N$124*N$109/1000</f>
        <v>25.718021002023853</v>
      </c>
      <c r="O172" s="125">
        <f>$F46*O$131*$F54*O$124*O$109/1000</f>
        <v>27.749744661183737</v>
      </c>
      <c r="P172" s="122"/>
      <c r="Q172" s="122"/>
      <c r="R172" s="122"/>
      <c r="S172" s="122"/>
      <c r="T172" s="173"/>
      <c r="U172" s="173"/>
      <c r="V172" s="173"/>
      <c r="W172" s="173"/>
      <c r="X172" s="173"/>
      <c r="Y172" s="173"/>
      <c r="Z172" s="173"/>
    </row>
    <row r="173" spans="1:26" ht="12.75" x14ac:dyDescent="0.2">
      <c r="A173" s="122"/>
      <c r="B173" s="180"/>
      <c r="C173" s="152" t="s">
        <v>452</v>
      </c>
      <c r="D173" s="180"/>
      <c r="E173" s="180"/>
      <c r="F173" s="125">
        <f>$F47*F$131*$F55*F$124*F$109/1000</f>
        <v>17.603999999999999</v>
      </c>
      <c r="G173" s="125">
        <f>$F47*G$131*$F55*G$124*G$109/1000</f>
        <v>18.994716</v>
      </c>
      <c r="H173" s="125">
        <f>$F47*H$131*$F55*H$124*H$109/1000</f>
        <v>20.495298563999999</v>
      </c>
      <c r="I173" s="125">
        <f>$F47*I$131*$F55*I$124*I$109/1000</f>
        <v>22.114427150556001</v>
      </c>
      <c r="J173" s="125">
        <f>$F47*J$131*$F55*J$124*J$109/1000</f>
        <v>23.861466895449922</v>
      </c>
      <c r="K173" s="125">
        <f>$F47*K$131*$F55*K$124*K$109/1000</f>
        <v>25.746522780190467</v>
      </c>
      <c r="L173" s="125">
        <f>$F47*L$131*$F55*L$124*L$109/1000</f>
        <v>27.780498079825513</v>
      </c>
      <c r="M173" s="125">
        <f>$F47*M$131*$F55*M$124*M$109/1000</f>
        <v>29.975157428131727</v>
      </c>
      <c r="N173" s="125">
        <f>$F47*N$131*$F55*N$124*N$109/1000</f>
        <v>32.343194864954128</v>
      </c>
      <c r="O173" s="125">
        <f>$F47*O$131*$F55*O$124*O$109/1000</f>
        <v>34.898307259285502</v>
      </c>
      <c r="P173" s="122"/>
      <c r="Q173" s="122"/>
      <c r="R173" s="122"/>
      <c r="S173" s="122"/>
      <c r="T173" s="173"/>
      <c r="U173" s="173"/>
      <c r="V173" s="173"/>
      <c r="W173" s="173"/>
      <c r="X173" s="173"/>
      <c r="Y173" s="173"/>
      <c r="Z173" s="173"/>
    </row>
    <row r="174" spans="1:26" ht="12.75" x14ac:dyDescent="0.2">
      <c r="A174" s="122"/>
      <c r="B174" s="180"/>
      <c r="C174" s="152" t="s">
        <v>276</v>
      </c>
      <c r="D174" s="180"/>
      <c r="E174" s="180"/>
      <c r="F174" s="125">
        <f>$F48*F$131*$F56*F$124*F$109/1000</f>
        <v>0</v>
      </c>
      <c r="G174" s="125">
        <f>$F48*G$131*$F56*G$124*G$109/1000</f>
        <v>0</v>
      </c>
      <c r="H174" s="125">
        <f>$F48*H$131*$F56*H$124*H$109/1000</f>
        <v>0</v>
      </c>
      <c r="I174" s="125">
        <f>$F48*I$131*$F56*I$124*I$109/1000</f>
        <v>0</v>
      </c>
      <c r="J174" s="125">
        <f>$F48*J$131*$F56*J$124*J$109/1000</f>
        <v>0</v>
      </c>
      <c r="K174" s="125">
        <f>$F48*K$131*$F56*K$124*K$109/1000</f>
        <v>0</v>
      </c>
      <c r="L174" s="125">
        <f>$F48*L$131*$F56*L$124*L$109/1000</f>
        <v>0</v>
      </c>
      <c r="M174" s="125">
        <f>$F48*M$131*$F56*M$124*M$109/1000</f>
        <v>0</v>
      </c>
      <c r="N174" s="125">
        <f>$F48*N$131*$F56*N$124*N$109/1000</f>
        <v>0</v>
      </c>
      <c r="O174" s="125">
        <f>$F48*O$131*$F56*O$124*O$109/1000</f>
        <v>0</v>
      </c>
      <c r="P174" s="122"/>
      <c r="Q174" s="122"/>
      <c r="R174" s="122"/>
      <c r="S174" s="122"/>
      <c r="T174" s="173"/>
      <c r="U174" s="173"/>
      <c r="V174" s="173"/>
      <c r="W174" s="173"/>
      <c r="X174" s="173"/>
      <c r="Y174" s="173"/>
      <c r="Z174" s="173"/>
    </row>
    <row r="175" spans="1:26" ht="12.75" x14ac:dyDescent="0.2">
      <c r="A175" s="122"/>
      <c r="B175" s="180"/>
      <c r="C175" s="175" t="s">
        <v>207</v>
      </c>
      <c r="D175" s="182"/>
      <c r="E175" s="182"/>
      <c r="F175" s="127">
        <f>SUM(F168:F174)</f>
        <v>149.52599999999995</v>
      </c>
      <c r="G175" s="127">
        <f t="shared" ref="G175:O175" si="33">SUM(G168:G174)</f>
        <v>162.11543400000002</v>
      </c>
      <c r="H175" s="127">
        <f t="shared" si="33"/>
        <v>175.77757187639997</v>
      </c>
      <c r="I175" s="127">
        <f t="shared" si="33"/>
        <v>190.605016414858</v>
      </c>
      <c r="J175" s="127">
        <f t="shared" si="33"/>
        <v>206.69847649736539</v>
      </c>
      <c r="K175" s="127">
        <f t="shared" si="33"/>
        <v>224.16748698995994</v>
      </c>
      <c r="L175" s="127">
        <f t="shared" si="33"/>
        <v>243.13119349829233</v>
      </c>
      <c r="M175" s="127">
        <f t="shared" si="33"/>
        <v>263.71920791991653</v>
      </c>
      <c r="N175" s="127">
        <f t="shared" si="33"/>
        <v>286.07254127145325</v>
      </c>
      <c r="O175" s="127">
        <f t="shared" si="33"/>
        <v>309.53243610379968</v>
      </c>
      <c r="P175" s="122"/>
      <c r="Q175" s="122"/>
      <c r="R175" s="122"/>
      <c r="S175" s="122"/>
      <c r="T175" s="173"/>
      <c r="U175" s="173"/>
      <c r="V175" s="173"/>
      <c r="W175" s="173"/>
      <c r="X175" s="173"/>
      <c r="Y175" s="173"/>
      <c r="Z175" s="173"/>
    </row>
    <row r="176" spans="1:26" ht="12.75" x14ac:dyDescent="0.2">
      <c r="A176" s="122"/>
      <c r="B176" s="180"/>
      <c r="C176" s="123"/>
      <c r="D176" s="180"/>
      <c r="E176" s="180"/>
      <c r="F176" s="183"/>
      <c r="G176" s="183"/>
      <c r="H176" s="183"/>
      <c r="I176" s="183"/>
      <c r="J176" s="183"/>
      <c r="K176" s="183"/>
      <c r="L176" s="183"/>
      <c r="M176" s="183"/>
      <c r="N176" s="183"/>
      <c r="O176" s="183"/>
      <c r="P176" s="122"/>
      <c r="Q176" s="122"/>
      <c r="R176" s="122"/>
      <c r="S176" s="122"/>
      <c r="T176" s="173"/>
      <c r="U176" s="173"/>
      <c r="V176" s="173"/>
      <c r="W176" s="173"/>
      <c r="X176" s="173"/>
      <c r="Y176" s="173"/>
      <c r="Z176" s="173"/>
    </row>
    <row r="177" spans="1:26" ht="12.75" x14ac:dyDescent="0.2">
      <c r="A177" s="122"/>
      <c r="B177" s="180"/>
      <c r="C177" s="181" t="s">
        <v>215</v>
      </c>
      <c r="D177" s="180"/>
      <c r="E177" s="180"/>
      <c r="F177" s="183"/>
      <c r="G177" s="183"/>
      <c r="H177" s="183"/>
      <c r="I177" s="183"/>
      <c r="J177" s="183"/>
      <c r="K177" s="183"/>
      <c r="L177" s="183"/>
      <c r="M177" s="183"/>
      <c r="N177" s="183"/>
      <c r="O177" s="183"/>
      <c r="P177" s="122"/>
      <c r="Q177" s="122"/>
      <c r="R177" s="122"/>
      <c r="S177" s="122"/>
      <c r="T177" s="173"/>
      <c r="U177" s="173"/>
      <c r="V177" s="173"/>
      <c r="W177" s="173"/>
      <c r="X177" s="173"/>
      <c r="Y177" s="173"/>
      <c r="Z177" s="173"/>
    </row>
    <row r="178" spans="1:26" ht="12.75" x14ac:dyDescent="0.2">
      <c r="A178" s="122"/>
      <c r="B178" s="180"/>
      <c r="C178" s="180" t="s">
        <v>110</v>
      </c>
      <c r="D178" s="180"/>
      <c r="E178" s="180"/>
      <c r="F178" s="125">
        <f>$F$59*F$131*F$109/1000</f>
        <v>40</v>
      </c>
      <c r="G178" s="125">
        <f t="shared" ref="G178:O178" si="34">$F$59*G$131*G$109/1000</f>
        <v>43.16</v>
      </c>
      <c r="H178" s="125">
        <f t="shared" si="34"/>
        <v>46.569639999999993</v>
      </c>
      <c r="I178" s="125">
        <f t="shared" si="34"/>
        <v>50.248641559999996</v>
      </c>
      <c r="J178" s="125">
        <f t="shared" si="34"/>
        <v>54.218284243239999</v>
      </c>
      <c r="K178" s="125">
        <f t="shared" si="34"/>
        <v>58.501528698455949</v>
      </c>
      <c r="L178" s="125">
        <f t="shared" si="34"/>
        <v>63.123149465633972</v>
      </c>
      <c r="M178" s="125">
        <f t="shared" si="34"/>
        <v>68.109878273419042</v>
      </c>
      <c r="N178" s="125">
        <f t="shared" si="34"/>
        <v>73.49055865701915</v>
      </c>
      <c r="O178" s="125">
        <f t="shared" si="34"/>
        <v>79.296312790923665</v>
      </c>
      <c r="P178" s="122"/>
      <c r="Q178" s="122"/>
      <c r="R178" s="122"/>
      <c r="S178" s="122"/>
      <c r="T178" s="173"/>
      <c r="U178" s="173"/>
      <c r="V178" s="173"/>
      <c r="W178" s="173"/>
      <c r="X178" s="173"/>
      <c r="Y178" s="173"/>
      <c r="Z178" s="173"/>
    </row>
    <row r="179" spans="1:26" ht="12.75" x14ac:dyDescent="0.2">
      <c r="A179" s="122"/>
      <c r="B179" s="180"/>
      <c r="C179" s="184" t="s">
        <v>283</v>
      </c>
      <c r="D179" s="185"/>
      <c r="E179" s="185"/>
      <c r="F179" s="186">
        <f>($F$61+$F$61*(F$131-1)*($F$60))/1000*F$109</f>
        <v>9.7901999999999987</v>
      </c>
      <c r="G179" s="186">
        <f t="shared" ref="G179:O179" si="35">($F$61+$F$61*(G$131-1)*($F$60))/1000*G$109</f>
        <v>10.563625799999999</v>
      </c>
      <c r="H179" s="186">
        <f t="shared" si="35"/>
        <v>11.398152238199996</v>
      </c>
      <c r="I179" s="186">
        <f t="shared" si="35"/>
        <v>12.298606265017797</v>
      </c>
      <c r="J179" s="186">
        <f t="shared" si="35"/>
        <v>13.270196159954203</v>
      </c>
      <c r="K179" s="186">
        <f t="shared" si="35"/>
        <v>14.318541656590584</v>
      </c>
      <c r="L179" s="186">
        <f t="shared" si="35"/>
        <v>15.44970644746124</v>
      </c>
      <c r="M179" s="186">
        <f t="shared" si="35"/>
        <v>16.670233256810679</v>
      </c>
      <c r="N179" s="186">
        <f t="shared" si="35"/>
        <v>17.987181684098722</v>
      </c>
      <c r="O179" s="186">
        <f t="shared" si="35"/>
        <v>19.408169037142521</v>
      </c>
      <c r="P179" s="122"/>
      <c r="Q179" s="122"/>
      <c r="R179" s="122"/>
      <c r="S179" s="122"/>
      <c r="T179" s="173"/>
      <c r="U179" s="173"/>
      <c r="V179" s="173"/>
      <c r="W179" s="173"/>
      <c r="X179" s="173"/>
      <c r="Y179" s="173"/>
      <c r="Z179" s="173"/>
    </row>
    <row r="180" spans="1:26" ht="12.75" x14ac:dyDescent="0.2">
      <c r="A180" s="122"/>
      <c r="B180" s="180"/>
      <c r="C180" s="175" t="s">
        <v>216</v>
      </c>
      <c r="D180" s="182"/>
      <c r="E180" s="182"/>
      <c r="F180" s="127">
        <f t="shared" ref="F180:O180" si="36">SUM(F178:F179)</f>
        <v>49.790199999999999</v>
      </c>
      <c r="G180" s="127">
        <f t="shared" si="36"/>
        <v>53.723625799999994</v>
      </c>
      <c r="H180" s="127">
        <f t="shared" si="36"/>
        <v>57.967792238199991</v>
      </c>
      <c r="I180" s="127">
        <f t="shared" si="36"/>
        <v>62.547247825017791</v>
      </c>
      <c r="J180" s="127">
        <f t="shared" si="36"/>
        <v>67.488480403194202</v>
      </c>
      <c r="K180" s="127">
        <f t="shared" si="36"/>
        <v>72.820070355046539</v>
      </c>
      <c r="L180" s="127">
        <f t="shared" si="36"/>
        <v>78.572855913095211</v>
      </c>
      <c r="M180" s="127">
        <f t="shared" si="36"/>
        <v>84.780111530229718</v>
      </c>
      <c r="N180" s="127">
        <f t="shared" si="36"/>
        <v>91.47774034111788</v>
      </c>
      <c r="O180" s="127">
        <f t="shared" si="36"/>
        <v>98.704481828066179</v>
      </c>
      <c r="P180" s="122"/>
      <c r="Q180" s="122"/>
      <c r="R180" s="122"/>
      <c r="S180" s="122"/>
      <c r="T180" s="173"/>
      <c r="U180" s="173"/>
      <c r="V180" s="173"/>
      <c r="W180" s="173"/>
      <c r="X180" s="173"/>
      <c r="Y180" s="173"/>
      <c r="Z180" s="173"/>
    </row>
    <row r="181" spans="1:26" ht="12.75" x14ac:dyDescent="0.2">
      <c r="A181" s="122"/>
      <c r="B181" s="180"/>
      <c r="C181" s="180"/>
      <c r="D181" s="180"/>
      <c r="E181" s="180"/>
      <c r="F181" s="183"/>
      <c r="G181" s="183"/>
      <c r="H181" s="183"/>
      <c r="I181" s="183"/>
      <c r="J181" s="183"/>
      <c r="K181" s="183"/>
      <c r="L181" s="183"/>
      <c r="M181" s="183"/>
      <c r="N181" s="183"/>
      <c r="O181" s="183"/>
      <c r="P181" s="122"/>
      <c r="Q181" s="122"/>
      <c r="R181" s="122"/>
      <c r="S181" s="122"/>
      <c r="T181" s="173"/>
      <c r="U181" s="173"/>
      <c r="V181" s="173"/>
      <c r="W181" s="173"/>
      <c r="X181" s="173"/>
      <c r="Y181" s="173"/>
      <c r="Z181" s="173"/>
    </row>
    <row r="182" spans="1:26" ht="12.75" x14ac:dyDescent="0.2">
      <c r="A182" s="122"/>
      <c r="B182" s="180"/>
      <c r="C182" s="181" t="s">
        <v>219</v>
      </c>
      <c r="D182" s="180"/>
      <c r="E182" s="180"/>
      <c r="F182" s="183"/>
      <c r="G182" s="183"/>
      <c r="H182" s="183"/>
      <c r="I182" s="183"/>
      <c r="J182" s="183"/>
      <c r="K182" s="183"/>
      <c r="L182" s="183"/>
      <c r="M182" s="183"/>
      <c r="N182" s="183"/>
      <c r="O182" s="183"/>
      <c r="P182" s="122"/>
      <c r="Q182" s="122"/>
      <c r="R182" s="122"/>
      <c r="S182" s="122"/>
      <c r="T182" s="173"/>
      <c r="U182" s="173"/>
      <c r="V182" s="173"/>
      <c r="W182" s="173"/>
      <c r="X182" s="173"/>
      <c r="Y182" s="173"/>
      <c r="Z182" s="173"/>
    </row>
    <row r="183" spans="1:26" ht="12.75" x14ac:dyDescent="0.2">
      <c r="A183" s="122"/>
      <c r="B183" s="180"/>
      <c r="C183" s="152" t="s">
        <v>454</v>
      </c>
      <c r="D183" s="180"/>
      <c r="E183" s="180"/>
      <c r="F183" s="125">
        <f>$F64*F$131*$F71/1000*F120*F$109*(1+$F$75)</f>
        <v>131.55000000000001</v>
      </c>
      <c r="G183" s="125">
        <f>$F64*G$131*$F71/1000*G120*G$109*(1+$F$75)</f>
        <v>144.78129900000002</v>
      </c>
      <c r="H183" s="125">
        <f>$F64*H$131*$F71/1000*H120*H$109*(1+$F$75)</f>
        <v>159.34340205341999</v>
      </c>
      <c r="I183" s="125">
        <f>$F64*I$131*$F71/1000*I120*I$109*(1+$F$75)</f>
        <v>175.37016143195297</v>
      </c>
      <c r="J183" s="125">
        <f>$F64*J$131*$F71/1000*J120*J$109*(1+$F$75)</f>
        <v>193.00889226877882</v>
      </c>
      <c r="K183" s="125">
        <f>$F64*K$131*$F71/1000*K120*K$109*(1+$F$75)</f>
        <v>212.42172665317256</v>
      </c>
      <c r="L183" s="125">
        <f>$F64*L$131*$F71/1000*L120*L$109*(1+$F$75)</f>
        <v>233.78710391994869</v>
      </c>
      <c r="M183" s="125">
        <f>$F64*M$131*$F71/1000*M120*M$109*(1+$F$75)</f>
        <v>257.30141083221713</v>
      </c>
      <c r="N183" s="125">
        <f>$F64*N$131*$F71/1000*N120*N$109*(1+$F$75)</f>
        <v>283.1807867337215</v>
      </c>
      <c r="O183" s="125">
        <f>$F64*O$131*$F71/1000*O120*O$109*(1+$F$75)</f>
        <v>308.69525176509256</v>
      </c>
      <c r="P183" s="122"/>
      <c r="Q183" s="122"/>
      <c r="R183" s="122"/>
      <c r="S183" s="122"/>
      <c r="T183" s="173"/>
      <c r="U183" s="173"/>
      <c r="V183" s="173"/>
      <c r="W183" s="173"/>
      <c r="X183" s="173"/>
      <c r="Y183" s="173"/>
      <c r="Z183" s="173"/>
    </row>
    <row r="184" spans="1:26" ht="12.75" x14ac:dyDescent="0.2">
      <c r="A184" s="122"/>
      <c r="B184" s="180"/>
      <c r="C184" s="391" t="s">
        <v>456</v>
      </c>
      <c r="D184" s="180"/>
      <c r="E184" s="180"/>
      <c r="F184" s="125">
        <f>$F65*F$131*$F72/1000*F120*F$109*(1+$F$75)</f>
        <v>167.50272000000001</v>
      </c>
      <c r="G184" s="125">
        <f>$F65*G$131*$F72/1000*G120*G$109*(1+$F$75)</f>
        <v>184.35014357760002</v>
      </c>
      <c r="H184" s="125">
        <f>$F65*H$131*$F72/1000*H120*H$109*(1+$F$75)</f>
        <v>202.892081018635</v>
      </c>
      <c r="I184" s="125">
        <f>$F65*I$131*$F72/1000*I120*I$109*(1+$F$75)</f>
        <v>223.29896652748931</v>
      </c>
      <c r="J184" s="125">
        <f>$F65*J$131*$F72/1000*J120*J$109*(1+$F$75)</f>
        <v>245.7583765808242</v>
      </c>
      <c r="K184" s="125">
        <f>$F65*K$131*$F72/1000*K120*K$109*(1+$F$75)</f>
        <v>270.47675409732346</v>
      </c>
      <c r="L184" s="125">
        <f>$F65*L$131*$F72/1000*L120*L$109*(1+$F$75)</f>
        <v>297.68130602443233</v>
      </c>
      <c r="M184" s="125">
        <f>$F65*M$131*$F72/1000*M120*M$109*(1+$F$75)</f>
        <v>327.62209178436967</v>
      </c>
      <c r="N184" s="125">
        <f>$F65*N$131*$F72/1000*N120*N$109*(1+$F$75)</f>
        <v>360.57432177604159</v>
      </c>
      <c r="O184" s="125">
        <f>$F65*O$131*$F72/1000*O120*O$109*(1+$F$75)</f>
        <v>393.06191046550975</v>
      </c>
      <c r="P184" s="122"/>
      <c r="Q184" s="122"/>
      <c r="R184" s="122"/>
      <c r="S184" s="122"/>
      <c r="T184" s="173"/>
      <c r="U184" s="173"/>
      <c r="V184" s="173"/>
      <c r="W184" s="173"/>
      <c r="X184" s="173"/>
      <c r="Y184" s="173"/>
      <c r="Z184" s="173"/>
    </row>
    <row r="185" spans="1:26" ht="12.75" x14ac:dyDescent="0.2">
      <c r="A185" s="122"/>
      <c r="B185" s="180"/>
      <c r="C185" s="391" t="s">
        <v>831</v>
      </c>
      <c r="D185" s="180"/>
      <c r="E185" s="180"/>
      <c r="F185" s="125">
        <f>$F66*F$131*$F73/1000*F$109*F120*(1+$F$75)</f>
        <v>1064.4480000000001</v>
      </c>
      <c r="G185" s="125">
        <f>$F66*G$131*$F73/1000*G$109*G120*(1+$F$75)</f>
        <v>1171.5101798400001</v>
      </c>
      <c r="H185" s="125">
        <f>$F66*H$131*$F73/1000*H$109*H120*(1+$F$75)</f>
        <v>1289.3406737283071</v>
      </c>
      <c r="I185" s="125">
        <f>$F66*I$131*$F73/1000*I$109*I120*(1+$F$75)</f>
        <v>1419.0225586919</v>
      </c>
      <c r="J185" s="125">
        <f>$F66*J$131*$F73/1000*J$109*J120*(1+$F$75)</f>
        <v>1561.7478476451315</v>
      </c>
      <c r="K185" s="125">
        <f>$F66*K$131*$F73/1000*K$109*K120*(1+$F$75)</f>
        <v>1718.8284461612789</v>
      </c>
      <c r="L185" s="125">
        <f>$F66*L$131*$F73/1000*L$109*L120*(1+$F$75)</f>
        <v>1891.7082112761805</v>
      </c>
      <c r="M185" s="125">
        <f>$F66*M$131*$F73/1000*M$109*M120*(1+$F$75)</f>
        <v>2081.9762231663385</v>
      </c>
      <c r="N185" s="125">
        <f>$F66*N$131*$F73/1000*N$109*N120*(1+$F$75)</f>
        <v>2291.3813916924087</v>
      </c>
      <c r="O185" s="125">
        <f>$F66*O$131*$F73/1000*O$109*O120*(1+$F$75)</f>
        <v>2497.8338529140951</v>
      </c>
      <c r="P185" s="122"/>
      <c r="Q185" s="122"/>
      <c r="R185" s="122"/>
      <c r="S185" s="122"/>
      <c r="T185" s="173"/>
      <c r="U185" s="173"/>
      <c r="V185" s="173"/>
      <c r="W185" s="173"/>
      <c r="X185" s="173"/>
      <c r="Y185" s="173"/>
      <c r="Z185" s="173"/>
    </row>
    <row r="186" spans="1:26" ht="12.75" x14ac:dyDescent="0.2">
      <c r="A186" s="122"/>
      <c r="B186" s="180"/>
      <c r="C186" s="152" t="s">
        <v>102</v>
      </c>
      <c r="D186" s="180"/>
      <c r="E186" s="180"/>
      <c r="F186" s="125">
        <f>$F68*F$131*$F74/1000*F$111*(1+$J$75)*F$116</f>
        <v>0</v>
      </c>
      <c r="G186" s="125">
        <f>$F68*G$131*$F74/1000*G$111*(1+$J$75)*G$116</f>
        <v>0</v>
      </c>
      <c r="H186" s="125">
        <f>$F68*H$131*$F74/1000*H$111*(1+$J$75)*H$116</f>
        <v>0</v>
      </c>
      <c r="I186" s="125">
        <f>$F68*I$131*$F74/1000*I$111*(1+$J$75)*I$116</f>
        <v>0</v>
      </c>
      <c r="J186" s="125">
        <f>$F68*J$131*$F74/1000*J$111*(1+$J$75)*J$116</f>
        <v>0</v>
      </c>
      <c r="K186" s="125">
        <f>$F68*K$131*$F74/1000*K$111*(1+$J$75)*K$116</f>
        <v>0</v>
      </c>
      <c r="L186" s="125">
        <f>$F68*L$131*$F74/1000*L$111*(1+$J$75)*L$116</f>
        <v>0</v>
      </c>
      <c r="M186" s="125">
        <f>$F68*M$131*$F74/1000*M$111*(1+$J$75)*M$116</f>
        <v>0</v>
      </c>
      <c r="N186" s="125">
        <f>$F68*N$131*$F74/1000*N$111*(1+$J$75)*N$116</f>
        <v>0</v>
      </c>
      <c r="O186" s="125">
        <f>$F68*O$131*$F74/1000*O$111*(1+$J$75)*O$116</f>
        <v>0</v>
      </c>
      <c r="P186" s="122"/>
      <c r="Q186" s="122"/>
      <c r="R186" s="122"/>
      <c r="S186" s="122"/>
      <c r="T186" s="173"/>
      <c r="U186" s="173"/>
      <c r="V186" s="173"/>
      <c r="W186" s="173"/>
      <c r="X186" s="173"/>
      <c r="Y186" s="173"/>
      <c r="Z186" s="173"/>
    </row>
    <row r="187" spans="1:26" ht="12.75" x14ac:dyDescent="0.2">
      <c r="A187" s="122"/>
      <c r="B187" s="180"/>
      <c r="C187" s="182" t="s">
        <v>217</v>
      </c>
      <c r="D187" s="182"/>
      <c r="E187" s="182"/>
      <c r="F187" s="187">
        <f t="shared" ref="F187:O187" si="37">SUM(F183:F186)</f>
        <v>1363.50072</v>
      </c>
      <c r="G187" s="187">
        <f t="shared" si="37"/>
        <v>1500.6416224176</v>
      </c>
      <c r="H187" s="187">
        <f t="shared" si="37"/>
        <v>1651.5761568003622</v>
      </c>
      <c r="I187" s="187">
        <f t="shared" si="37"/>
        <v>1817.6916866513423</v>
      </c>
      <c r="J187" s="187">
        <f t="shared" si="37"/>
        <v>2000.5151164947347</v>
      </c>
      <c r="K187" s="187">
        <f t="shared" si="37"/>
        <v>2201.7269269117751</v>
      </c>
      <c r="L187" s="187">
        <f t="shared" si="37"/>
        <v>2423.1766212205616</v>
      </c>
      <c r="M187" s="187">
        <f t="shared" si="37"/>
        <v>2666.8997257829251</v>
      </c>
      <c r="N187" s="187">
        <f t="shared" si="37"/>
        <v>2935.1365002021716</v>
      </c>
      <c r="O187" s="187">
        <f t="shared" si="37"/>
        <v>3199.5910151446974</v>
      </c>
      <c r="P187" s="122"/>
      <c r="Q187" s="122"/>
      <c r="R187" s="122"/>
      <c r="S187" s="122"/>
      <c r="T187" s="173"/>
      <c r="U187" s="173"/>
      <c r="V187" s="173"/>
      <c r="W187" s="173"/>
      <c r="X187" s="173"/>
      <c r="Y187" s="173"/>
      <c r="Z187" s="173"/>
    </row>
    <row r="188" spans="1:26" ht="12.75" x14ac:dyDescent="0.2">
      <c r="A188" s="122"/>
      <c r="B188" s="155"/>
      <c r="C188" s="155"/>
      <c r="D188" s="155"/>
      <c r="E188" s="155"/>
      <c r="F188" s="155"/>
      <c r="G188" s="155"/>
      <c r="H188" s="155"/>
      <c r="I188" s="155"/>
      <c r="J188" s="155"/>
      <c r="K188" s="155"/>
      <c r="L188" s="155"/>
      <c r="M188" s="155"/>
      <c r="N188" s="155"/>
      <c r="O188" s="155"/>
      <c r="P188" s="122"/>
      <c r="Q188" s="122"/>
      <c r="R188" s="122"/>
      <c r="S188" s="122"/>
      <c r="T188" s="173"/>
      <c r="U188" s="173"/>
      <c r="V188" s="173"/>
      <c r="W188" s="173"/>
      <c r="X188" s="173"/>
      <c r="Y188" s="173"/>
      <c r="Z188" s="173"/>
    </row>
    <row r="189" spans="1:26" ht="12.75" x14ac:dyDescent="0.2">
      <c r="A189" s="122"/>
      <c r="B189" s="180"/>
      <c r="C189" s="188" t="s">
        <v>287</v>
      </c>
      <c r="D189" s="189"/>
      <c r="E189" s="189"/>
      <c r="F189" s="190"/>
      <c r="G189" s="190"/>
      <c r="H189" s="190"/>
      <c r="I189" s="190"/>
      <c r="J189" s="190"/>
      <c r="K189" s="190"/>
      <c r="L189" s="190"/>
      <c r="M189" s="190"/>
      <c r="N189" s="190"/>
      <c r="O189" s="190"/>
      <c r="P189" s="122"/>
      <c r="Q189" s="122"/>
      <c r="R189" s="122"/>
      <c r="S189" s="122"/>
      <c r="T189" s="173"/>
      <c r="U189" s="173"/>
      <c r="V189" s="173"/>
      <c r="W189" s="173"/>
      <c r="X189" s="173"/>
      <c r="Y189" s="173"/>
      <c r="Z189" s="173"/>
    </row>
    <row r="190" spans="1:26" ht="12.75" x14ac:dyDescent="0.2">
      <c r="A190" s="122"/>
      <c r="B190" s="180"/>
      <c r="C190" s="155" t="s">
        <v>375</v>
      </c>
      <c r="D190" s="189"/>
      <c r="E190" s="189"/>
      <c r="F190" s="190">
        <f>$F80*F$109/1000*F$139</f>
        <v>5.9364424000000016</v>
      </c>
      <c r="G190" s="190">
        <f>$F80*G$109/1000*G$139</f>
        <v>6.5473935800000014</v>
      </c>
      <c r="H190" s="190">
        <f>$F80*H$109/1000*H$139</f>
        <v>7.2208894701536321</v>
      </c>
      <c r="I190" s="190">
        <f>$F80*I$109/1000*I$139</f>
        <v>7.9633073414052191</v>
      </c>
      <c r="J190" s="190">
        <f>$F80*J$109/1000*J$139</f>
        <v>8.7816727260064287</v>
      </c>
      <c r="K190" s="190">
        <f>$F80*K$109/1000*K$139</f>
        <v>9.6837251596348377</v>
      </c>
      <c r="L190" s="190">
        <f>$F80*L$109/1000*L$139</f>
        <v>10.677990578514484</v>
      </c>
      <c r="M190" s="190">
        <f>$F80*M$109/1000*M$139</f>
        <v>11.7738610442686</v>
      </c>
      <c r="N190" s="190">
        <f>$F80*N$109/1000*N$139</f>
        <v>12.981682537164273</v>
      </c>
      <c r="O190" s="190">
        <f>$F80*O$109/1000*O$139</f>
        <v>14.164427574526698</v>
      </c>
      <c r="P190" s="122"/>
      <c r="Q190" s="122"/>
      <c r="R190" s="122"/>
      <c r="S190" s="122"/>
      <c r="T190" s="173"/>
      <c r="U190" s="173"/>
      <c r="V190" s="173"/>
      <c r="W190" s="173"/>
      <c r="X190" s="173"/>
      <c r="Y190" s="173"/>
      <c r="Z190" s="173"/>
    </row>
    <row r="191" spans="1:26" ht="12.75" x14ac:dyDescent="0.2">
      <c r="A191" s="122"/>
      <c r="B191" s="180"/>
      <c r="C191" s="184" t="s">
        <v>284</v>
      </c>
      <c r="D191" s="191"/>
      <c r="E191" s="191"/>
      <c r="F191" s="773">
        <f>$F81*F$109/1000*(F$139+F$138)</f>
        <v>5.4595200000000004</v>
      </c>
      <c r="G191" s="186">
        <f>$F81*G$109/1000*(G$139+G$138)</f>
        <v>6.0086385216000009</v>
      </c>
      <c r="H191" s="186">
        <f>$F81*H$109/1000*(H$139+H$138)</f>
        <v>6.6129873841025271</v>
      </c>
      <c r="I191" s="186">
        <f>$F81*I$109/1000*(I$139+I$138)</f>
        <v>7.2781216551955596</v>
      </c>
      <c r="J191" s="186">
        <f>$F81*J$109/1000*(J$139+J$138)</f>
        <v>8.0101551312751305</v>
      </c>
      <c r="K191" s="186">
        <f>$F81*K$109/1000*(K$139+K$138)</f>
        <v>8.8158165343787829</v>
      </c>
      <c r="L191" s="186">
        <f>$F81*L$109/1000*(L$139+L$138)</f>
        <v>9.7025113614066019</v>
      </c>
      <c r="M191" s="186">
        <f>$F81*M$109/1000*(M$139+M$138)</f>
        <v>10.678389954136875</v>
      </c>
      <c r="N191" s="186">
        <f>$F81*N$109/1000*(N$139+N$138)</f>
        <v>11.752422415723961</v>
      </c>
      <c r="O191" s="186">
        <f>$F81*O$109/1000*(O$139+O$138)</f>
        <v>12.811310535283607</v>
      </c>
      <c r="P191" s="122"/>
      <c r="Q191" s="122"/>
      <c r="R191" s="122"/>
      <c r="S191" s="122"/>
      <c r="T191" s="173"/>
      <c r="U191" s="173"/>
      <c r="V191" s="173"/>
      <c r="W191" s="173"/>
      <c r="X191" s="173"/>
      <c r="Y191" s="173"/>
      <c r="Z191" s="173"/>
    </row>
    <row r="192" spans="1:26" ht="12.75" x14ac:dyDescent="0.2">
      <c r="A192" s="122"/>
      <c r="B192" s="180"/>
      <c r="C192" s="189" t="s">
        <v>289</v>
      </c>
      <c r="D192" s="189"/>
      <c r="E192" s="189"/>
      <c r="F192" s="190">
        <f t="shared" ref="F192:O192" si="38">SUM(F190:F191)</f>
        <v>11.395962400000002</v>
      </c>
      <c r="G192" s="190">
        <f t="shared" si="38"/>
        <v>12.556032101600003</v>
      </c>
      <c r="H192" s="190">
        <f t="shared" si="38"/>
        <v>13.833876854256159</v>
      </c>
      <c r="I192" s="190">
        <f t="shared" si="38"/>
        <v>15.241428996600778</v>
      </c>
      <c r="J192" s="190">
        <f t="shared" si="38"/>
        <v>16.791827857281561</v>
      </c>
      <c r="K192" s="190">
        <f t="shared" si="38"/>
        <v>18.499541694013622</v>
      </c>
      <c r="L192" s="190">
        <f t="shared" si="38"/>
        <v>20.380501939921086</v>
      </c>
      <c r="M192" s="190">
        <f t="shared" si="38"/>
        <v>22.452250998405475</v>
      </c>
      <c r="N192" s="190">
        <f t="shared" si="38"/>
        <v>24.734104952888234</v>
      </c>
      <c r="O192" s="190">
        <f t="shared" si="38"/>
        <v>26.975738109810305</v>
      </c>
      <c r="P192" s="122"/>
      <c r="Q192" s="122"/>
      <c r="R192" s="122"/>
      <c r="S192" s="122"/>
      <c r="T192" s="173"/>
      <c r="U192" s="173"/>
      <c r="V192" s="173"/>
      <c r="W192" s="173"/>
      <c r="X192" s="173"/>
      <c r="Y192" s="173"/>
      <c r="Z192" s="173"/>
    </row>
    <row r="193" spans="1:26" ht="12.75" x14ac:dyDescent="0.2">
      <c r="A193" s="173"/>
      <c r="B193" s="173"/>
      <c r="C193" s="305"/>
      <c r="D193" s="305"/>
      <c r="E193" s="305"/>
      <c r="F193" s="743"/>
      <c r="G193" s="743"/>
      <c r="H193" s="743"/>
      <c r="I193" s="743"/>
      <c r="J193" s="743"/>
      <c r="K193" s="743"/>
      <c r="L193" s="743"/>
      <c r="M193" s="743"/>
      <c r="N193" s="743"/>
      <c r="O193" s="743"/>
      <c r="P193" s="173"/>
      <c r="Q193" s="173"/>
      <c r="R193" s="173"/>
      <c r="S193" s="173"/>
      <c r="T193" s="173"/>
      <c r="U193" s="173"/>
      <c r="V193" s="173"/>
      <c r="W193" s="173"/>
      <c r="X193" s="173"/>
      <c r="Y193" s="173"/>
      <c r="Z193" s="173"/>
    </row>
    <row r="194" spans="1:26" ht="12.75" x14ac:dyDescent="0.2">
      <c r="A194" s="122"/>
      <c r="B194" s="744" t="s">
        <v>1014</v>
      </c>
      <c r="C194" s="180"/>
      <c r="D194" s="180"/>
      <c r="E194" s="180"/>
      <c r="F194" s="180"/>
      <c r="G194" s="180"/>
      <c r="H194" s="180"/>
      <c r="I194" s="180"/>
      <c r="J194" s="180"/>
      <c r="K194" s="180"/>
      <c r="L194" s="180"/>
      <c r="M194" s="180"/>
      <c r="N194" s="180"/>
      <c r="O194" s="180"/>
      <c r="P194" s="122"/>
      <c r="Q194" s="122"/>
      <c r="R194" s="122"/>
      <c r="S194" s="122"/>
      <c r="T194" s="173"/>
      <c r="U194" s="173"/>
      <c r="V194" s="173"/>
      <c r="W194" s="173"/>
      <c r="X194" s="173"/>
      <c r="Y194" s="173"/>
      <c r="Z194" s="173"/>
    </row>
    <row r="195" spans="1:26" ht="12.75" x14ac:dyDescent="0.2">
      <c r="A195" s="122"/>
      <c r="B195" s="180"/>
      <c r="C195" s="181" t="s">
        <v>218</v>
      </c>
      <c r="D195" s="180"/>
      <c r="E195" s="180"/>
      <c r="F195" s="180"/>
      <c r="G195" s="180"/>
      <c r="H195" s="180"/>
      <c r="I195" s="180"/>
      <c r="J195" s="180"/>
      <c r="K195" s="180"/>
      <c r="L195" s="180"/>
      <c r="M195" s="180"/>
      <c r="N195" s="180"/>
      <c r="O195" s="180"/>
      <c r="P195" s="122"/>
      <c r="Q195" s="122"/>
      <c r="R195" s="122"/>
      <c r="S195" s="122"/>
      <c r="T195" s="173"/>
      <c r="U195" s="173"/>
      <c r="V195" s="173"/>
      <c r="W195" s="173"/>
      <c r="X195" s="173"/>
      <c r="Y195" s="173"/>
      <c r="Z195" s="173"/>
    </row>
    <row r="196" spans="1:26" ht="12.75" x14ac:dyDescent="0.2">
      <c r="A196" s="122"/>
      <c r="B196" s="180"/>
      <c r="C196" s="123" t="s">
        <v>447</v>
      </c>
      <c r="D196" s="180"/>
      <c r="E196" s="180"/>
      <c r="F196" s="125">
        <f>$J42*F$132*$J50*F$124*F$109/1000</f>
        <v>24.149999999999995</v>
      </c>
      <c r="G196" s="125">
        <f>$J42*G$132*$J50*G$124*G$109/1000</f>
        <v>26.057849999999995</v>
      </c>
      <c r="H196" s="125">
        <f>$J42*H$132*$J50*H$124*H$109/1000</f>
        <v>28.116420149999989</v>
      </c>
      <c r="I196" s="125">
        <f>$J42*I$132*$J50*I$124*I$109/1000</f>
        <v>30.337617341849992</v>
      </c>
      <c r="J196" s="125">
        <f>$J42*J$132*$J50*J$124*J$109/1000</f>
        <v>32.734289111856143</v>
      </c>
      <c r="K196" s="125">
        <f>$J42*K$132*$J50*K$124*K$109/1000</f>
        <v>35.320297951692773</v>
      </c>
      <c r="L196" s="125">
        <f>$J42*L$132*$J50*L$124*L$109/1000</f>
        <v>38.110601489876508</v>
      </c>
      <c r="M196" s="125">
        <f>$J42*M$132*$J50*M$124*M$109/1000</f>
        <v>41.121339007576744</v>
      </c>
      <c r="N196" s="125">
        <f>$J42*N$132*$J50*N$124*N$109/1000</f>
        <v>44.3699247891753</v>
      </c>
      <c r="O196" s="125">
        <f>$J42*O$132*$J50*O$124*O$109/1000</f>
        <v>47.875148847520158</v>
      </c>
      <c r="P196" s="122"/>
      <c r="Q196" s="122"/>
      <c r="R196" s="122"/>
      <c r="S196" s="122"/>
      <c r="T196" s="173"/>
      <c r="U196" s="173"/>
      <c r="V196" s="173"/>
      <c r="W196" s="173"/>
      <c r="X196" s="173"/>
      <c r="Y196" s="173"/>
      <c r="Z196" s="173"/>
    </row>
    <row r="197" spans="1:26" ht="12.75" x14ac:dyDescent="0.2">
      <c r="A197" s="122"/>
      <c r="B197" s="180"/>
      <c r="C197" s="123" t="s">
        <v>448</v>
      </c>
      <c r="D197" s="180"/>
      <c r="E197" s="180"/>
      <c r="F197" s="125">
        <f>$J43*F$132*$J51*F$124*F$109/1000</f>
        <v>36</v>
      </c>
      <c r="G197" s="125">
        <f>$J43*G$132*$J51*G122*G$124*G$109/1000</f>
        <v>39.62088</v>
      </c>
      <c r="H197" s="125">
        <f>$J43*H$132*$J51*H122*H$124*H$109/1000</f>
        <v>43.605948110399993</v>
      </c>
      <c r="I197" s="125">
        <f>$J43*I$132*$J51*I122*I$124*I$109/1000</f>
        <v>47.991834371344027</v>
      </c>
      <c r="J197" s="125">
        <f>$J43*J$132*$J51*J122*J$124*J$109/1000</f>
        <v>52.818853072413802</v>
      </c>
      <c r="K197" s="125">
        <f>$J43*K$132*$J51*K122*K$124*K$109/1000</f>
        <v>58.131373314437184</v>
      </c>
      <c r="L197" s="125">
        <f>$J43*L$132*$J51*L122*L$124*L$109/1000</f>
        <v>63.978226842403281</v>
      </c>
      <c r="M197" s="125">
        <f>$J43*M$132*$J51*M122*M$124*M$109/1000</f>
        <v>70.413156898212208</v>
      </c>
      <c r="N197" s="125">
        <f>$J43*N$132*$J51*N122*N$124*N$109/1000</f>
        <v>77.495312219034389</v>
      </c>
      <c r="O197" s="125">
        <f>$J43*O$132*$J51*O122*O$124*O$109/1000</f>
        <v>85.289790722024861</v>
      </c>
      <c r="P197" s="122"/>
      <c r="Q197" s="122"/>
      <c r="R197" s="122"/>
      <c r="S197" s="122"/>
      <c r="T197" s="173"/>
      <c r="U197" s="173"/>
      <c r="V197" s="173"/>
      <c r="W197" s="173"/>
      <c r="X197" s="173"/>
      <c r="Y197" s="173"/>
      <c r="Z197" s="173"/>
    </row>
    <row r="198" spans="1:26" ht="12.75" x14ac:dyDescent="0.2">
      <c r="A198" s="122"/>
      <c r="B198" s="180"/>
      <c r="C198" s="123" t="s">
        <v>449</v>
      </c>
      <c r="D198" s="180"/>
      <c r="E198" s="180"/>
      <c r="F198" s="125">
        <f>$J44*F$132*$J52*F$124*F$109/1000</f>
        <v>4.5999999999999996</v>
      </c>
      <c r="G198" s="125">
        <f>$J44*G$132*$J52*G$124*G$109/1000</f>
        <v>4.9634</v>
      </c>
      <c r="H198" s="125">
        <f>$J44*H$132*$J52*H$124*H$109/1000</f>
        <v>5.3555085999999994</v>
      </c>
      <c r="I198" s="125">
        <f>$J44*I$132*$J52*I$124*I$109/1000</f>
        <v>5.7785937793999995</v>
      </c>
      <c r="J198" s="125">
        <f>$J44*J$132*$J52*J$124*J$109/1000</f>
        <v>6.2351026879725993</v>
      </c>
      <c r="K198" s="125">
        <f>$J44*K$132*$J52*K$124*K$109/1000</f>
        <v>6.7276758003224337</v>
      </c>
      <c r="L198" s="125">
        <f>$J44*L$132*$J52*L$124*L$109/1000</f>
        <v>7.259162188547907</v>
      </c>
      <c r="M198" s="125">
        <f>$J44*M$132*$J52*M$124*M$109/1000</f>
        <v>7.8326360014431913</v>
      </c>
      <c r="N198" s="125">
        <f>$J44*N$132*$J52*N$124*N$109/1000</f>
        <v>8.451414245557201</v>
      </c>
      <c r="O198" s="125">
        <f>$J44*O$132*$J52*O$124*O$109/1000</f>
        <v>9.1190759709562208</v>
      </c>
      <c r="P198" s="122"/>
      <c r="Q198" s="122"/>
      <c r="R198" s="122"/>
      <c r="S198" s="122"/>
      <c r="T198" s="173"/>
      <c r="U198" s="173"/>
      <c r="V198" s="173"/>
      <c r="W198" s="173"/>
      <c r="X198" s="173"/>
      <c r="Y198" s="173"/>
      <c r="Z198" s="173"/>
    </row>
    <row r="199" spans="1:26" ht="12.75" x14ac:dyDescent="0.2">
      <c r="A199" s="122"/>
      <c r="B199" s="180"/>
      <c r="C199" s="123" t="s">
        <v>450</v>
      </c>
      <c r="D199" s="180"/>
      <c r="E199" s="180"/>
      <c r="F199" s="125">
        <f>$J45*F$132*$J53*F$124*F$109/1000</f>
        <v>53.173999999999999</v>
      </c>
      <c r="G199" s="125">
        <f>$J45*G$132*$J53*G$124*G$109/1000</f>
        <v>57.374746000000002</v>
      </c>
      <c r="H199" s="125">
        <f>$J45*H$132*$J53*H$124*H$109/1000</f>
        <v>61.907350933999993</v>
      </c>
      <c r="I199" s="125">
        <f>$J45*I$132*$J53*I$124*I$109/1000</f>
        <v>66.798031657785998</v>
      </c>
      <c r="J199" s="125">
        <f>$J45*J$132*$J53*J$124*J$109/1000</f>
        <v>72.075076158751088</v>
      </c>
      <c r="K199" s="125">
        <f>$J45*K$132*$J53*K$124*K$109/1000</f>
        <v>77.769007175292415</v>
      </c>
      <c r="L199" s="125">
        <f>$J45*L$132*$J53*L$124*L$109/1000</f>
        <v>83.912758742140525</v>
      </c>
      <c r="M199" s="125">
        <f>$J45*M$132*$J53*M$124*M$109/1000</f>
        <v>90.541866682769609</v>
      </c>
      <c r="N199" s="125">
        <f>$J45*N$132*$J53*N$124*N$109/1000</f>
        <v>97.694674150708408</v>
      </c>
      <c r="O199" s="125">
        <f>$J45*O$132*$J53*O$124*O$109/1000</f>
        <v>105.41255340861437</v>
      </c>
      <c r="P199" s="122"/>
      <c r="Q199" s="122"/>
      <c r="R199" s="122"/>
      <c r="S199" s="122"/>
      <c r="T199" s="173"/>
      <c r="U199" s="173"/>
      <c r="V199" s="173"/>
      <c r="W199" s="173"/>
      <c r="X199" s="173"/>
      <c r="Y199" s="173"/>
      <c r="Z199" s="173"/>
    </row>
    <row r="200" spans="1:26" ht="12.75" x14ac:dyDescent="0.2">
      <c r="A200" s="122"/>
      <c r="B200" s="180"/>
      <c r="C200" s="152" t="s">
        <v>451</v>
      </c>
      <c r="D200" s="180"/>
      <c r="E200" s="180"/>
      <c r="F200" s="125">
        <f>$J46*F$132*$J54*F$124*F$109/1000</f>
        <v>13.997999999999999</v>
      </c>
      <c r="G200" s="125">
        <f>$J46*G$132*$J54*G$124*G$109/1000</f>
        <v>15.103841999999998</v>
      </c>
      <c r="H200" s="125">
        <f>$J46*H$132*$J54*H$124*H$109/1000</f>
        <v>16.297045517999997</v>
      </c>
      <c r="I200" s="125">
        <f>$J46*I$132*$J54*I$124*I$109/1000</f>
        <v>17.584512113921999</v>
      </c>
      <c r="J200" s="125">
        <f>$J46*J$132*$J54*J$124*J$109/1000</f>
        <v>18.973688570921837</v>
      </c>
      <c r="K200" s="125">
        <f>$J46*K$132*$J54*K$124*K$109/1000</f>
        <v>20.47260996802466</v>
      </c>
      <c r="L200" s="125">
        <f>$J46*L$132*$J54*L$124*L$109/1000</f>
        <v>22.089946155498609</v>
      </c>
      <c r="M200" s="125">
        <f>$J46*M$132*$J54*M$124*M$109/1000</f>
        <v>23.835051901782997</v>
      </c>
      <c r="N200" s="125">
        <f>$J46*N$132*$J54*N$124*N$109/1000</f>
        <v>25.718021002023853</v>
      </c>
      <c r="O200" s="125">
        <f>$J46*O$132*$J54*O$124*O$109/1000</f>
        <v>27.749744661183737</v>
      </c>
      <c r="P200" s="122"/>
      <c r="Q200" s="122"/>
      <c r="R200" s="122"/>
      <c r="S200" s="122"/>
      <c r="T200" s="173"/>
      <c r="U200" s="173"/>
      <c r="V200" s="173"/>
      <c r="W200" s="173"/>
      <c r="X200" s="173"/>
      <c r="Y200" s="173"/>
      <c r="Z200" s="173"/>
    </row>
    <row r="201" spans="1:26" ht="12.75" x14ac:dyDescent="0.2">
      <c r="A201" s="122"/>
      <c r="B201" s="180"/>
      <c r="C201" s="152" t="s">
        <v>452</v>
      </c>
      <c r="D201" s="180"/>
      <c r="E201" s="180"/>
      <c r="F201" s="125">
        <f>$J47*F$132*$J55*F$124*F$109/1000</f>
        <v>17.603999999999999</v>
      </c>
      <c r="G201" s="125">
        <f>$J47*G$132*$J55*G$124*G$109/1000</f>
        <v>18.994716</v>
      </c>
      <c r="H201" s="125">
        <f>$J47*H$132*$J55*H$124*H$109/1000</f>
        <v>20.495298563999999</v>
      </c>
      <c r="I201" s="125">
        <f>$J47*I$132*$J55*I$124*I$109/1000</f>
        <v>22.114427150556001</v>
      </c>
      <c r="J201" s="125">
        <f>$J47*J$132*$J55*J$124*J$109/1000</f>
        <v>23.861466895449922</v>
      </c>
      <c r="K201" s="125">
        <f>$J47*K$132*$J55*K$124*K$109/1000</f>
        <v>25.746522780190467</v>
      </c>
      <c r="L201" s="125">
        <f>$J47*L$132*$J55*L$124*L$109/1000</f>
        <v>27.780498079825513</v>
      </c>
      <c r="M201" s="125">
        <f>$J47*M$132*$J55*M$124*M$109/1000</f>
        <v>29.975157428131727</v>
      </c>
      <c r="N201" s="125">
        <f>$J47*N$132*$J55*N$124*N$109/1000</f>
        <v>32.343194864954128</v>
      </c>
      <c r="O201" s="125">
        <f>$J47*O$132*$J55*O$124*O$109/1000</f>
        <v>34.898307259285502</v>
      </c>
      <c r="P201" s="122"/>
      <c r="Q201" s="122"/>
      <c r="R201" s="122"/>
      <c r="S201" s="122"/>
      <c r="T201" s="173"/>
      <c r="U201" s="173"/>
      <c r="V201" s="173"/>
      <c r="W201" s="173"/>
      <c r="X201" s="173"/>
      <c r="Y201" s="173"/>
      <c r="Z201" s="173"/>
    </row>
    <row r="202" spans="1:26" ht="12.75" x14ac:dyDescent="0.2">
      <c r="A202" s="122"/>
      <c r="B202" s="180"/>
      <c r="C202" s="152" t="s">
        <v>276</v>
      </c>
      <c r="D202" s="180"/>
      <c r="E202" s="180"/>
      <c r="F202" s="125">
        <f t="shared" ref="F202:O202" si="39">IF(F165&lt;$J$49,$J$48*$J$55*F$124*F$109/1000,0)</f>
        <v>29.34</v>
      </c>
      <c r="G202" s="125">
        <f t="shared" si="39"/>
        <v>31.657859999999999</v>
      </c>
      <c r="H202" s="125">
        <f t="shared" si="39"/>
        <v>34.158830939999994</v>
      </c>
      <c r="I202" s="125">
        <f t="shared" si="39"/>
        <v>36.857378584259997</v>
      </c>
      <c r="J202" s="125">
        <f t="shared" si="39"/>
        <v>0</v>
      </c>
      <c r="K202" s="125">
        <f t="shared" si="39"/>
        <v>0</v>
      </c>
      <c r="L202" s="125">
        <f t="shared" si="39"/>
        <v>0</v>
      </c>
      <c r="M202" s="125">
        <f t="shared" si="39"/>
        <v>0</v>
      </c>
      <c r="N202" s="125">
        <f t="shared" si="39"/>
        <v>0</v>
      </c>
      <c r="O202" s="125">
        <f t="shared" si="39"/>
        <v>0</v>
      </c>
      <c r="P202" s="122"/>
      <c r="Q202" s="122"/>
      <c r="R202" s="122"/>
      <c r="S202" s="122"/>
      <c r="T202" s="173"/>
      <c r="U202" s="173"/>
      <c r="V202" s="173"/>
      <c r="W202" s="173"/>
      <c r="X202" s="173"/>
      <c r="Y202" s="173"/>
      <c r="Z202" s="173"/>
    </row>
    <row r="203" spans="1:26" ht="12.75" x14ac:dyDescent="0.2">
      <c r="A203" s="122"/>
      <c r="B203" s="180"/>
      <c r="C203" s="175" t="s">
        <v>207</v>
      </c>
      <c r="D203" s="182"/>
      <c r="E203" s="182"/>
      <c r="F203" s="127">
        <f>SUM(F196:F202)</f>
        <v>178.86599999999996</v>
      </c>
      <c r="G203" s="127">
        <f t="shared" ref="G203:O203" si="40">SUM(G196:G202)</f>
        <v>193.77329400000002</v>
      </c>
      <c r="H203" s="127">
        <f t="shared" si="40"/>
        <v>209.93640281639998</v>
      </c>
      <c r="I203" s="127">
        <f t="shared" si="40"/>
        <v>227.462394999118</v>
      </c>
      <c r="J203" s="127">
        <f t="shared" si="40"/>
        <v>206.69847649736539</v>
      </c>
      <c r="K203" s="127">
        <f t="shared" si="40"/>
        <v>224.16748698995994</v>
      </c>
      <c r="L203" s="127">
        <f t="shared" si="40"/>
        <v>243.13119349829233</v>
      </c>
      <c r="M203" s="127">
        <f t="shared" si="40"/>
        <v>263.71920791991653</v>
      </c>
      <c r="N203" s="127">
        <f t="shared" si="40"/>
        <v>286.07254127145325</v>
      </c>
      <c r="O203" s="127">
        <f t="shared" si="40"/>
        <v>310.34462086958484</v>
      </c>
      <c r="P203" s="122"/>
      <c r="Q203" s="122"/>
      <c r="R203" s="122"/>
      <c r="S203" s="122"/>
      <c r="T203" s="173"/>
      <c r="U203" s="173"/>
      <c r="V203" s="173"/>
      <c r="W203" s="173"/>
      <c r="X203" s="173"/>
      <c r="Y203" s="173"/>
      <c r="Z203" s="173"/>
    </row>
    <row r="204" spans="1:26" ht="12.75" x14ac:dyDescent="0.2">
      <c r="A204" s="122"/>
      <c r="B204" s="180"/>
      <c r="C204" s="123"/>
      <c r="D204" s="180"/>
      <c r="E204" s="180"/>
      <c r="F204" s="183"/>
      <c r="G204" s="183"/>
      <c r="H204" s="183"/>
      <c r="I204" s="183"/>
      <c r="J204" s="183"/>
      <c r="K204" s="183"/>
      <c r="L204" s="183"/>
      <c r="M204" s="183"/>
      <c r="N204" s="183"/>
      <c r="O204" s="183"/>
      <c r="P204" s="122"/>
      <c r="Q204" s="122"/>
      <c r="R204" s="122"/>
      <c r="S204" s="122"/>
      <c r="T204" s="173"/>
      <c r="U204" s="173"/>
      <c r="V204" s="173"/>
      <c r="W204" s="173"/>
      <c r="X204" s="173"/>
      <c r="Y204" s="173"/>
      <c r="Z204" s="173"/>
    </row>
    <row r="205" spans="1:26" ht="12.75" x14ac:dyDescent="0.2">
      <c r="A205" s="122"/>
      <c r="B205" s="180"/>
      <c r="C205" s="181" t="s">
        <v>215</v>
      </c>
      <c r="D205" s="180"/>
      <c r="E205" s="180"/>
      <c r="F205" s="183"/>
      <c r="G205" s="183"/>
      <c r="H205" s="183"/>
      <c r="I205" s="183"/>
      <c r="J205" s="183"/>
      <c r="K205" s="183"/>
      <c r="L205" s="183"/>
      <c r="M205" s="183"/>
      <c r="N205" s="183"/>
      <c r="O205" s="183"/>
      <c r="P205" s="122"/>
      <c r="Q205" s="122"/>
      <c r="R205" s="122"/>
      <c r="S205" s="122"/>
      <c r="T205" s="173"/>
      <c r="U205" s="173"/>
      <c r="V205" s="173"/>
      <c r="W205" s="173"/>
      <c r="X205" s="173"/>
      <c r="Y205" s="173"/>
      <c r="Z205" s="173"/>
    </row>
    <row r="206" spans="1:26" ht="12.75" x14ac:dyDescent="0.2">
      <c r="A206" s="122"/>
      <c r="B206" s="180"/>
      <c r="C206" s="180" t="s">
        <v>110</v>
      </c>
      <c r="D206" s="180"/>
      <c r="E206" s="180"/>
      <c r="F206" s="125">
        <f t="shared" ref="F206:O206" si="41">$J$59*F$132*F$109/1000</f>
        <v>40</v>
      </c>
      <c r="G206" s="125">
        <f t="shared" si="41"/>
        <v>43.16</v>
      </c>
      <c r="H206" s="125">
        <f t="shared" si="41"/>
        <v>46.569639999999993</v>
      </c>
      <c r="I206" s="125">
        <f t="shared" si="41"/>
        <v>50.248641559999996</v>
      </c>
      <c r="J206" s="125">
        <f t="shared" si="41"/>
        <v>54.218284243239999</v>
      </c>
      <c r="K206" s="125">
        <f t="shared" si="41"/>
        <v>58.501528698455949</v>
      </c>
      <c r="L206" s="125">
        <f t="shared" si="41"/>
        <v>63.123149465633972</v>
      </c>
      <c r="M206" s="125">
        <f t="shared" si="41"/>
        <v>68.109878273419042</v>
      </c>
      <c r="N206" s="125">
        <f t="shared" si="41"/>
        <v>73.49055865701915</v>
      </c>
      <c r="O206" s="125">
        <f t="shared" si="41"/>
        <v>79.296312790923665</v>
      </c>
      <c r="P206" s="122"/>
      <c r="Q206" s="122"/>
      <c r="R206" s="122"/>
      <c r="S206" s="122"/>
      <c r="T206" s="173"/>
      <c r="U206" s="173"/>
      <c r="V206" s="173"/>
      <c r="W206" s="173"/>
      <c r="X206" s="173"/>
      <c r="Y206" s="173"/>
      <c r="Z206" s="173"/>
    </row>
    <row r="207" spans="1:26" ht="12.75" x14ac:dyDescent="0.2">
      <c r="A207" s="122"/>
      <c r="B207" s="180"/>
      <c r="C207" s="184" t="s">
        <v>283</v>
      </c>
      <c r="D207" s="185"/>
      <c r="E207" s="185"/>
      <c r="F207" s="186">
        <f t="shared" ref="F207:O207" si="42">($J$61+$J$61*(F$132-1)*($J$60))/1000*F$109</f>
        <v>13.986000000000001</v>
      </c>
      <c r="G207" s="186">
        <f t="shared" si="42"/>
        <v>15.090894</v>
      </c>
      <c r="H207" s="186">
        <f t="shared" si="42"/>
        <v>16.283074625999998</v>
      </c>
      <c r="I207" s="186">
        <f t="shared" si="42"/>
        <v>17.569437521453999</v>
      </c>
      <c r="J207" s="186">
        <f t="shared" si="42"/>
        <v>18.957423085648866</v>
      </c>
      <c r="K207" s="186">
        <f t="shared" si="42"/>
        <v>20.455059509415126</v>
      </c>
      <c r="L207" s="186">
        <f t="shared" si="42"/>
        <v>22.071009210658918</v>
      </c>
      <c r="M207" s="186">
        <f t="shared" si="42"/>
        <v>23.814618938300974</v>
      </c>
      <c r="N207" s="186">
        <f t="shared" si="42"/>
        <v>25.695973834426749</v>
      </c>
      <c r="O207" s="186">
        <f t="shared" si="42"/>
        <v>27.725955767346463</v>
      </c>
      <c r="P207" s="122"/>
      <c r="Q207" s="122"/>
      <c r="R207" s="122"/>
      <c r="S207" s="122"/>
      <c r="T207" s="173"/>
      <c r="U207" s="173"/>
      <c r="V207" s="173"/>
      <c r="W207" s="173"/>
      <c r="X207" s="173"/>
      <c r="Y207" s="173"/>
      <c r="Z207" s="173"/>
    </row>
    <row r="208" spans="1:26" ht="12.75" x14ac:dyDescent="0.2">
      <c r="A208" s="122"/>
      <c r="B208" s="180"/>
      <c r="C208" s="175" t="s">
        <v>216</v>
      </c>
      <c r="D208" s="182"/>
      <c r="E208" s="182"/>
      <c r="F208" s="127">
        <f t="shared" ref="F208:O208" si="43">SUM(F206:F207)</f>
        <v>53.986000000000004</v>
      </c>
      <c r="G208" s="127">
        <f t="shared" si="43"/>
        <v>58.250893999999995</v>
      </c>
      <c r="H208" s="127">
        <f t="shared" si="43"/>
        <v>62.852714625999994</v>
      </c>
      <c r="I208" s="127">
        <f t="shared" si="43"/>
        <v>67.818079081453988</v>
      </c>
      <c r="J208" s="127">
        <f t="shared" si="43"/>
        <v>73.175707328888862</v>
      </c>
      <c r="K208" s="127">
        <f t="shared" si="43"/>
        <v>78.956588207871079</v>
      </c>
      <c r="L208" s="127">
        <f t="shared" si="43"/>
        <v>85.194158676292886</v>
      </c>
      <c r="M208" s="127">
        <f t="shared" si="43"/>
        <v>91.924497211720023</v>
      </c>
      <c r="N208" s="127">
        <f t="shared" si="43"/>
        <v>99.186532491445902</v>
      </c>
      <c r="O208" s="127">
        <f t="shared" si="43"/>
        <v>107.02226855827013</v>
      </c>
      <c r="P208" s="122"/>
      <c r="Q208" s="122"/>
      <c r="R208" s="122"/>
      <c r="S208" s="122"/>
      <c r="T208" s="173"/>
      <c r="U208" s="173"/>
      <c r="V208" s="173"/>
      <c r="W208" s="173"/>
      <c r="X208" s="173"/>
      <c r="Y208" s="173"/>
      <c r="Z208" s="173"/>
    </row>
    <row r="209" spans="1:26" ht="12.75" x14ac:dyDescent="0.2">
      <c r="A209" s="122"/>
      <c r="B209" s="180"/>
      <c r="C209" s="180"/>
      <c r="D209" s="180"/>
      <c r="E209" s="180"/>
      <c r="F209" s="183"/>
      <c r="G209" s="183"/>
      <c r="H209" s="183"/>
      <c r="I209" s="183"/>
      <c r="J209" s="183"/>
      <c r="K209" s="183"/>
      <c r="L209" s="183"/>
      <c r="M209" s="183"/>
      <c r="N209" s="183"/>
      <c r="O209" s="183"/>
      <c r="P209" s="122"/>
      <c r="Q209" s="122"/>
      <c r="R209" s="122"/>
      <c r="S209" s="122"/>
      <c r="T209" s="173"/>
      <c r="U209" s="173"/>
      <c r="V209" s="173"/>
      <c r="W209" s="173"/>
      <c r="X209" s="173"/>
      <c r="Y209" s="173"/>
      <c r="Z209" s="173"/>
    </row>
    <row r="210" spans="1:26" ht="12.75" x14ac:dyDescent="0.2">
      <c r="A210" s="122"/>
      <c r="B210" s="180"/>
      <c r="C210" s="181" t="s">
        <v>219</v>
      </c>
      <c r="D210" s="180"/>
      <c r="E210" s="180"/>
      <c r="F210" s="183"/>
      <c r="G210" s="183"/>
      <c r="H210" s="183"/>
      <c r="I210" s="183"/>
      <c r="J210" s="183"/>
      <c r="K210" s="183"/>
      <c r="L210" s="183"/>
      <c r="M210" s="183"/>
      <c r="N210" s="183"/>
      <c r="O210" s="183"/>
      <c r="P210" s="122"/>
      <c r="Q210" s="122"/>
      <c r="R210" s="122"/>
      <c r="S210" s="122"/>
      <c r="T210" s="173"/>
      <c r="U210" s="173"/>
      <c r="V210" s="173"/>
      <c r="W210" s="173"/>
      <c r="X210" s="173"/>
      <c r="Y210" s="173"/>
      <c r="Z210" s="173"/>
    </row>
    <row r="211" spans="1:26" ht="12.75" x14ac:dyDescent="0.2">
      <c r="A211" s="122"/>
      <c r="B211" s="180"/>
      <c r="C211" s="152" t="s">
        <v>454</v>
      </c>
      <c r="D211" s="180"/>
      <c r="E211" s="180"/>
      <c r="F211" s="125">
        <f>$J64*F$132*$J71/1000*F$109*(1+$J$75)</f>
        <v>131.55000000000001</v>
      </c>
      <c r="G211" s="125">
        <f>$J64*G$132*$J71/1000*G$109*(1+$J$75)</f>
        <v>141.94245000000001</v>
      </c>
      <c r="H211" s="125">
        <f>$J64*H$132*$J71/1000*H$109*(1+$J$75)</f>
        <v>153.15590355</v>
      </c>
      <c r="I211" s="125">
        <f>$J64*I$132*$J71/1000*I$109*(1+$J$75)</f>
        <v>165.25521993045001</v>
      </c>
      <c r="J211" s="125">
        <f>$J64*J$132*$J71/1000*J$109*(1+$J$75)</f>
        <v>178.31038230495554</v>
      </c>
      <c r="K211" s="125">
        <f>$J64*K$132*$J71/1000*K$109*(1+$J$75)</f>
        <v>192.39690250704703</v>
      </c>
      <c r="L211" s="125">
        <f>$J64*L$132*$J71/1000*L$109*(1+$J$75)</f>
        <v>207.59625780510373</v>
      </c>
      <c r="M211" s="125">
        <f>$J64*M$132*$J71/1000*M$109*(1+$J$75)</f>
        <v>223.99636217170692</v>
      </c>
      <c r="N211" s="125">
        <f>$J64*N$132*$J71/1000*N$109*(1+$J$75)</f>
        <v>241.69207478327175</v>
      </c>
      <c r="O211" s="125">
        <f>$J64*O$132*$J71/1000*O$109*(1+$J$75)</f>
        <v>260.78574869115022</v>
      </c>
      <c r="P211" s="122"/>
      <c r="Q211" s="122"/>
      <c r="R211" s="122"/>
      <c r="S211" s="122"/>
      <c r="T211" s="173"/>
      <c r="U211" s="173"/>
      <c r="V211" s="173"/>
      <c r="W211" s="173"/>
      <c r="X211" s="173"/>
      <c r="Y211" s="173"/>
      <c r="Z211" s="173"/>
    </row>
    <row r="212" spans="1:26" ht="12.75" x14ac:dyDescent="0.2">
      <c r="A212" s="122"/>
      <c r="B212" s="180"/>
      <c r="C212" s="391" t="s">
        <v>456</v>
      </c>
      <c r="D212" s="180"/>
      <c r="E212" s="180"/>
      <c r="F212" s="125">
        <f>$J65*F$132*$J72/1000*F$109*F122*(1+$J$75)</f>
        <v>1055.9999999999998</v>
      </c>
      <c r="G212" s="125">
        <f>$J65*G$132*$J72/1000*G$109*G122*(1+$J$75)</f>
        <v>1162.2124799999997</v>
      </c>
      <c r="H212" s="125">
        <f>$J65*H$132*$J72/1000*H$109*H122*(1+$J$75)</f>
        <v>1279.1078112383996</v>
      </c>
      <c r="I212" s="125">
        <f>$J65*I$132*$J72/1000*I$109*I122*(1+$J$75)</f>
        <v>1407.7604748927577</v>
      </c>
      <c r="J212" s="125">
        <f>$J65*J$132*$J72/1000*J$109*J122*(1+$J$75)</f>
        <v>1549.3530234574714</v>
      </c>
      <c r="K212" s="125">
        <f>$J65*K$132*$J72/1000*K$109*K122*(1+$J$75)</f>
        <v>1705.1869505568238</v>
      </c>
      <c r="L212" s="125">
        <f>$J65*L$132*$J72/1000*L$109*L122*(1+$J$75)</f>
        <v>1876.6946540438294</v>
      </c>
      <c r="M212" s="125">
        <f>$J65*M$132*$J72/1000*M$109*M122*(1+$J$75)</f>
        <v>2065.4526023475573</v>
      </c>
      <c r="N212" s="125">
        <f>$J65*N$132*$J72/1000*N$109*N122*(1+$J$75)</f>
        <v>2273.195825091675</v>
      </c>
      <c r="O212" s="125">
        <f>$J65*O$132*$J72/1000*O$109*O122*(1+$J$75)</f>
        <v>2501.8338611793956</v>
      </c>
      <c r="P212" s="122"/>
      <c r="Q212" s="122"/>
      <c r="R212" s="122"/>
      <c r="S212" s="122"/>
      <c r="T212" s="173"/>
      <c r="U212" s="173"/>
      <c r="V212" s="173"/>
      <c r="W212" s="173"/>
      <c r="X212" s="173"/>
      <c r="Y212" s="173"/>
      <c r="Z212" s="173"/>
    </row>
    <row r="213" spans="1:26" ht="12.75" x14ac:dyDescent="0.2">
      <c r="A213" s="122"/>
      <c r="B213" s="180"/>
      <c r="C213" s="391" t="s">
        <v>831</v>
      </c>
      <c r="D213" s="180"/>
      <c r="E213" s="180"/>
      <c r="F213" s="125">
        <f>$J66*F$132*$J73/1000*F$109*F122*(1+$J$75)</f>
        <v>384</v>
      </c>
      <c r="G213" s="125">
        <f>$J66*G$132*$J73/1000*G$109*G122*(1+$J$75)</f>
        <v>422.62272000000002</v>
      </c>
      <c r="H213" s="125">
        <f>$J66*H$132*$J73/1000*H$109*H122*(1+$J$75)</f>
        <v>465.13011317759998</v>
      </c>
      <c r="I213" s="125">
        <f>$J66*I$132*$J73/1000*I$109*I122*(1+$J$75)</f>
        <v>511.91289996100295</v>
      </c>
      <c r="J213" s="125">
        <f>$J66*J$132*$J73/1000*J$109*J122*(1+$J$75)</f>
        <v>563.40109943908067</v>
      </c>
      <c r="K213" s="125">
        <f>$J66*K$132*$J73/1000*K$109*K122*(1+$J$75)</f>
        <v>620.06798202066341</v>
      </c>
      <c r="L213" s="125">
        <f>$J66*L$132*$J73/1000*L$109*L122*(1+$J$75)</f>
        <v>682.4344196523017</v>
      </c>
      <c r="M213" s="125">
        <f>$J66*M$132*$J73/1000*M$109*M122*(1+$J$75)</f>
        <v>751.07367358093018</v>
      </c>
      <c r="N213" s="125">
        <f>$J66*N$132*$J73/1000*N$109*N122*(1+$J$75)</f>
        <v>826.61666366970019</v>
      </c>
      <c r="O213" s="125">
        <f>$J66*O$132*$J73/1000*O$109*O122*(1+$J$75)</f>
        <v>909.7577677015986</v>
      </c>
      <c r="P213" s="122"/>
      <c r="Q213" s="122"/>
      <c r="R213" s="122"/>
      <c r="S213" s="122"/>
      <c r="T213" s="173"/>
      <c r="U213" s="173"/>
      <c r="V213" s="173"/>
      <c r="W213" s="173"/>
      <c r="X213" s="173"/>
      <c r="Y213" s="173"/>
      <c r="Z213" s="173"/>
    </row>
    <row r="214" spans="1:26" ht="12.75" x14ac:dyDescent="0.2">
      <c r="A214" s="122"/>
      <c r="B214" s="180"/>
      <c r="C214" s="152" t="s">
        <v>102</v>
      </c>
      <c r="D214" s="180"/>
      <c r="E214" s="180"/>
      <c r="F214" s="125">
        <f>$J68*F$132*$J74/1000*F$111*(1+$J$75)*F$116</f>
        <v>0</v>
      </c>
      <c r="G214" s="125">
        <f>$J68*G$132*$J74/1000*G$111*(1+$J$75)*G$116</f>
        <v>0</v>
      </c>
      <c r="H214" s="125">
        <f>$J68*H$132*$J74/1000*H$111*(1+$J$75)*H$116</f>
        <v>0</v>
      </c>
      <c r="I214" s="125">
        <f>$J68*I$132*$J74/1000*I$111*(1+$J$75)*I$116</f>
        <v>0</v>
      </c>
      <c r="J214" s="125">
        <f>$J68*J$132*$J74/1000*J$111*(1+$J$75)*J$116</f>
        <v>0</v>
      </c>
      <c r="K214" s="125">
        <f>$J68*K$132*$J74/1000*K$111*(1+$J$75)*K$116</f>
        <v>0</v>
      </c>
      <c r="L214" s="125">
        <f>$J68*L$132*$J74/1000*L$111*(1+$J$75)*L$116</f>
        <v>0</v>
      </c>
      <c r="M214" s="125">
        <f>$J68*M$132*$J74/1000*M$111*(1+$J$75)*M$116</f>
        <v>0</v>
      </c>
      <c r="N214" s="125">
        <f>$J68*N$132*$J74/1000*N$111*(1+$J$75)*N$116</f>
        <v>0</v>
      </c>
      <c r="O214" s="125">
        <f>$J68*O$132*$J74/1000*O$111*(1+$J$75)*O$116</f>
        <v>0</v>
      </c>
      <c r="P214" s="122"/>
      <c r="Q214" s="122"/>
      <c r="R214" s="122"/>
      <c r="S214" s="122"/>
      <c r="T214" s="173"/>
      <c r="U214" s="173"/>
      <c r="V214" s="173"/>
      <c r="W214" s="173"/>
      <c r="X214" s="173"/>
      <c r="Y214" s="173"/>
      <c r="Z214" s="173"/>
    </row>
    <row r="215" spans="1:26" ht="12.75" x14ac:dyDescent="0.2">
      <c r="A215" s="122"/>
      <c r="B215" s="180"/>
      <c r="C215" s="182" t="s">
        <v>217</v>
      </c>
      <c r="D215" s="182"/>
      <c r="E215" s="182"/>
      <c r="F215" s="187">
        <f t="shared" ref="F215:O215" si="44">SUM(F211:F214)</f>
        <v>1571.5499999999997</v>
      </c>
      <c r="G215" s="187">
        <f t="shared" si="44"/>
        <v>1726.7776499999998</v>
      </c>
      <c r="H215" s="187">
        <f t="shared" si="44"/>
        <v>1897.3938279659994</v>
      </c>
      <c r="I215" s="187">
        <f t="shared" si="44"/>
        <v>2084.9285947842109</v>
      </c>
      <c r="J215" s="187">
        <f t="shared" si="44"/>
        <v>2291.0645052015075</v>
      </c>
      <c r="K215" s="187">
        <f t="shared" si="44"/>
        <v>2517.6518350845345</v>
      </c>
      <c r="L215" s="187">
        <f t="shared" si="44"/>
        <v>2766.7253315012349</v>
      </c>
      <c r="M215" s="187">
        <f t="shared" si="44"/>
        <v>3040.5226381001944</v>
      </c>
      <c r="N215" s="187">
        <f t="shared" si="44"/>
        <v>3341.5045635446472</v>
      </c>
      <c r="O215" s="187">
        <f t="shared" si="44"/>
        <v>3672.3773775721447</v>
      </c>
      <c r="P215" s="122"/>
      <c r="Q215" s="122"/>
      <c r="R215" s="122"/>
      <c r="S215" s="122"/>
      <c r="T215" s="173"/>
      <c r="U215" s="173"/>
      <c r="V215" s="173"/>
      <c r="W215" s="173"/>
      <c r="X215" s="173"/>
      <c r="Y215" s="173"/>
      <c r="Z215" s="173"/>
    </row>
    <row r="216" spans="1:26" ht="12.75" x14ac:dyDescent="0.2">
      <c r="A216" s="122"/>
      <c r="B216" s="155"/>
      <c r="C216" s="155"/>
      <c r="D216" s="155"/>
      <c r="E216" s="155"/>
      <c r="F216" s="155"/>
      <c r="G216" s="155"/>
      <c r="H216" s="155"/>
      <c r="I216" s="155"/>
      <c r="J216" s="155"/>
      <c r="K216" s="155"/>
      <c r="L216" s="155"/>
      <c r="M216" s="155"/>
      <c r="N216" s="155"/>
      <c r="O216" s="155"/>
      <c r="P216" s="122"/>
      <c r="Q216" s="122"/>
      <c r="R216" s="122"/>
      <c r="S216" s="122"/>
      <c r="T216" s="173"/>
      <c r="U216" s="173"/>
      <c r="V216" s="173"/>
      <c r="W216" s="173"/>
      <c r="X216" s="173"/>
      <c r="Y216" s="173"/>
      <c r="Z216" s="173"/>
    </row>
    <row r="217" spans="1:26" ht="12.75" x14ac:dyDescent="0.2">
      <c r="A217" s="122"/>
      <c r="B217" s="180"/>
      <c r="C217" s="188" t="s">
        <v>287</v>
      </c>
      <c r="D217" s="189"/>
      <c r="E217" s="189"/>
      <c r="F217" s="190"/>
      <c r="G217" s="190"/>
      <c r="H217" s="190"/>
      <c r="I217" s="190"/>
      <c r="J217" s="190"/>
      <c r="K217" s="190"/>
      <c r="L217" s="190"/>
      <c r="M217" s="190"/>
      <c r="N217" s="190"/>
      <c r="O217" s="190"/>
      <c r="P217" s="122"/>
      <c r="Q217" s="122"/>
      <c r="R217" s="122"/>
      <c r="S217" s="122"/>
      <c r="T217" s="173"/>
      <c r="U217" s="173"/>
      <c r="V217" s="173"/>
      <c r="W217" s="173"/>
      <c r="X217" s="173"/>
      <c r="Y217" s="173"/>
      <c r="Z217" s="173"/>
    </row>
    <row r="218" spans="1:26" ht="12.75" x14ac:dyDescent="0.2">
      <c r="A218" s="122"/>
      <c r="B218" s="180"/>
      <c r="C218" s="155" t="s">
        <v>375</v>
      </c>
      <c r="D218" s="189"/>
      <c r="E218" s="189"/>
      <c r="F218" s="190">
        <f>$J80*F$109/1000*F$145</f>
        <v>7.3319624000000019</v>
      </c>
      <c r="G218" s="190">
        <f>$J80*G$109/1000*G$145</f>
        <v>8.0832749816000007</v>
      </c>
      <c r="H218" s="190">
        <f>$J80*H$109/1000*H$145</f>
        <v>8.9112498231265604</v>
      </c>
      <c r="I218" s="190">
        <f>$J80*I$109/1000*I$145</f>
        <v>9.8236841386801661</v>
      </c>
      <c r="J218" s="190">
        <f>$J80*J$109/1000*J$145</f>
        <v>10.829166221551286</v>
      </c>
      <c r="K218" s="190">
        <f>$J80*K$109/1000*K$145</f>
        <v>11.937155550961597</v>
      </c>
      <c r="L218" s="190">
        <f>$J80*L$109/1000*L$145</f>
        <v>13.158070998600888</v>
      </c>
      <c r="M218" s="190">
        <f>$J80*M$109/1000*M$145</f>
        <v>14.503387953007298</v>
      </c>
      <c r="N218" s="190">
        <f>$J80*N$109/1000*N$145</f>
        <v>15.98574526238391</v>
      </c>
      <c r="O218" s="190">
        <f>$J80*O$109/1000*O$145</f>
        <v>17.619062987313615</v>
      </c>
      <c r="P218" s="122"/>
      <c r="Q218" s="122"/>
      <c r="R218" s="122"/>
      <c r="S218" s="122"/>
      <c r="T218" s="173"/>
      <c r="U218" s="173"/>
      <c r="V218" s="173"/>
      <c r="W218" s="173"/>
      <c r="X218" s="173"/>
      <c r="Y218" s="173"/>
      <c r="Z218" s="173"/>
    </row>
    <row r="219" spans="1:26" ht="12.75" x14ac:dyDescent="0.2">
      <c r="A219" s="122"/>
      <c r="B219" s="180"/>
      <c r="C219" s="184" t="s">
        <v>284</v>
      </c>
      <c r="D219" s="191"/>
      <c r="E219" s="191"/>
      <c r="F219" s="186">
        <f>$J81*F$109/1000*(F$145+F$144)</f>
        <v>6.6176000000000004</v>
      </c>
      <c r="G219" s="186">
        <f>$J81*G$109/1000*(G$145+G$144)</f>
        <v>7.283198208</v>
      </c>
      <c r="H219" s="186">
        <f>$J81*H$109/1000*(H$145+H$144)</f>
        <v>8.0157422837606394</v>
      </c>
      <c r="I219" s="186">
        <f>$J81*I$109/1000*(I$145+I$144)</f>
        <v>8.8219656426612865</v>
      </c>
      <c r="J219" s="186">
        <f>$J81*J$109/1000*(J$145+J$144)</f>
        <v>9.7092789470001577</v>
      </c>
      <c r="K219" s="186">
        <f>$J81*K$109/1000*(K$145+K$144)</f>
        <v>10.685838223489432</v>
      </c>
      <c r="L219" s="186">
        <f>$J81*L$109/1000*(L$145+L$144)</f>
        <v>11.760619832007999</v>
      </c>
      <c r="M219" s="186">
        <f>$J81*M$109/1000*(M$145+M$144)</f>
        <v>12.943502974711365</v>
      </c>
      <c r="N219" s="186">
        <f>$J81*N$109/1000*(N$145+N$144)</f>
        <v>14.245360503907833</v>
      </c>
      <c r="O219" s="186">
        <f>$J81*O$109/1000*(O$145+O$144)</f>
        <v>15.678158863390886</v>
      </c>
      <c r="P219" s="122"/>
      <c r="Q219" s="122"/>
      <c r="R219" s="122"/>
      <c r="S219" s="122"/>
      <c r="T219" s="173"/>
      <c r="U219" s="173"/>
      <c r="V219" s="173"/>
      <c r="W219" s="173"/>
      <c r="X219" s="173"/>
      <c r="Y219" s="173"/>
      <c r="Z219" s="173"/>
    </row>
    <row r="220" spans="1:26" ht="12.75" x14ac:dyDescent="0.2">
      <c r="A220" s="122"/>
      <c r="B220" s="180"/>
      <c r="C220" s="189" t="s">
        <v>289</v>
      </c>
      <c r="D220" s="189"/>
      <c r="E220" s="189"/>
      <c r="F220" s="190">
        <f t="shared" ref="F220:O220" si="45">SUM(F218:F219)</f>
        <v>13.949562400000001</v>
      </c>
      <c r="G220" s="190">
        <f t="shared" si="45"/>
        <v>15.366473189600001</v>
      </c>
      <c r="H220" s="190">
        <f t="shared" si="45"/>
        <v>16.926992106887198</v>
      </c>
      <c r="I220" s="190">
        <f t="shared" si="45"/>
        <v>18.645649781341454</v>
      </c>
      <c r="J220" s="190">
        <f t="shared" si="45"/>
        <v>20.538445168551444</v>
      </c>
      <c r="K220" s="190">
        <f t="shared" si="45"/>
        <v>22.622993774451029</v>
      </c>
      <c r="L220" s="190">
        <f t="shared" si="45"/>
        <v>24.918690830608888</v>
      </c>
      <c r="M220" s="190">
        <f t="shared" si="45"/>
        <v>27.446890927718663</v>
      </c>
      <c r="N220" s="190">
        <f t="shared" si="45"/>
        <v>30.231105766291741</v>
      </c>
      <c r="O220" s="190">
        <f t="shared" si="45"/>
        <v>33.297221850704503</v>
      </c>
      <c r="P220" s="122"/>
      <c r="Q220" s="122"/>
      <c r="R220" s="122"/>
      <c r="S220" s="122"/>
      <c r="T220" s="173"/>
      <c r="U220" s="173"/>
      <c r="V220" s="173"/>
      <c r="W220" s="173"/>
      <c r="X220" s="173"/>
      <c r="Y220" s="173"/>
      <c r="Z220" s="173"/>
    </row>
    <row r="221" spans="1:26" ht="12.75" x14ac:dyDescent="0.2">
      <c r="A221" s="122"/>
      <c r="B221" s="122"/>
      <c r="C221" s="122"/>
      <c r="D221" s="122"/>
      <c r="E221" s="122"/>
      <c r="F221" s="122"/>
      <c r="G221" s="122"/>
      <c r="H221" s="122"/>
      <c r="I221" s="122"/>
      <c r="J221" s="122"/>
      <c r="K221" s="122"/>
      <c r="L221" s="122"/>
      <c r="M221" s="122"/>
      <c r="N221" s="122"/>
      <c r="O221" s="122"/>
      <c r="P221" s="122"/>
      <c r="Q221" s="122"/>
      <c r="R221" s="122"/>
      <c r="S221" s="122"/>
      <c r="T221" s="173"/>
      <c r="U221" s="173"/>
      <c r="V221" s="173"/>
      <c r="W221" s="173"/>
      <c r="X221" s="173"/>
      <c r="Y221" s="173"/>
      <c r="Z221" s="173"/>
    </row>
    <row r="222" spans="1:26" ht="12.75" x14ac:dyDescent="0.2">
      <c r="A222" s="145" t="s">
        <v>221</v>
      </c>
      <c r="B222" s="119"/>
      <c r="C222" s="119"/>
      <c r="D222" s="161" t="s">
        <v>174</v>
      </c>
      <c r="E222" s="161"/>
      <c r="F222" s="162">
        <v>0</v>
      </c>
      <c r="G222" s="162">
        <v>1</v>
      </c>
      <c r="H222" s="162">
        <v>2</v>
      </c>
      <c r="I222" s="162">
        <v>3</v>
      </c>
      <c r="J222" s="162">
        <v>4</v>
      </c>
      <c r="K222" s="162">
        <v>5</v>
      </c>
      <c r="L222" s="162">
        <v>6</v>
      </c>
      <c r="M222" s="162">
        <v>7</v>
      </c>
      <c r="N222" s="162">
        <v>8</v>
      </c>
      <c r="O222" s="162">
        <v>9</v>
      </c>
      <c r="P222" s="119"/>
      <c r="Q222" s="119"/>
      <c r="R222" s="119"/>
      <c r="S222" s="119"/>
      <c r="T222" s="158"/>
      <c r="U222" s="158"/>
      <c r="V222" s="158"/>
      <c r="W222" s="158"/>
      <c r="X222" s="158"/>
      <c r="Y222" s="158"/>
      <c r="Z222" s="158"/>
    </row>
    <row r="223" spans="1:26" ht="12.75" x14ac:dyDescent="0.2">
      <c r="A223" s="122"/>
      <c r="B223" s="154" t="s">
        <v>244</v>
      </c>
      <c r="C223" s="155"/>
      <c r="D223" s="155"/>
      <c r="E223" s="155"/>
      <c r="F223" s="155"/>
      <c r="G223" s="155"/>
      <c r="H223" s="155"/>
      <c r="I223" s="155"/>
      <c r="J223" s="155"/>
      <c r="K223" s="155"/>
      <c r="L223" s="155"/>
      <c r="M223" s="155"/>
      <c r="N223" s="155"/>
      <c r="O223" s="155"/>
      <c r="P223" s="122"/>
      <c r="Q223" s="122"/>
      <c r="R223" s="122"/>
      <c r="S223" s="122"/>
      <c r="T223" s="173"/>
      <c r="U223" s="173"/>
      <c r="V223" s="173"/>
      <c r="W223" s="173"/>
      <c r="X223" s="173"/>
      <c r="Y223" s="173"/>
      <c r="Z223" s="173"/>
    </row>
    <row r="224" spans="1:26" ht="12.75" x14ac:dyDescent="0.2">
      <c r="A224" s="122"/>
      <c r="B224" s="900" t="s">
        <v>469</v>
      </c>
      <c r="C224" s="901"/>
      <c r="D224" s="901"/>
      <c r="E224" s="901"/>
      <c r="F224" s="122"/>
      <c r="G224" s="122"/>
      <c r="H224" s="122"/>
      <c r="I224" s="122"/>
      <c r="J224" s="122"/>
      <c r="K224" s="122"/>
      <c r="L224" s="122"/>
      <c r="M224" s="122"/>
      <c r="N224" s="122"/>
      <c r="O224" s="122"/>
      <c r="P224" s="122"/>
      <c r="Q224" s="122"/>
      <c r="R224" s="122"/>
      <c r="S224" s="122"/>
      <c r="T224" s="173"/>
      <c r="U224" s="173"/>
      <c r="V224" s="173"/>
      <c r="W224" s="173"/>
      <c r="X224" s="173"/>
      <c r="Y224" s="173"/>
      <c r="Z224" s="173"/>
    </row>
    <row r="225" spans="1:26" ht="12.75" x14ac:dyDescent="0.2">
      <c r="A225" s="122"/>
      <c r="B225" s="744" t="s">
        <v>229</v>
      </c>
      <c r="C225" s="180"/>
      <c r="D225" s="180"/>
      <c r="E225" s="180"/>
      <c r="F225" s="183"/>
      <c r="G225" s="180"/>
      <c r="H225" s="180"/>
      <c r="I225" s="180"/>
      <c r="J225" s="180"/>
      <c r="K225" s="180"/>
      <c r="L225" s="180"/>
      <c r="M225" s="180"/>
      <c r="N225" s="180"/>
      <c r="O225" s="180"/>
      <c r="P225" s="122"/>
      <c r="Q225" s="122"/>
      <c r="R225" s="122"/>
      <c r="S225" s="122"/>
      <c r="T225" s="173"/>
      <c r="U225" s="173"/>
      <c r="V225" s="173"/>
      <c r="W225" s="173"/>
      <c r="X225" s="173"/>
      <c r="Y225" s="173"/>
      <c r="Z225" s="173"/>
    </row>
    <row r="226" spans="1:26" ht="12.75" x14ac:dyDescent="0.2">
      <c r="A226" s="122"/>
      <c r="C226" s="192" t="s">
        <v>222</v>
      </c>
      <c r="D226" s="180"/>
      <c r="E226" s="180"/>
      <c r="F226" s="180"/>
      <c r="G226" s="180"/>
      <c r="H226" s="180"/>
      <c r="I226" s="180"/>
      <c r="J226" s="180"/>
      <c r="K226" s="180"/>
      <c r="L226" s="180"/>
      <c r="M226" s="180"/>
      <c r="N226" s="180"/>
      <c r="O226" s="180"/>
      <c r="P226" s="122"/>
      <c r="Q226" s="122"/>
      <c r="R226" s="122"/>
      <c r="S226" s="122"/>
      <c r="T226" s="173"/>
      <c r="U226" s="173"/>
      <c r="V226" s="173"/>
      <c r="W226" s="173"/>
      <c r="X226" s="173"/>
      <c r="Y226" s="173"/>
      <c r="Z226" s="173"/>
    </row>
    <row r="227" spans="1:26" ht="12.75" x14ac:dyDescent="0.2">
      <c r="A227" s="122"/>
      <c r="B227" s="180"/>
      <c r="C227" s="123" t="s">
        <v>464</v>
      </c>
      <c r="D227" s="180"/>
      <c r="E227" s="180"/>
      <c r="F227" s="174">
        <f>F148/F$109*$F$39</f>
        <v>4224</v>
      </c>
      <c r="G227" s="174">
        <f>G148/G$109*$F$39</f>
        <v>4308.4800000000005</v>
      </c>
      <c r="H227" s="174">
        <f>H148/H$109*$F$39</f>
        <v>4394.6495999999997</v>
      </c>
      <c r="I227" s="174">
        <f>I148/I$109*$F$39</f>
        <v>4482.5425919999998</v>
      </c>
      <c r="J227" s="174">
        <f>J148/J$109*$F$39</f>
        <v>4572.1934438399994</v>
      </c>
      <c r="K227" s="174">
        <f>K148/K$109*$F$39</f>
        <v>4663.6373127168008</v>
      </c>
      <c r="L227" s="174">
        <f>L148/L$109*$F$39</f>
        <v>4756.910058971137</v>
      </c>
      <c r="M227" s="174">
        <f>M148/M$109*$F$39</f>
        <v>4852.0482601505591</v>
      </c>
      <c r="N227" s="174">
        <f>N148/N$109*$F$39</f>
        <v>4949.0892253535703</v>
      </c>
      <c r="O227" s="174">
        <f>O148/O$109*$F$39</f>
        <v>5000</v>
      </c>
      <c r="P227" s="122"/>
      <c r="Q227" s="122"/>
      <c r="R227" s="122"/>
      <c r="S227" s="122"/>
      <c r="T227" s="173"/>
      <c r="U227" s="173"/>
      <c r="V227" s="173"/>
      <c r="W227" s="173"/>
      <c r="X227" s="173"/>
      <c r="Y227" s="173"/>
      <c r="Z227" s="173"/>
    </row>
    <row r="228" spans="1:26" ht="12.75" x14ac:dyDescent="0.2">
      <c r="A228" s="122"/>
      <c r="B228" s="180"/>
      <c r="C228" s="123" t="s">
        <v>231</v>
      </c>
      <c r="D228" s="180"/>
      <c r="E228" s="180"/>
      <c r="F228" s="174">
        <f>F149/F$109*$F$39</f>
        <v>1056</v>
      </c>
      <c r="G228" s="174">
        <f>G149/G$109*$F$39</f>
        <v>1077.1200000000001</v>
      </c>
      <c r="H228" s="174">
        <f>H149/H$109*$F$39</f>
        <v>1098.6623999999999</v>
      </c>
      <c r="I228" s="174">
        <f>I149/I$109*$F$39</f>
        <v>1120.6356479999999</v>
      </c>
      <c r="J228" s="174">
        <f>J149/J$109*$F$39</f>
        <v>1143.0483609599999</v>
      </c>
      <c r="K228" s="174">
        <f>K149/K$109*$F$39</f>
        <v>1165.9093281792002</v>
      </c>
      <c r="L228" s="174">
        <f>L149/L$109*$F$39</f>
        <v>1189.2275147427843</v>
      </c>
      <c r="M228" s="174">
        <f>M149/M$109*$F$39</f>
        <v>1213.0120650376398</v>
      </c>
      <c r="N228" s="174">
        <f>N149/N$109*$F$39</f>
        <v>1237.2723063383926</v>
      </c>
      <c r="O228" s="174">
        <f>O149/O$109*$F$39</f>
        <v>1250</v>
      </c>
      <c r="P228" s="122"/>
      <c r="Q228" s="122"/>
      <c r="R228" s="122"/>
      <c r="S228" s="122"/>
      <c r="T228" s="173"/>
      <c r="U228" s="173"/>
      <c r="V228" s="173"/>
      <c r="W228" s="173"/>
      <c r="X228" s="173"/>
      <c r="Y228" s="173"/>
      <c r="Z228" s="173"/>
    </row>
    <row r="229" spans="1:26" ht="12.75" x14ac:dyDescent="0.2">
      <c r="A229" s="122"/>
      <c r="B229" s="180"/>
      <c r="C229" s="182" t="s">
        <v>470</v>
      </c>
      <c r="D229" s="182"/>
      <c r="E229" s="182"/>
      <c r="F229" s="763">
        <f>F227-F228</f>
        <v>3168</v>
      </c>
      <c r="G229" s="763">
        <f t="shared" ref="G229:O229" si="46">G227-G228</f>
        <v>3231.3600000000006</v>
      </c>
      <c r="H229" s="763">
        <f t="shared" si="46"/>
        <v>3295.9871999999996</v>
      </c>
      <c r="I229" s="763">
        <f t="shared" si="46"/>
        <v>3361.9069439999998</v>
      </c>
      <c r="J229" s="763">
        <f t="shared" si="46"/>
        <v>3429.1450828799998</v>
      </c>
      <c r="K229" s="763">
        <f t="shared" si="46"/>
        <v>3497.7279845376006</v>
      </c>
      <c r="L229" s="763">
        <f t="shared" si="46"/>
        <v>3567.6825442283525</v>
      </c>
      <c r="M229" s="763">
        <f t="shared" si="46"/>
        <v>3639.0361951129194</v>
      </c>
      <c r="N229" s="763">
        <f t="shared" si="46"/>
        <v>3711.8169190151775</v>
      </c>
      <c r="O229" s="763">
        <f t="shared" si="46"/>
        <v>3750</v>
      </c>
      <c r="P229" s="122"/>
      <c r="Q229" s="122"/>
      <c r="R229" s="122"/>
      <c r="S229" s="122"/>
      <c r="T229" s="173"/>
      <c r="U229" s="173"/>
      <c r="V229" s="173"/>
      <c r="W229" s="173"/>
      <c r="X229" s="173"/>
      <c r="Y229" s="173"/>
      <c r="Z229" s="173"/>
    </row>
    <row r="230" spans="1:26" ht="12.75" x14ac:dyDescent="0.2">
      <c r="A230" s="122"/>
      <c r="B230" s="180"/>
      <c r="C230" s="123"/>
      <c r="D230" s="180"/>
      <c r="E230" s="180"/>
      <c r="F230" s="764"/>
      <c r="G230" s="764"/>
      <c r="H230" s="764"/>
      <c r="I230" s="764"/>
      <c r="J230" s="764"/>
      <c r="K230" s="764"/>
      <c r="L230" s="764"/>
      <c r="M230" s="764"/>
      <c r="N230" s="764"/>
      <c r="O230" s="764"/>
      <c r="P230" s="122"/>
      <c r="Q230" s="122"/>
      <c r="R230" s="122"/>
      <c r="S230" s="122"/>
      <c r="T230" s="173"/>
      <c r="U230" s="173"/>
      <c r="V230" s="173"/>
      <c r="W230" s="173"/>
      <c r="X230" s="173"/>
      <c r="Y230" s="173"/>
      <c r="Z230" s="173"/>
    </row>
    <row r="231" spans="1:26" ht="12.75" x14ac:dyDescent="0.2">
      <c r="A231" s="122"/>
      <c r="B231" s="180"/>
      <c r="C231" s="181" t="s">
        <v>266</v>
      </c>
      <c r="D231" s="180"/>
      <c r="E231" s="180"/>
      <c r="F231" s="764"/>
      <c r="G231" s="764"/>
      <c r="H231" s="764"/>
      <c r="I231" s="764"/>
      <c r="J231" s="764"/>
      <c r="K231" s="764"/>
      <c r="L231" s="764"/>
      <c r="M231" s="764"/>
      <c r="N231" s="764"/>
      <c r="O231" s="764"/>
      <c r="P231" s="122"/>
      <c r="Q231" s="122"/>
      <c r="R231" s="122"/>
      <c r="S231" s="122"/>
      <c r="T231" s="173"/>
      <c r="U231" s="173"/>
      <c r="V231" s="173"/>
      <c r="W231" s="173"/>
      <c r="X231" s="173"/>
      <c r="Y231" s="173"/>
      <c r="Z231" s="173"/>
    </row>
    <row r="232" spans="1:26" ht="12.75" x14ac:dyDescent="0.2">
      <c r="A232" s="122"/>
      <c r="B232" s="180"/>
      <c r="C232" s="180" t="s">
        <v>267</v>
      </c>
      <c r="D232" s="180"/>
      <c r="E232" s="180"/>
      <c r="F232" s="174">
        <f>$F$88/1000*$F$39</f>
        <v>0</v>
      </c>
      <c r="G232" s="174">
        <f t="shared" ref="G232:O232" si="47">$F$88/1000*$F$39</f>
        <v>0</v>
      </c>
      <c r="H232" s="174">
        <f t="shared" si="47"/>
        <v>0</v>
      </c>
      <c r="I232" s="174">
        <f t="shared" si="47"/>
        <v>0</v>
      </c>
      <c r="J232" s="174">
        <f t="shared" si="47"/>
        <v>0</v>
      </c>
      <c r="K232" s="174">
        <f t="shared" si="47"/>
        <v>0</v>
      </c>
      <c r="L232" s="174">
        <f t="shared" si="47"/>
        <v>0</v>
      </c>
      <c r="M232" s="174">
        <f t="shared" si="47"/>
        <v>0</v>
      </c>
      <c r="N232" s="174">
        <f t="shared" si="47"/>
        <v>0</v>
      </c>
      <c r="O232" s="174">
        <f t="shared" si="47"/>
        <v>0</v>
      </c>
      <c r="P232" s="122"/>
      <c r="Q232" s="122"/>
      <c r="R232" s="122"/>
      <c r="S232" s="122"/>
      <c r="T232" s="173"/>
      <c r="U232" s="173"/>
      <c r="V232" s="173"/>
      <c r="W232" s="173"/>
      <c r="X232" s="173"/>
      <c r="Y232" s="173"/>
      <c r="Z232" s="173"/>
    </row>
    <row r="233" spans="1:26" ht="12.75" x14ac:dyDescent="0.2">
      <c r="A233" s="122"/>
      <c r="B233" s="180"/>
      <c r="C233" s="182" t="s">
        <v>247</v>
      </c>
      <c r="D233" s="182"/>
      <c r="E233" s="182"/>
      <c r="F233" s="765">
        <f t="shared" ref="F233:O233" si="48">SUM(F232:F232)</f>
        <v>0</v>
      </c>
      <c r="G233" s="765">
        <f t="shared" si="48"/>
        <v>0</v>
      </c>
      <c r="H233" s="765">
        <f t="shared" si="48"/>
        <v>0</v>
      </c>
      <c r="I233" s="765">
        <f t="shared" si="48"/>
        <v>0</v>
      </c>
      <c r="J233" s="765">
        <f t="shared" si="48"/>
        <v>0</v>
      </c>
      <c r="K233" s="765">
        <f t="shared" si="48"/>
        <v>0</v>
      </c>
      <c r="L233" s="765">
        <f t="shared" si="48"/>
        <v>0</v>
      </c>
      <c r="M233" s="765">
        <f t="shared" si="48"/>
        <v>0</v>
      </c>
      <c r="N233" s="765">
        <f t="shared" si="48"/>
        <v>0</v>
      </c>
      <c r="O233" s="765">
        <f t="shared" si="48"/>
        <v>0</v>
      </c>
      <c r="P233" s="122"/>
      <c r="Q233" s="122"/>
      <c r="R233" s="122"/>
      <c r="S233" s="122"/>
      <c r="T233" s="173"/>
      <c r="U233" s="173"/>
      <c r="V233" s="173"/>
      <c r="W233" s="173"/>
      <c r="X233" s="173"/>
      <c r="Y233" s="173"/>
      <c r="Z233" s="173"/>
    </row>
    <row r="234" spans="1:26" ht="12.75" x14ac:dyDescent="0.2">
      <c r="A234" s="122"/>
      <c r="B234" s="180"/>
      <c r="C234" s="123"/>
      <c r="D234" s="180"/>
      <c r="E234" s="180"/>
      <c r="F234" s="764"/>
      <c r="G234" s="764"/>
      <c r="H234" s="764"/>
      <c r="I234" s="764"/>
      <c r="J234" s="764"/>
      <c r="K234" s="764"/>
      <c r="L234" s="764"/>
      <c r="M234" s="764"/>
      <c r="N234" s="764"/>
      <c r="O234" s="764"/>
      <c r="P234" s="122"/>
      <c r="Q234" s="122"/>
      <c r="R234" s="122"/>
      <c r="S234" s="122"/>
      <c r="T234" s="173"/>
      <c r="U234" s="173"/>
      <c r="V234" s="173"/>
      <c r="W234" s="173"/>
      <c r="X234" s="173"/>
      <c r="Y234" s="173"/>
      <c r="Z234" s="173"/>
    </row>
    <row r="235" spans="1:26" ht="12.75" x14ac:dyDescent="0.2">
      <c r="A235" s="122"/>
      <c r="B235" s="180"/>
      <c r="C235" s="195" t="s">
        <v>230</v>
      </c>
      <c r="D235" s="195"/>
      <c r="E235" s="195"/>
      <c r="F235" s="766">
        <f t="shared" ref="F235:O235" si="49">F229+F233</f>
        <v>3168</v>
      </c>
      <c r="G235" s="766">
        <f t="shared" si="49"/>
        <v>3231.3600000000006</v>
      </c>
      <c r="H235" s="766">
        <f t="shared" si="49"/>
        <v>3295.9871999999996</v>
      </c>
      <c r="I235" s="766">
        <f t="shared" si="49"/>
        <v>3361.9069439999998</v>
      </c>
      <c r="J235" s="766">
        <f t="shared" si="49"/>
        <v>3429.1450828799998</v>
      </c>
      <c r="K235" s="766">
        <f t="shared" si="49"/>
        <v>3497.7279845376006</v>
      </c>
      <c r="L235" s="766">
        <f t="shared" si="49"/>
        <v>3567.6825442283525</v>
      </c>
      <c r="M235" s="766">
        <f t="shared" si="49"/>
        <v>3639.0361951129194</v>
      </c>
      <c r="N235" s="766">
        <f t="shared" si="49"/>
        <v>3711.8169190151775</v>
      </c>
      <c r="O235" s="766">
        <f t="shared" si="49"/>
        <v>3750</v>
      </c>
      <c r="P235" s="122"/>
      <c r="Q235" s="122"/>
      <c r="R235" s="122"/>
      <c r="S235" s="122"/>
      <c r="T235" s="173"/>
      <c r="U235" s="173"/>
      <c r="V235" s="173"/>
      <c r="W235" s="173"/>
      <c r="X235" s="173"/>
      <c r="Y235" s="173"/>
      <c r="Z235" s="173"/>
    </row>
    <row r="236" spans="1:26" ht="12.75" x14ac:dyDescent="0.2">
      <c r="A236" s="122"/>
      <c r="B236" s="180"/>
      <c r="C236" s="180"/>
      <c r="D236" s="180"/>
      <c r="E236" s="180"/>
      <c r="F236" s="180"/>
      <c r="G236" s="180"/>
      <c r="H236" s="180"/>
      <c r="I236" s="180"/>
      <c r="J236" s="180"/>
      <c r="K236" s="180"/>
      <c r="L236" s="180"/>
      <c r="M236" s="180"/>
      <c r="N236" s="180"/>
      <c r="O236" s="180"/>
      <c r="P236" s="122"/>
      <c r="Q236" s="122"/>
      <c r="R236" s="122"/>
      <c r="S236" s="122"/>
      <c r="T236" s="173"/>
      <c r="U236" s="173"/>
      <c r="V236" s="173"/>
      <c r="W236" s="173"/>
      <c r="X236" s="173"/>
      <c r="Y236" s="173"/>
      <c r="Z236" s="173"/>
    </row>
    <row r="237" spans="1:26" ht="12.75" x14ac:dyDescent="0.2">
      <c r="A237" s="122"/>
      <c r="C237" s="192" t="s">
        <v>235</v>
      </c>
      <c r="D237" s="180"/>
      <c r="E237" s="180"/>
      <c r="F237" s="180"/>
      <c r="G237" s="180"/>
      <c r="H237" s="180"/>
      <c r="I237" s="180"/>
      <c r="J237" s="180"/>
      <c r="K237" s="180"/>
      <c r="L237" s="180"/>
      <c r="M237" s="180"/>
      <c r="N237" s="180"/>
      <c r="O237" s="180"/>
      <c r="P237" s="122"/>
      <c r="Q237" s="122"/>
      <c r="R237" s="122"/>
      <c r="S237" s="122"/>
      <c r="T237" s="173"/>
      <c r="U237" s="173"/>
      <c r="V237" s="173"/>
      <c r="W237" s="173"/>
      <c r="X237" s="173"/>
      <c r="Y237" s="173"/>
      <c r="Z237" s="173"/>
    </row>
    <row r="238" spans="1:26" ht="12.75" x14ac:dyDescent="0.2">
      <c r="A238" s="122"/>
      <c r="B238" s="192"/>
      <c r="C238" s="181" t="s">
        <v>144</v>
      </c>
      <c r="D238" s="180"/>
      <c r="E238" s="180"/>
      <c r="F238" s="180"/>
      <c r="G238" s="180"/>
      <c r="H238" s="180"/>
      <c r="I238" s="180"/>
      <c r="J238" s="180"/>
      <c r="K238" s="180"/>
      <c r="L238" s="180"/>
      <c r="M238" s="180"/>
      <c r="N238" s="180"/>
      <c r="O238" s="180"/>
      <c r="P238" s="122"/>
      <c r="Q238" s="122"/>
      <c r="R238" s="122"/>
      <c r="S238" s="122"/>
      <c r="T238" s="173"/>
      <c r="U238" s="173"/>
      <c r="V238" s="173"/>
      <c r="W238" s="173"/>
      <c r="X238" s="173"/>
      <c r="Y238" s="173"/>
      <c r="Z238" s="173"/>
    </row>
    <row r="239" spans="1:26" ht="12.75" x14ac:dyDescent="0.2">
      <c r="A239" s="122"/>
      <c r="B239" s="192"/>
      <c r="C239" s="180" t="s">
        <v>245</v>
      </c>
      <c r="D239" s="180"/>
      <c r="E239" s="180"/>
      <c r="F239" s="174">
        <f t="shared" ref="F239:O239" si="50">$J$88*(1+$J$89)/1000*$J$39</f>
        <v>0</v>
      </c>
      <c r="G239" s="174">
        <f t="shared" si="50"/>
        <v>0</v>
      </c>
      <c r="H239" s="174">
        <f t="shared" si="50"/>
        <v>0</v>
      </c>
      <c r="I239" s="174">
        <f t="shared" si="50"/>
        <v>0</v>
      </c>
      <c r="J239" s="174">
        <f t="shared" si="50"/>
        <v>0</v>
      </c>
      <c r="K239" s="174">
        <f t="shared" si="50"/>
        <v>0</v>
      </c>
      <c r="L239" s="174">
        <f t="shared" si="50"/>
        <v>0</v>
      </c>
      <c r="M239" s="174">
        <f t="shared" si="50"/>
        <v>0</v>
      </c>
      <c r="N239" s="174">
        <f t="shared" si="50"/>
        <v>0</v>
      </c>
      <c r="O239" s="174">
        <f t="shared" si="50"/>
        <v>0</v>
      </c>
      <c r="P239" s="122"/>
      <c r="Q239" s="197"/>
      <c r="R239" s="122"/>
      <c r="S239" s="122"/>
      <c r="T239" s="173"/>
      <c r="U239" s="173"/>
      <c r="V239" s="173"/>
      <c r="W239" s="173"/>
      <c r="X239" s="173"/>
      <c r="Y239" s="173"/>
      <c r="Z239" s="173"/>
    </row>
    <row r="240" spans="1:26" ht="12.75" x14ac:dyDescent="0.2">
      <c r="A240" s="122"/>
      <c r="B240" s="192"/>
      <c r="C240" s="182" t="s">
        <v>245</v>
      </c>
      <c r="D240" s="182"/>
      <c r="E240" s="182"/>
      <c r="F240" s="765">
        <f t="shared" ref="F240:O240" si="51">F239</f>
        <v>0</v>
      </c>
      <c r="G240" s="765">
        <f t="shared" si="51"/>
        <v>0</v>
      </c>
      <c r="H240" s="765">
        <f t="shared" si="51"/>
        <v>0</v>
      </c>
      <c r="I240" s="765">
        <f t="shared" si="51"/>
        <v>0</v>
      </c>
      <c r="J240" s="765">
        <f t="shared" si="51"/>
        <v>0</v>
      </c>
      <c r="K240" s="765">
        <f t="shared" si="51"/>
        <v>0</v>
      </c>
      <c r="L240" s="765">
        <f t="shared" si="51"/>
        <v>0</v>
      </c>
      <c r="M240" s="765">
        <f t="shared" si="51"/>
        <v>0</v>
      </c>
      <c r="N240" s="765">
        <f t="shared" si="51"/>
        <v>0</v>
      </c>
      <c r="O240" s="765">
        <f t="shared" si="51"/>
        <v>0</v>
      </c>
      <c r="P240" s="122"/>
      <c r="Q240" s="197"/>
      <c r="R240" s="122"/>
      <c r="S240" s="122"/>
      <c r="T240" s="173"/>
      <c r="U240" s="173"/>
      <c r="V240" s="173"/>
      <c r="W240" s="173"/>
      <c r="X240" s="173"/>
      <c r="Y240" s="173"/>
      <c r="Z240" s="173"/>
    </row>
    <row r="241" spans="1:26" ht="12.75" x14ac:dyDescent="0.2">
      <c r="A241" s="122"/>
      <c r="B241" s="192"/>
      <c r="C241" s="192"/>
      <c r="D241" s="180"/>
      <c r="E241" s="180"/>
      <c r="F241" s="764"/>
      <c r="G241" s="764"/>
      <c r="H241" s="764"/>
      <c r="I241" s="764"/>
      <c r="J241" s="764"/>
      <c r="K241" s="764"/>
      <c r="L241" s="764"/>
      <c r="M241" s="764"/>
      <c r="N241" s="764"/>
      <c r="O241" s="764"/>
      <c r="P241" s="122"/>
      <c r="Q241" s="122"/>
      <c r="R241" s="122"/>
      <c r="S241" s="122"/>
      <c r="T241" s="173"/>
      <c r="U241" s="173"/>
      <c r="V241" s="173"/>
      <c r="W241" s="173"/>
      <c r="X241" s="173"/>
      <c r="Y241" s="173"/>
      <c r="Z241" s="173"/>
    </row>
    <row r="242" spans="1:26" ht="12.75" x14ac:dyDescent="0.2">
      <c r="A242" s="122"/>
      <c r="B242" s="180"/>
      <c r="C242" s="181" t="s">
        <v>218</v>
      </c>
      <c r="D242" s="180"/>
      <c r="E242" s="180"/>
      <c r="F242" s="764"/>
      <c r="G242" s="764"/>
      <c r="H242" s="764"/>
      <c r="I242" s="764"/>
      <c r="J242" s="764"/>
      <c r="K242" s="764"/>
      <c r="L242" s="764"/>
      <c r="M242" s="764"/>
      <c r="N242" s="764"/>
      <c r="O242" s="764"/>
      <c r="P242" s="122"/>
      <c r="Q242" s="122"/>
      <c r="R242" s="122"/>
      <c r="S242" s="122"/>
      <c r="T242" s="173"/>
      <c r="U242" s="173"/>
      <c r="V242" s="173"/>
      <c r="W242" s="173"/>
      <c r="X242" s="173"/>
      <c r="Y242" s="173"/>
      <c r="Z242" s="173"/>
    </row>
    <row r="243" spans="1:26" ht="12.75" x14ac:dyDescent="0.2">
      <c r="A243" s="122"/>
      <c r="B243" s="180"/>
      <c r="C243" s="123" t="s">
        <v>447</v>
      </c>
      <c r="D243" s="180"/>
      <c r="E243" s="180"/>
      <c r="F243" s="174">
        <f>F168/F$109*$F$39</f>
        <v>48.29999999999999</v>
      </c>
      <c r="G243" s="174">
        <f>G168/G$109*$F$39</f>
        <v>48.29999999999999</v>
      </c>
      <c r="H243" s="174">
        <f>H168/H$109*$F$39</f>
        <v>48.29999999999999</v>
      </c>
      <c r="I243" s="174">
        <f>I168/I$109*$F$39</f>
        <v>48.29999999999999</v>
      </c>
      <c r="J243" s="174">
        <f>J168/J$109*$F$39</f>
        <v>48.29999999999999</v>
      </c>
      <c r="K243" s="174">
        <f>K168/K$109*$F$39</f>
        <v>48.29999999999999</v>
      </c>
      <c r="L243" s="174">
        <f>L168/L$109*$F$39</f>
        <v>48.3</v>
      </c>
      <c r="M243" s="174">
        <f>M168/M$109*$F$39</f>
        <v>48.29999999999999</v>
      </c>
      <c r="N243" s="174">
        <f>N168/N$109*$F$39</f>
        <v>48.299999999999983</v>
      </c>
      <c r="O243" s="174">
        <f>O168/O$109*$F$39</f>
        <v>48.3</v>
      </c>
      <c r="P243" s="122"/>
      <c r="Q243" s="122"/>
      <c r="R243" s="122"/>
      <c r="S243" s="122"/>
      <c r="T243" s="173"/>
      <c r="U243" s="173"/>
      <c r="V243" s="173"/>
      <c r="W243" s="173"/>
      <c r="X243" s="173"/>
      <c r="Y243" s="173"/>
      <c r="Z243" s="173"/>
    </row>
    <row r="244" spans="1:26" ht="12.75" x14ac:dyDescent="0.2">
      <c r="A244" s="122"/>
      <c r="B244" s="180"/>
      <c r="C244" s="123" t="s">
        <v>448</v>
      </c>
      <c r="D244" s="180"/>
      <c r="E244" s="180"/>
      <c r="F244" s="174">
        <f>F169/F$109*$F$39</f>
        <v>72</v>
      </c>
      <c r="G244" s="174">
        <f>G169/G$109*$F$39</f>
        <v>73.44</v>
      </c>
      <c r="H244" s="174">
        <f>H169/H$109*$F$39</f>
        <v>74.908799999999999</v>
      </c>
      <c r="I244" s="174">
        <f>I169/I$109*$F$39</f>
        <v>76.406976</v>
      </c>
      <c r="J244" s="174">
        <f>J169/J$109*$F$39</f>
        <v>77.935115519999982</v>
      </c>
      <c r="K244" s="174">
        <f>K169/K$109*$F$39</f>
        <v>79.49381783039999</v>
      </c>
      <c r="L244" s="174">
        <f>L169/L$109*$F$39</f>
        <v>81.083694187008007</v>
      </c>
      <c r="M244" s="174">
        <f>M169/M$109*$F$39</f>
        <v>82.705368070748179</v>
      </c>
      <c r="N244" s="174">
        <f>N169/N$109*$F$39</f>
        <v>84.359475432163137</v>
      </c>
      <c r="O244" s="174">
        <f>O169/O$109*$F$39</f>
        <v>85.22727272727272</v>
      </c>
      <c r="P244" s="122"/>
      <c r="Q244" s="122"/>
      <c r="R244" s="122"/>
      <c r="S244" s="122"/>
      <c r="T244" s="173"/>
      <c r="U244" s="173"/>
      <c r="V244" s="173"/>
      <c r="W244" s="173"/>
      <c r="X244" s="173"/>
      <c r="Y244" s="173"/>
      <c r="Z244" s="173"/>
    </row>
    <row r="245" spans="1:26" ht="12.75" x14ac:dyDescent="0.2">
      <c r="A245" s="122"/>
      <c r="B245" s="180"/>
      <c r="C245" s="123" t="s">
        <v>449</v>
      </c>
      <c r="D245" s="180"/>
      <c r="E245" s="180"/>
      <c r="F245" s="174">
        <f>F170/F$109*$F$39</f>
        <v>9.1999999999999993</v>
      </c>
      <c r="G245" s="174">
        <f>G170/G$109*$F$39</f>
        <v>9.2000000000000011</v>
      </c>
      <c r="H245" s="174">
        <f>H170/H$109*$F$39</f>
        <v>9.1999999999999993</v>
      </c>
      <c r="I245" s="174">
        <f>I170/I$109*$F$39</f>
        <v>9.1999999999999993</v>
      </c>
      <c r="J245" s="174">
        <f>J170/J$109*$F$39</f>
        <v>9.1999999999999993</v>
      </c>
      <c r="K245" s="174">
        <f>K170/K$109*$F$39</f>
        <v>9.1999999999999993</v>
      </c>
      <c r="L245" s="174">
        <f>L170/L$109*$F$39</f>
        <v>9.2000000000000011</v>
      </c>
      <c r="M245" s="174">
        <f>M170/M$109*$F$39</f>
        <v>9.2000000000000011</v>
      </c>
      <c r="N245" s="174">
        <f>N170/N$109*$F$39</f>
        <v>9.1999999999999975</v>
      </c>
      <c r="O245" s="174">
        <f>O170/O$109*$F$39</f>
        <v>9.1999999999999993</v>
      </c>
      <c r="P245" s="122"/>
      <c r="Q245" s="122"/>
      <c r="R245" s="122"/>
      <c r="S245" s="122"/>
      <c r="T245" s="173"/>
      <c r="U245" s="173"/>
      <c r="V245" s="173"/>
      <c r="W245" s="173"/>
      <c r="X245" s="173"/>
      <c r="Y245" s="173"/>
      <c r="Z245" s="173"/>
    </row>
    <row r="246" spans="1:26" ht="12.75" x14ac:dyDescent="0.2">
      <c r="A246" s="122"/>
      <c r="B246" s="180"/>
      <c r="C246" s="123" t="s">
        <v>450</v>
      </c>
      <c r="D246" s="180"/>
      <c r="E246" s="180"/>
      <c r="F246" s="174">
        <f>F171/F$109*$F$39</f>
        <v>106.348</v>
      </c>
      <c r="G246" s="174">
        <f>G171/G$109*$F$39</f>
        <v>106.34800000000001</v>
      </c>
      <c r="H246" s="174">
        <f>H171/H$109*$F$39</f>
        <v>106.348</v>
      </c>
      <c r="I246" s="174">
        <f>I171/I$109*$F$39</f>
        <v>106.348</v>
      </c>
      <c r="J246" s="174">
        <f>J171/J$109*$F$39</f>
        <v>106.348</v>
      </c>
      <c r="K246" s="174">
        <f>K171/K$109*$F$39</f>
        <v>106.348</v>
      </c>
      <c r="L246" s="174">
        <f>L171/L$109*$F$39</f>
        <v>106.348</v>
      </c>
      <c r="M246" s="174">
        <f>M171/M$109*$F$39</f>
        <v>106.34799999999998</v>
      </c>
      <c r="N246" s="174">
        <f>N171/N$109*$F$39</f>
        <v>106.348</v>
      </c>
      <c r="O246" s="174">
        <f>O171/O$109*$F$39</f>
        <v>106.348</v>
      </c>
      <c r="P246" s="122"/>
      <c r="Q246" s="122"/>
      <c r="R246" s="122"/>
      <c r="S246" s="122"/>
      <c r="T246" s="173"/>
      <c r="U246" s="173"/>
      <c r="V246" s="173"/>
      <c r="W246" s="173"/>
      <c r="X246" s="173"/>
      <c r="Y246" s="173"/>
      <c r="Z246" s="173"/>
    </row>
    <row r="247" spans="1:26" ht="12.75" x14ac:dyDescent="0.2">
      <c r="A247" s="122"/>
      <c r="B247" s="180"/>
      <c r="C247" s="152" t="s">
        <v>451</v>
      </c>
      <c r="D247" s="180"/>
      <c r="E247" s="180"/>
      <c r="F247" s="174">
        <f>F172/F$109*$F$39</f>
        <v>27.995999999999999</v>
      </c>
      <c r="G247" s="174">
        <f>G172/G$109*$F$39</f>
        <v>27.995999999999999</v>
      </c>
      <c r="H247" s="174">
        <f>H172/H$109*$F$39</f>
        <v>27.995999999999999</v>
      </c>
      <c r="I247" s="174">
        <f>I172/I$109*$F$39</f>
        <v>27.996000000000002</v>
      </c>
      <c r="J247" s="174">
        <f>J172/J$109*$F$39</f>
        <v>27.996000000000002</v>
      </c>
      <c r="K247" s="174">
        <f>K172/K$109*$F$39</f>
        <v>27.995999999999999</v>
      </c>
      <c r="L247" s="174">
        <f>L172/L$109*$F$39</f>
        <v>27.996000000000002</v>
      </c>
      <c r="M247" s="174">
        <f>M172/M$109*$F$39</f>
        <v>27.995999999999999</v>
      </c>
      <c r="N247" s="174">
        <f>N172/N$109*$F$39</f>
        <v>27.996000000000002</v>
      </c>
      <c r="O247" s="174">
        <f>O172/O$109*$F$39</f>
        <v>27.995999999999999</v>
      </c>
      <c r="P247" s="122"/>
      <c r="Q247" s="122"/>
      <c r="R247" s="122"/>
      <c r="S247" s="122"/>
      <c r="T247" s="173"/>
      <c r="U247" s="173"/>
      <c r="V247" s="173"/>
      <c r="W247" s="173"/>
      <c r="X247" s="173"/>
      <c r="Y247" s="173"/>
      <c r="Z247" s="173"/>
    </row>
    <row r="248" spans="1:26" ht="12.75" x14ac:dyDescent="0.2">
      <c r="A248" s="122"/>
      <c r="B248" s="180"/>
      <c r="C248" s="152" t="s">
        <v>452</v>
      </c>
      <c r="D248" s="180"/>
      <c r="E248" s="180"/>
      <c r="F248" s="174">
        <f>F173/F$109*$F$39</f>
        <v>35.207999999999998</v>
      </c>
      <c r="G248" s="174">
        <f>G173/G$109*$F$39</f>
        <v>35.208000000000006</v>
      </c>
      <c r="H248" s="174">
        <f>H173/H$109*$F$39</f>
        <v>35.208000000000006</v>
      </c>
      <c r="I248" s="174">
        <f>I173/I$109*$F$39</f>
        <v>35.208000000000006</v>
      </c>
      <c r="J248" s="174">
        <f>J173/J$109*$F$39</f>
        <v>35.207999999999998</v>
      </c>
      <c r="K248" s="174">
        <f>K173/K$109*$F$39</f>
        <v>35.208000000000006</v>
      </c>
      <c r="L248" s="174">
        <f>L173/L$109*$F$39</f>
        <v>35.208000000000006</v>
      </c>
      <c r="M248" s="174">
        <f>M173/M$109*$F$39</f>
        <v>35.208000000000006</v>
      </c>
      <c r="N248" s="174">
        <f>N173/N$109*$F$39</f>
        <v>35.207999999999998</v>
      </c>
      <c r="O248" s="174">
        <f>O173/O$109*$F$39</f>
        <v>35.207999999999998</v>
      </c>
      <c r="P248" s="122"/>
      <c r="Q248" s="122"/>
      <c r="R248" s="122"/>
      <c r="S248" s="122"/>
      <c r="T248" s="173"/>
      <c r="U248" s="173"/>
      <c r="V248" s="173"/>
      <c r="W248" s="173"/>
      <c r="X248" s="173"/>
      <c r="Y248" s="173"/>
      <c r="Z248" s="173"/>
    </row>
    <row r="249" spans="1:26" ht="12.75" x14ac:dyDescent="0.2">
      <c r="A249" s="122"/>
      <c r="B249" s="180"/>
      <c r="C249" s="152" t="s">
        <v>276</v>
      </c>
      <c r="D249" s="180"/>
      <c r="E249" s="180"/>
      <c r="F249" s="174">
        <f>F174/F$109*$F$39</f>
        <v>0</v>
      </c>
      <c r="G249" s="174">
        <f>G174/G$109*$F$39</f>
        <v>0</v>
      </c>
      <c r="H249" s="174">
        <f>H174/H$109*$F$39</f>
        <v>0</v>
      </c>
      <c r="I249" s="174">
        <f>I174/I$109*$F$39</f>
        <v>0</v>
      </c>
      <c r="J249" s="174">
        <f>J174/J$109*$F$39</f>
        <v>0</v>
      </c>
      <c r="K249" s="174">
        <f>K174/K$109*$F$39</f>
        <v>0</v>
      </c>
      <c r="L249" s="174">
        <f>L174/L$109*$F$39</f>
        <v>0</v>
      </c>
      <c r="M249" s="174">
        <f>M174/M$109*$F$39</f>
        <v>0</v>
      </c>
      <c r="N249" s="174">
        <f>N174/N$109*$F$39</f>
        <v>0</v>
      </c>
      <c r="O249" s="174">
        <f>O174/O$109*$F$39</f>
        <v>0</v>
      </c>
      <c r="P249" s="122"/>
      <c r="Q249" s="122"/>
      <c r="R249" s="122"/>
      <c r="S249" s="122"/>
      <c r="T249" s="173"/>
      <c r="U249" s="173"/>
      <c r="V249" s="173"/>
      <c r="W249" s="173"/>
      <c r="X249" s="173"/>
      <c r="Y249" s="173"/>
      <c r="Z249" s="173"/>
    </row>
    <row r="250" spans="1:26" ht="12.75" x14ac:dyDescent="0.2">
      <c r="A250" s="122"/>
      <c r="B250" s="180"/>
      <c r="C250" s="198" t="s">
        <v>207</v>
      </c>
      <c r="D250" s="182"/>
      <c r="E250" s="182"/>
      <c r="F250" s="763">
        <f>SUM(F243:F249)</f>
        <v>299.05199999999991</v>
      </c>
      <c r="G250" s="763">
        <f t="shared" ref="G250:O250" si="52">SUM(G243:G249)</f>
        <v>300.49200000000002</v>
      </c>
      <c r="H250" s="763">
        <f t="shared" si="52"/>
        <v>301.96080000000001</v>
      </c>
      <c r="I250" s="763">
        <f t="shared" si="52"/>
        <v>303.45897600000001</v>
      </c>
      <c r="J250" s="763">
        <f t="shared" si="52"/>
        <v>304.98711551999997</v>
      </c>
      <c r="K250" s="763">
        <f t="shared" si="52"/>
        <v>306.54581783039998</v>
      </c>
      <c r="L250" s="763">
        <f t="shared" si="52"/>
        <v>308.13569418700803</v>
      </c>
      <c r="M250" s="763">
        <f t="shared" si="52"/>
        <v>309.75736807074816</v>
      </c>
      <c r="N250" s="763">
        <f t="shared" si="52"/>
        <v>311.41147543216312</v>
      </c>
      <c r="O250" s="763">
        <f t="shared" si="52"/>
        <v>312.27927272727266</v>
      </c>
      <c r="P250" s="122"/>
      <c r="Q250" s="122"/>
      <c r="R250" s="122"/>
      <c r="S250" s="122"/>
      <c r="T250" s="173"/>
      <c r="U250" s="173"/>
      <c r="V250" s="173"/>
      <c r="W250" s="173"/>
      <c r="X250" s="173"/>
      <c r="Y250" s="173"/>
      <c r="Z250" s="173"/>
    </row>
    <row r="251" spans="1:26" ht="12.75" x14ac:dyDescent="0.2">
      <c r="A251" s="122"/>
      <c r="B251" s="180"/>
      <c r="C251" s="155"/>
      <c r="D251" s="180"/>
      <c r="E251" s="180"/>
      <c r="F251" s="764"/>
      <c r="G251" s="764"/>
      <c r="H251" s="764"/>
      <c r="I251" s="764"/>
      <c r="J251" s="764"/>
      <c r="K251" s="764"/>
      <c r="L251" s="764"/>
      <c r="M251" s="764"/>
      <c r="N251" s="764"/>
      <c r="O251" s="764"/>
      <c r="P251" s="122"/>
      <c r="Q251" s="122"/>
      <c r="R251" s="122"/>
      <c r="S251" s="122"/>
      <c r="T251" s="173"/>
      <c r="U251" s="173"/>
      <c r="V251" s="173"/>
      <c r="W251" s="173"/>
      <c r="X251" s="173"/>
      <c r="Y251" s="173"/>
      <c r="Z251" s="173"/>
    </row>
    <row r="252" spans="1:26" ht="12.75" x14ac:dyDescent="0.2">
      <c r="A252" s="122"/>
      <c r="B252" s="180"/>
      <c r="C252" s="188" t="s">
        <v>215</v>
      </c>
      <c r="D252" s="180"/>
      <c r="E252" s="180"/>
      <c r="F252" s="764"/>
      <c r="G252" s="764"/>
      <c r="H252" s="764"/>
      <c r="I252" s="764"/>
      <c r="J252" s="764"/>
      <c r="K252" s="764"/>
      <c r="L252" s="764"/>
      <c r="M252" s="764"/>
      <c r="N252" s="764"/>
      <c r="O252" s="764"/>
      <c r="P252" s="122"/>
      <c r="Q252" s="122"/>
      <c r="R252" s="122"/>
      <c r="S252" s="122"/>
      <c r="T252" s="173"/>
      <c r="U252" s="173"/>
      <c r="V252" s="173"/>
      <c r="W252" s="173"/>
      <c r="X252" s="173"/>
      <c r="Y252" s="173"/>
      <c r="Z252" s="173"/>
    </row>
    <row r="253" spans="1:26" ht="12.75" x14ac:dyDescent="0.2">
      <c r="A253" s="122"/>
      <c r="B253" s="180"/>
      <c r="C253" s="155" t="s">
        <v>110</v>
      </c>
      <c r="D253" s="180"/>
      <c r="E253" s="180"/>
      <c r="F253" s="174">
        <f>F178/F$109*$J$39</f>
        <v>80</v>
      </c>
      <c r="G253" s="174">
        <f>G178/G$109*$J$39</f>
        <v>80</v>
      </c>
      <c r="H253" s="174">
        <f>H178/H$109*$J$39</f>
        <v>80</v>
      </c>
      <c r="I253" s="174">
        <f>I178/I$109*$J$39</f>
        <v>80</v>
      </c>
      <c r="J253" s="174">
        <f>J178/J$109*$J$39</f>
        <v>80</v>
      </c>
      <c r="K253" s="174">
        <f>K178/K$109*$J$39</f>
        <v>80</v>
      </c>
      <c r="L253" s="174">
        <f>L178/L$109*$J$39</f>
        <v>80</v>
      </c>
      <c r="M253" s="174">
        <f>M178/M$109*$J$39</f>
        <v>79.999999999999986</v>
      </c>
      <c r="N253" s="174">
        <f>N178/N$109*$J$39</f>
        <v>80</v>
      </c>
      <c r="O253" s="174">
        <f>O178/O$109*$J$39</f>
        <v>80</v>
      </c>
      <c r="P253" s="122"/>
      <c r="Q253" s="122"/>
      <c r="R253" s="122"/>
      <c r="S253" s="122"/>
      <c r="T253" s="173"/>
      <c r="U253" s="173"/>
      <c r="V253" s="173"/>
      <c r="W253" s="173"/>
      <c r="X253" s="173"/>
      <c r="Y253" s="173"/>
      <c r="Z253" s="173"/>
    </row>
    <row r="254" spans="1:26" ht="12.75" x14ac:dyDescent="0.2">
      <c r="A254" s="122"/>
      <c r="B254" s="180"/>
      <c r="C254" s="184" t="s">
        <v>283</v>
      </c>
      <c r="D254" s="185"/>
      <c r="E254" s="185"/>
      <c r="F254" s="174">
        <f>F179/F$109*$J$39</f>
        <v>19.580399999999997</v>
      </c>
      <c r="G254" s="174">
        <f>G179/G$109*$J$39</f>
        <v>19.580399999999997</v>
      </c>
      <c r="H254" s="174">
        <f>H179/H$109*$J$39</f>
        <v>19.580399999999997</v>
      </c>
      <c r="I254" s="174">
        <f>I179/I$109*$J$39</f>
        <v>19.580399999999997</v>
      </c>
      <c r="J254" s="174">
        <f>J179/J$109*$J$39</f>
        <v>19.580399999999997</v>
      </c>
      <c r="K254" s="174">
        <f>K179/K$109*$J$39</f>
        <v>19.580399999999997</v>
      </c>
      <c r="L254" s="174">
        <f>L179/L$109*$J$39</f>
        <v>19.580399999999997</v>
      </c>
      <c r="M254" s="174">
        <f>M179/M$109*$J$39</f>
        <v>19.580399999999997</v>
      </c>
      <c r="N254" s="174">
        <f>N179/N$109*$J$39</f>
        <v>19.580400000000001</v>
      </c>
      <c r="O254" s="174">
        <f>O179/O$109*$J$39</f>
        <v>19.580399999999997</v>
      </c>
      <c r="P254" s="122"/>
      <c r="Q254" s="122"/>
      <c r="R254" s="122"/>
      <c r="S254" s="122"/>
      <c r="T254" s="173"/>
      <c r="U254" s="173"/>
      <c r="V254" s="173"/>
      <c r="W254" s="173"/>
      <c r="X254" s="173"/>
      <c r="Y254" s="173"/>
      <c r="Z254" s="173"/>
    </row>
    <row r="255" spans="1:26" ht="12.75" x14ac:dyDescent="0.2">
      <c r="A255" s="122"/>
      <c r="B255" s="180"/>
      <c r="C255" s="199" t="s">
        <v>216</v>
      </c>
      <c r="D255" s="182"/>
      <c r="E255" s="182"/>
      <c r="F255" s="765">
        <f t="shared" ref="F255:O255" si="53">SUM(F253:F254)</f>
        <v>99.580399999999997</v>
      </c>
      <c r="G255" s="765">
        <f t="shared" si="53"/>
        <v>99.580399999999997</v>
      </c>
      <c r="H255" s="765">
        <f t="shared" si="53"/>
        <v>99.580399999999997</v>
      </c>
      <c r="I255" s="765">
        <f t="shared" si="53"/>
        <v>99.580399999999997</v>
      </c>
      <c r="J255" s="765">
        <f t="shared" si="53"/>
        <v>99.580399999999997</v>
      </c>
      <c r="K255" s="765">
        <f t="shared" si="53"/>
        <v>99.580399999999997</v>
      </c>
      <c r="L255" s="765">
        <f t="shared" si="53"/>
        <v>99.580399999999997</v>
      </c>
      <c r="M255" s="765">
        <f t="shared" si="53"/>
        <v>99.580399999999983</v>
      </c>
      <c r="N255" s="765">
        <f t="shared" si="53"/>
        <v>99.580399999999997</v>
      </c>
      <c r="O255" s="765">
        <f t="shared" si="53"/>
        <v>99.580399999999997</v>
      </c>
      <c r="P255" s="122"/>
      <c r="Q255" s="122"/>
      <c r="R255" s="122"/>
      <c r="S255" s="122"/>
      <c r="T255" s="173"/>
      <c r="U255" s="173"/>
      <c r="V255" s="173"/>
      <c r="W255" s="173"/>
      <c r="X255" s="173"/>
      <c r="Y255" s="173"/>
      <c r="Z255" s="173"/>
    </row>
    <row r="256" spans="1:26" ht="12.75" x14ac:dyDescent="0.2">
      <c r="A256" s="122"/>
      <c r="B256" s="180"/>
      <c r="C256" s="155"/>
      <c r="D256" s="180"/>
      <c r="E256" s="180"/>
      <c r="F256" s="764"/>
      <c r="G256" s="764"/>
      <c r="H256" s="764"/>
      <c r="I256" s="764"/>
      <c r="J256" s="764"/>
      <c r="K256" s="764"/>
      <c r="L256" s="764"/>
      <c r="M256" s="764"/>
      <c r="N256" s="764"/>
      <c r="O256" s="764"/>
      <c r="P256" s="122"/>
      <c r="Q256" s="122"/>
      <c r="R256" s="122"/>
      <c r="S256" s="122"/>
      <c r="T256" s="173"/>
      <c r="U256" s="173"/>
      <c r="V256" s="173"/>
      <c r="W256" s="173"/>
      <c r="X256" s="173"/>
      <c r="Y256" s="173"/>
      <c r="Z256" s="173"/>
    </row>
    <row r="257" spans="1:26" ht="12.75" x14ac:dyDescent="0.2">
      <c r="A257" s="122"/>
      <c r="B257" s="180"/>
      <c r="C257" s="188" t="s">
        <v>219</v>
      </c>
      <c r="D257" s="180"/>
      <c r="E257" s="180"/>
      <c r="F257" s="764"/>
      <c r="G257" s="764"/>
      <c r="H257" s="764"/>
      <c r="I257" s="764"/>
      <c r="J257" s="764"/>
      <c r="K257" s="764"/>
      <c r="L257" s="764"/>
      <c r="M257" s="764"/>
      <c r="N257" s="764"/>
      <c r="O257" s="764"/>
      <c r="P257" s="122"/>
      <c r="Q257" s="122"/>
      <c r="R257" s="122"/>
      <c r="S257" s="122"/>
      <c r="T257" s="173"/>
      <c r="U257" s="173"/>
      <c r="V257" s="173"/>
      <c r="W257" s="173"/>
      <c r="X257" s="173"/>
      <c r="Y257" s="173"/>
      <c r="Z257" s="173"/>
    </row>
    <row r="258" spans="1:26" ht="12.75" x14ac:dyDescent="0.2">
      <c r="A258" s="122"/>
      <c r="B258" s="180"/>
      <c r="C258" s="152" t="s">
        <v>454</v>
      </c>
      <c r="D258" s="180"/>
      <c r="E258" s="180"/>
      <c r="F258" s="174">
        <f>F183/F$109*$F$39</f>
        <v>263.10000000000002</v>
      </c>
      <c r="G258" s="174">
        <f>G183/G$109*$F$39</f>
        <v>268.36200000000002</v>
      </c>
      <c r="H258" s="174">
        <f>H183/H$109*$F$39</f>
        <v>273.72924</v>
      </c>
      <c r="I258" s="174">
        <f>I183/I$109*$F$39</f>
        <v>279.20382480000001</v>
      </c>
      <c r="J258" s="174">
        <f>J183/J$109*$F$39</f>
        <v>284.78790129600003</v>
      </c>
      <c r="K258" s="174">
        <f>K183/K$109*$F$39</f>
        <v>290.48365932192002</v>
      </c>
      <c r="L258" s="174">
        <f>L183/L$109*$F$39</f>
        <v>296.29333250835845</v>
      </c>
      <c r="M258" s="174">
        <f>M183/M$109*$F$39</f>
        <v>302.21919915852561</v>
      </c>
      <c r="N258" s="174">
        <f>N183/N$109*$F$39</f>
        <v>308.26358314169613</v>
      </c>
      <c r="O258" s="174">
        <f>O183/O$109*$F$39</f>
        <v>311.43465909090907</v>
      </c>
      <c r="P258" s="122"/>
      <c r="Q258" s="122"/>
      <c r="R258" s="122"/>
      <c r="S258" s="122"/>
      <c r="T258" s="173"/>
      <c r="U258" s="173"/>
      <c r="V258" s="173"/>
      <c r="W258" s="173"/>
      <c r="X258" s="173"/>
      <c r="Y258" s="173"/>
      <c r="Z258" s="173"/>
    </row>
    <row r="259" spans="1:26" ht="12.75" x14ac:dyDescent="0.2">
      <c r="A259" s="122"/>
      <c r="B259" s="180"/>
      <c r="C259" s="391" t="s">
        <v>456</v>
      </c>
      <c r="D259" s="180"/>
      <c r="E259" s="180"/>
      <c r="F259" s="174">
        <f>F184/F$109*$F$39</f>
        <v>335.00544000000002</v>
      </c>
      <c r="G259" s="174">
        <f>G184/G$109*$F$39</f>
        <v>341.70554880000003</v>
      </c>
      <c r="H259" s="174">
        <f>H184/H$109*$F$39</f>
        <v>348.53965977600001</v>
      </c>
      <c r="I259" s="174">
        <f>I184/I$109*$F$39</f>
        <v>355.51045297152001</v>
      </c>
      <c r="J259" s="174">
        <f>J184/J$109*$F$39</f>
        <v>362.62066203095043</v>
      </c>
      <c r="K259" s="174">
        <f>K184/K$109*$F$39</f>
        <v>369.87307527156941</v>
      </c>
      <c r="L259" s="174">
        <f>L184/L$109*$F$39</f>
        <v>377.27053677700093</v>
      </c>
      <c r="M259" s="174">
        <f>M184/M$109*$F$39</f>
        <v>384.8159475125409</v>
      </c>
      <c r="N259" s="174">
        <f>N184/N$109*$F$39</f>
        <v>392.51226646279173</v>
      </c>
      <c r="O259" s="174">
        <f>O184/O$109*$F$39</f>
        <v>396.55</v>
      </c>
      <c r="P259" s="122"/>
      <c r="Q259" s="122"/>
      <c r="R259" s="122"/>
      <c r="S259" s="122"/>
      <c r="T259" s="173"/>
      <c r="U259" s="173"/>
      <c r="V259" s="173"/>
      <c r="W259" s="173"/>
      <c r="X259" s="173"/>
      <c r="Y259" s="173"/>
      <c r="Z259" s="173"/>
    </row>
    <row r="260" spans="1:26" ht="12.75" x14ac:dyDescent="0.2">
      <c r="A260" s="122"/>
      <c r="B260" s="180"/>
      <c r="C260" s="391" t="s">
        <v>459</v>
      </c>
      <c r="D260" s="180"/>
      <c r="E260" s="180"/>
      <c r="F260" s="174">
        <f>F185/F$109*$F$39</f>
        <v>2128.8960000000002</v>
      </c>
      <c r="G260" s="174">
        <f>G185/G$109*$F$39</f>
        <v>2171.4739200000004</v>
      </c>
      <c r="H260" s="174">
        <f>H185/H$109*$F$39</f>
        <v>2214.9033984000002</v>
      </c>
      <c r="I260" s="174">
        <f>I185/I$109*$F$39</f>
        <v>2259.2014663679997</v>
      </c>
      <c r="J260" s="174">
        <f>J185/J$109*$F$39</f>
        <v>2304.3854956953601</v>
      </c>
      <c r="K260" s="174">
        <f>K185/K$109*$F$39</f>
        <v>2350.4732056092676</v>
      </c>
      <c r="L260" s="174">
        <f>L185/L$109*$F$39</f>
        <v>2397.482669721453</v>
      </c>
      <c r="M260" s="174">
        <f>M185/M$109*$F$39</f>
        <v>2445.4323231158819</v>
      </c>
      <c r="N260" s="174">
        <f>N185/N$109*$F$39</f>
        <v>2494.3409695781993</v>
      </c>
      <c r="O260" s="174">
        <f>O185/O$109*$F$39</f>
        <v>2519.9999999999995</v>
      </c>
      <c r="P260" s="122"/>
      <c r="Q260" s="122"/>
      <c r="R260" s="122"/>
      <c r="S260" s="122"/>
      <c r="T260" s="173"/>
      <c r="U260" s="173"/>
      <c r="V260" s="173"/>
      <c r="W260" s="173"/>
      <c r="X260" s="173"/>
      <c r="Y260" s="173"/>
      <c r="Z260" s="173"/>
    </row>
    <row r="261" spans="1:26" ht="12.75" x14ac:dyDescent="0.2">
      <c r="A261" s="122"/>
      <c r="B261" s="180"/>
      <c r="C261" s="152" t="s">
        <v>102</v>
      </c>
      <c r="D261" s="180"/>
      <c r="E261" s="180"/>
      <c r="F261" s="174">
        <f>F186/F$109*$F$39</f>
        <v>0</v>
      </c>
      <c r="G261" s="174">
        <f>G186/G$109*$F$39</f>
        <v>0</v>
      </c>
      <c r="H261" s="174">
        <f>H186/H$109*$F$39</f>
        <v>0</v>
      </c>
      <c r="I261" s="174">
        <f>I186/I$109*$F$39</f>
        <v>0</v>
      </c>
      <c r="J261" s="174">
        <f>J186/J$109*$F$39</f>
        <v>0</v>
      </c>
      <c r="K261" s="174">
        <f>K186/K$109*$F$39</f>
        <v>0</v>
      </c>
      <c r="L261" s="174">
        <f>L186/L$109*$F$39</f>
        <v>0</v>
      </c>
      <c r="M261" s="174">
        <f>M186/M$109*$F$39</f>
        <v>0</v>
      </c>
      <c r="N261" s="174">
        <f>N186/N$109*$F$39</f>
        <v>0</v>
      </c>
      <c r="O261" s="174">
        <f>O186/O$109*$F$39</f>
        <v>0</v>
      </c>
      <c r="P261" s="122"/>
      <c r="Q261" s="122"/>
      <c r="R261" s="122"/>
      <c r="S261" s="122"/>
      <c r="T261" s="173"/>
      <c r="U261" s="173"/>
      <c r="V261" s="173"/>
      <c r="W261" s="173"/>
      <c r="X261" s="173"/>
      <c r="Y261" s="173"/>
      <c r="Z261" s="173"/>
    </row>
    <row r="262" spans="1:26" ht="12.75" x14ac:dyDescent="0.2">
      <c r="A262" s="122"/>
      <c r="B262" s="155"/>
      <c r="C262" s="198" t="s">
        <v>217</v>
      </c>
      <c r="D262" s="198"/>
      <c r="E262" s="198"/>
      <c r="F262" s="767">
        <f t="shared" ref="F262:O262" si="54">SUM(F258:F261)</f>
        <v>2727.00144</v>
      </c>
      <c r="G262" s="767">
        <f t="shared" si="54"/>
        <v>2781.5414688000005</v>
      </c>
      <c r="H262" s="767">
        <f t="shared" si="54"/>
        <v>2837.1722981760004</v>
      </c>
      <c r="I262" s="767">
        <f t="shared" si="54"/>
        <v>2893.91574413952</v>
      </c>
      <c r="J262" s="767">
        <f t="shared" si="54"/>
        <v>2951.7940590223106</v>
      </c>
      <c r="K262" s="767">
        <f t="shared" si="54"/>
        <v>3010.8299402027569</v>
      </c>
      <c r="L262" s="767">
        <f t="shared" si="54"/>
        <v>3071.0465390068125</v>
      </c>
      <c r="M262" s="767">
        <f t="shared" si="54"/>
        <v>3132.4674697869486</v>
      </c>
      <c r="N262" s="767">
        <f t="shared" si="54"/>
        <v>3195.1168191826873</v>
      </c>
      <c r="O262" s="767">
        <f t="shared" si="54"/>
        <v>3227.9846590909087</v>
      </c>
      <c r="P262" s="122"/>
      <c r="Q262" s="122"/>
      <c r="R262" s="122"/>
      <c r="S262" s="122"/>
      <c r="T262" s="173"/>
      <c r="U262" s="173"/>
      <c r="V262" s="173"/>
      <c r="W262" s="173"/>
      <c r="X262" s="173"/>
      <c r="Y262" s="173"/>
      <c r="Z262" s="173"/>
    </row>
    <row r="263" spans="1:26" ht="12.75" x14ac:dyDescent="0.2">
      <c r="A263" s="122"/>
      <c r="B263" s="155"/>
      <c r="C263" s="155"/>
      <c r="D263" s="155"/>
      <c r="E263" s="155"/>
      <c r="F263" s="592"/>
      <c r="G263" s="592"/>
      <c r="H263" s="592"/>
      <c r="I263" s="592"/>
      <c r="J263" s="592"/>
      <c r="K263" s="592"/>
      <c r="L263" s="592"/>
      <c r="M263" s="592"/>
      <c r="N263" s="592"/>
      <c r="O263" s="592"/>
      <c r="P263" s="122"/>
      <c r="Q263" s="122"/>
      <c r="R263" s="122"/>
      <c r="S263" s="122"/>
      <c r="T263" s="173"/>
      <c r="U263" s="173"/>
      <c r="V263" s="173"/>
      <c r="W263" s="173"/>
      <c r="X263" s="173"/>
      <c r="Y263" s="173"/>
      <c r="Z263" s="173"/>
    </row>
    <row r="264" spans="1:26" ht="12.75" x14ac:dyDescent="0.2">
      <c r="A264" s="122"/>
      <c r="B264" s="180"/>
      <c r="C264" s="188" t="s">
        <v>287</v>
      </c>
      <c r="D264" s="201"/>
      <c r="E264" s="201"/>
      <c r="F264" s="768"/>
      <c r="G264" s="768"/>
      <c r="H264" s="768"/>
      <c r="I264" s="768"/>
      <c r="J264" s="768"/>
      <c r="K264" s="768"/>
      <c r="L264" s="768"/>
      <c r="M264" s="768"/>
      <c r="N264" s="768"/>
      <c r="O264" s="768"/>
      <c r="P264" s="122"/>
      <c r="Q264" s="122"/>
      <c r="R264" s="122"/>
      <c r="S264" s="122"/>
      <c r="T264" s="173"/>
      <c r="U264" s="173"/>
      <c r="V264" s="173"/>
      <c r="W264" s="173"/>
      <c r="X264" s="173"/>
      <c r="Y264" s="173"/>
      <c r="Z264" s="173"/>
    </row>
    <row r="265" spans="1:26" ht="12.75" x14ac:dyDescent="0.2">
      <c r="A265" s="122"/>
      <c r="B265" s="180"/>
      <c r="C265" s="155" t="s">
        <v>375</v>
      </c>
      <c r="D265" s="201"/>
      <c r="E265" s="201"/>
      <c r="F265" s="174">
        <f>F190/F$109*$J$39</f>
        <v>11.872884800000003</v>
      </c>
      <c r="G265" s="174">
        <f>G190/G$109*$J$39</f>
        <v>12.136040000000003</v>
      </c>
      <c r="H265" s="174">
        <f>H190/H$109*$J$39</f>
        <v>12.404458304000002</v>
      </c>
      <c r="I265" s="174">
        <f>I190/I$109*$J$39</f>
        <v>12.678244974080004</v>
      </c>
      <c r="J265" s="174">
        <f>J190/J$109*$J$39</f>
        <v>12.957507377561603</v>
      </c>
      <c r="K265" s="174">
        <f>K190/K$109*$J$39</f>
        <v>13.242355029112835</v>
      </c>
      <c r="L265" s="174">
        <f>L190/L$109*$J$39</f>
        <v>13.532899633695095</v>
      </c>
      <c r="M265" s="174">
        <f>M190/M$109*$J$39</f>
        <v>13.829255130368992</v>
      </c>
      <c r="N265" s="174">
        <f>N190/N$109*$J$39</f>
        <v>14.131537736976373</v>
      </c>
      <c r="O265" s="174">
        <f>O190/O$109*$J$39</f>
        <v>14.290124800000005</v>
      </c>
      <c r="P265" s="122"/>
      <c r="Q265" s="122"/>
      <c r="R265" s="122"/>
      <c r="S265" s="122"/>
      <c r="T265" s="173"/>
      <c r="U265" s="173"/>
      <c r="V265" s="173"/>
      <c r="W265" s="173"/>
      <c r="X265" s="173"/>
      <c r="Y265" s="173"/>
      <c r="Z265" s="173"/>
    </row>
    <row r="266" spans="1:26" ht="12.75" x14ac:dyDescent="0.2">
      <c r="A266" s="122"/>
      <c r="B266" s="180"/>
      <c r="C266" s="184" t="s">
        <v>284</v>
      </c>
      <c r="D266" s="185"/>
      <c r="E266" s="185"/>
      <c r="F266" s="769">
        <f>F191/F$109*$J$39</f>
        <v>10.919040000000001</v>
      </c>
      <c r="G266" s="769">
        <f>G191/G$109*$J$39</f>
        <v>11.137420800000003</v>
      </c>
      <c r="H266" s="769">
        <f>H191/H$109*$J$39</f>
        <v>11.360169215999999</v>
      </c>
      <c r="I266" s="769">
        <f>I191/I$109*$J$39</f>
        <v>11.58737260032</v>
      </c>
      <c r="J266" s="769">
        <f>J191/J$109*$J$39</f>
        <v>11.819120052326403</v>
      </c>
      <c r="K266" s="769">
        <f>K191/K$109*$J$39</f>
        <v>12.055502453372931</v>
      </c>
      <c r="L266" s="769">
        <f>L191/L$109*$J$39</f>
        <v>12.296612502440391</v>
      </c>
      <c r="M266" s="769">
        <f>M191/M$109*$J$39</f>
        <v>12.542544752489196</v>
      </c>
      <c r="N266" s="769">
        <f>N191/N$109*$J$39</f>
        <v>12.793395647538979</v>
      </c>
      <c r="O266" s="769">
        <f>O191/O$109*$J$39</f>
        <v>12.925000000000002</v>
      </c>
      <c r="P266" s="122"/>
      <c r="Q266" s="122"/>
      <c r="R266" s="122"/>
      <c r="S266" s="122"/>
      <c r="T266" s="173"/>
      <c r="U266" s="173"/>
      <c r="V266" s="173"/>
      <c r="W266" s="173"/>
      <c r="X266" s="173"/>
      <c r="Y266" s="173"/>
      <c r="Z266" s="173"/>
    </row>
    <row r="267" spans="1:26" ht="12.75" x14ac:dyDescent="0.2">
      <c r="A267" s="122"/>
      <c r="B267" s="180"/>
      <c r="C267" s="189" t="s">
        <v>289</v>
      </c>
      <c r="D267" s="201"/>
      <c r="E267" s="201"/>
      <c r="F267" s="768">
        <f t="shared" ref="F267:O267" si="55">SUM(F265:F266)</f>
        <v>22.791924800000004</v>
      </c>
      <c r="G267" s="768">
        <f t="shared" si="55"/>
        <v>23.273460800000006</v>
      </c>
      <c r="H267" s="768">
        <f t="shared" si="55"/>
        <v>23.764627520000001</v>
      </c>
      <c r="I267" s="768">
        <f t="shared" si="55"/>
        <v>24.265617574400004</v>
      </c>
      <c r="J267" s="768">
        <f t="shared" si="55"/>
        <v>24.776627429888006</v>
      </c>
      <c r="K267" s="768">
        <f t="shared" si="55"/>
        <v>25.297857482485767</v>
      </c>
      <c r="L267" s="768">
        <f t="shared" si="55"/>
        <v>25.829512136135484</v>
      </c>
      <c r="M267" s="768">
        <f t="shared" si="55"/>
        <v>26.371799882858188</v>
      </c>
      <c r="N267" s="768">
        <f t="shared" si="55"/>
        <v>26.924933384515352</v>
      </c>
      <c r="O267" s="768">
        <f t="shared" si="55"/>
        <v>27.215124800000005</v>
      </c>
      <c r="P267" s="122"/>
      <c r="Q267" s="122"/>
      <c r="R267" s="122"/>
      <c r="S267" s="122"/>
      <c r="T267" s="173"/>
      <c r="U267" s="173"/>
      <c r="V267" s="173"/>
      <c r="W267" s="173"/>
      <c r="X267" s="173"/>
      <c r="Y267" s="173"/>
      <c r="Z267" s="173"/>
    </row>
    <row r="268" spans="1:26" ht="12.75" x14ac:dyDescent="0.2">
      <c r="A268" s="122"/>
      <c r="B268" s="155"/>
      <c r="C268" s="155"/>
      <c r="D268" s="155"/>
      <c r="E268" s="155"/>
      <c r="F268" s="592"/>
      <c r="G268" s="592"/>
      <c r="H268" s="592"/>
      <c r="I268" s="592"/>
      <c r="J268" s="592"/>
      <c r="K268" s="592"/>
      <c r="L268" s="592"/>
      <c r="M268" s="592"/>
      <c r="N268" s="592"/>
      <c r="O268" s="592"/>
      <c r="P268" s="122"/>
      <c r="Q268" s="122"/>
      <c r="R268" s="122"/>
      <c r="S268" s="122"/>
      <c r="T268" s="173"/>
      <c r="U268" s="173"/>
      <c r="V268" s="173"/>
      <c r="W268" s="173"/>
      <c r="X268" s="173"/>
      <c r="Y268" s="173"/>
      <c r="Z268" s="173"/>
    </row>
    <row r="269" spans="1:26" ht="12.75" x14ac:dyDescent="0.2">
      <c r="A269" s="122"/>
      <c r="B269" s="155"/>
      <c r="C269" s="203" t="s">
        <v>236</v>
      </c>
      <c r="D269" s="203"/>
      <c r="E269" s="203"/>
      <c r="F269" s="770">
        <f>F240+F250+F255+F262+F267</f>
        <v>3148.4257647999998</v>
      </c>
      <c r="G269" s="770">
        <f t="shared" ref="G269:N269" si="56">G240+G250+G255+G262+G267</f>
        <v>3204.8873296000006</v>
      </c>
      <c r="H269" s="770">
        <f t="shared" si="56"/>
        <v>3262.4781256960005</v>
      </c>
      <c r="I269" s="770">
        <f t="shared" si="56"/>
        <v>3321.2207377139202</v>
      </c>
      <c r="J269" s="770">
        <f t="shared" si="56"/>
        <v>3381.1382019721987</v>
      </c>
      <c r="K269" s="770">
        <f t="shared" si="56"/>
        <v>3442.2540155156425</v>
      </c>
      <c r="L269" s="770">
        <f t="shared" si="56"/>
        <v>3504.5921453299561</v>
      </c>
      <c r="M269" s="770">
        <f t="shared" si="56"/>
        <v>3568.1770377405551</v>
      </c>
      <c r="N269" s="770">
        <f t="shared" si="56"/>
        <v>3633.0336279993658</v>
      </c>
      <c r="O269" s="770">
        <f>O240+O250+O255+O262+O267</f>
        <v>3667.0594566181812</v>
      </c>
      <c r="P269" s="122"/>
      <c r="Q269" s="122"/>
      <c r="R269" s="122"/>
      <c r="S269" s="122"/>
      <c r="T269" s="173"/>
      <c r="U269" s="173"/>
      <c r="V269" s="173"/>
      <c r="W269" s="173"/>
      <c r="X269" s="173"/>
      <c r="Y269" s="173"/>
      <c r="Z269" s="173"/>
    </row>
    <row r="270" spans="1:26" ht="12.75" x14ac:dyDescent="0.2">
      <c r="A270" s="122"/>
      <c r="B270" s="155"/>
      <c r="C270" s="155"/>
      <c r="D270" s="155"/>
      <c r="E270" s="155"/>
      <c r="F270" s="592"/>
      <c r="G270" s="592"/>
      <c r="H270" s="592"/>
      <c r="I270" s="592"/>
      <c r="J270" s="592"/>
      <c r="K270" s="592"/>
      <c r="L270" s="592"/>
      <c r="M270" s="592"/>
      <c r="N270" s="592"/>
      <c r="O270" s="592"/>
      <c r="P270" s="122"/>
      <c r="Q270" s="122"/>
      <c r="R270" s="122"/>
      <c r="S270" s="122"/>
      <c r="T270" s="173"/>
      <c r="U270" s="173"/>
      <c r="V270" s="173"/>
      <c r="W270" s="173"/>
      <c r="X270" s="173"/>
      <c r="Y270" s="173"/>
      <c r="Z270" s="173"/>
    </row>
    <row r="271" spans="1:26" ht="12.75" x14ac:dyDescent="0.2">
      <c r="A271" s="122"/>
      <c r="B271" s="157"/>
      <c r="C271" s="206" t="s">
        <v>707</v>
      </c>
      <c r="D271" s="203"/>
      <c r="E271" s="203"/>
      <c r="F271" s="771">
        <f t="shared" ref="F271:O271" si="57">F235-F269</f>
        <v>19.574235200000203</v>
      </c>
      <c r="G271" s="771">
        <f t="shared" si="57"/>
        <v>26.47267039999997</v>
      </c>
      <c r="H271" s="771">
        <f t="shared" si="57"/>
        <v>33.509074303999114</v>
      </c>
      <c r="I271" s="771">
        <f t="shared" si="57"/>
        <v>40.686206286079596</v>
      </c>
      <c r="J271" s="771">
        <f t="shared" si="57"/>
        <v>48.006880907801133</v>
      </c>
      <c r="K271" s="771">
        <f t="shared" si="57"/>
        <v>55.473969021958055</v>
      </c>
      <c r="L271" s="771">
        <f t="shared" si="57"/>
        <v>63.090398898396415</v>
      </c>
      <c r="M271" s="771">
        <f t="shared" si="57"/>
        <v>70.85915737236428</v>
      </c>
      <c r="N271" s="771">
        <f t="shared" si="57"/>
        <v>78.783291015811756</v>
      </c>
      <c r="O271" s="771">
        <f t="shared" si="57"/>
        <v>82.94054338181877</v>
      </c>
      <c r="P271" s="122"/>
      <c r="Q271" s="122"/>
      <c r="R271" s="122"/>
      <c r="S271" s="122"/>
      <c r="T271" s="173"/>
      <c r="U271" s="173"/>
      <c r="V271" s="173"/>
      <c r="W271" s="173"/>
      <c r="X271" s="173"/>
      <c r="Y271" s="173"/>
      <c r="Z271" s="173"/>
    </row>
    <row r="272" spans="1:26" ht="12.75" x14ac:dyDescent="0.2">
      <c r="A272" s="173"/>
      <c r="B272" s="159"/>
      <c r="C272" s="304"/>
      <c r="D272" s="305"/>
      <c r="E272" s="305"/>
      <c r="F272" s="882"/>
      <c r="G272" s="306"/>
      <c r="H272" s="306"/>
      <c r="I272" s="306"/>
      <c r="J272" s="306"/>
      <c r="K272" s="306"/>
      <c r="L272" s="306"/>
      <c r="M272" s="306"/>
      <c r="N272" s="306"/>
      <c r="O272" s="306"/>
      <c r="P272" s="173"/>
      <c r="Q272" s="173"/>
      <c r="R272" s="173"/>
      <c r="S272" s="173"/>
      <c r="T272" s="173"/>
      <c r="U272" s="173"/>
      <c r="V272" s="173"/>
      <c r="W272" s="173"/>
      <c r="X272" s="173"/>
      <c r="Y272" s="173"/>
      <c r="Z272" s="173"/>
    </row>
    <row r="273" spans="1:26" ht="12.75" x14ac:dyDescent="0.2">
      <c r="A273" s="122"/>
      <c r="B273" s="744" t="s">
        <v>1015</v>
      </c>
      <c r="C273" s="180"/>
      <c r="D273" s="180"/>
      <c r="E273" s="180"/>
      <c r="F273" s="772"/>
      <c r="G273" s="180"/>
      <c r="H273" s="180"/>
      <c r="I273" s="180"/>
      <c r="J273" s="180"/>
      <c r="K273" s="180"/>
      <c r="L273" s="180"/>
      <c r="M273" s="180"/>
      <c r="N273" s="180"/>
      <c r="O273" s="180"/>
      <c r="P273" s="122"/>
      <c r="Q273" s="122"/>
      <c r="R273" s="122"/>
      <c r="S273" s="122"/>
      <c r="T273" s="173"/>
      <c r="U273" s="173"/>
      <c r="V273" s="173"/>
      <c r="W273" s="173"/>
      <c r="X273" s="173"/>
      <c r="Y273" s="173"/>
      <c r="Z273" s="173"/>
    </row>
    <row r="274" spans="1:26" ht="12.75" x14ac:dyDescent="0.2">
      <c r="A274" s="122"/>
      <c r="C274" s="192" t="s">
        <v>222</v>
      </c>
      <c r="D274" s="180"/>
      <c r="E274" s="180"/>
      <c r="F274" s="180"/>
      <c r="G274" s="180"/>
      <c r="H274" s="180"/>
      <c r="I274" s="180"/>
      <c r="J274" s="180"/>
      <c r="K274" s="180"/>
      <c r="L274" s="180"/>
      <c r="M274" s="180"/>
      <c r="N274" s="180"/>
      <c r="O274" s="180"/>
      <c r="P274" s="122"/>
      <c r="Q274" s="122"/>
      <c r="R274" s="122"/>
      <c r="S274" s="122"/>
      <c r="T274" s="173"/>
      <c r="U274" s="173"/>
      <c r="V274" s="173"/>
      <c r="W274" s="173"/>
      <c r="X274" s="173"/>
      <c r="Y274" s="173"/>
      <c r="Z274" s="173"/>
    </row>
    <row r="275" spans="1:26" ht="12.75" x14ac:dyDescent="0.2">
      <c r="A275" s="122"/>
      <c r="B275" s="180"/>
      <c r="C275" s="123" t="s">
        <v>464</v>
      </c>
      <c r="D275" s="180"/>
      <c r="E275" s="180"/>
      <c r="F275" s="125">
        <f>F154/F$109*$J$39</f>
        <v>4800</v>
      </c>
      <c r="G275" s="125">
        <f>G154/G$109*$J$39</f>
        <v>4896</v>
      </c>
      <c r="H275" s="125">
        <f>H154/H$109*$J$39</f>
        <v>4993.92</v>
      </c>
      <c r="I275" s="125">
        <f>I154/I$109*$J$39</f>
        <v>5093.7983999999997</v>
      </c>
      <c r="J275" s="125">
        <f>J154/J$109*$J$39</f>
        <v>5195.674368</v>
      </c>
      <c r="K275" s="125">
        <f>K154/K$109*$J$39</f>
        <v>5299.5878553599996</v>
      </c>
      <c r="L275" s="125">
        <f>L154/L$109*$J$39</f>
        <v>5405.5796124671997</v>
      </c>
      <c r="M275" s="125">
        <f>M154/M$109*$J$39</f>
        <v>5513.6912047165442</v>
      </c>
      <c r="N275" s="125">
        <f>N154/N$109*$J$39</f>
        <v>5623.965028810876</v>
      </c>
      <c r="O275" s="125">
        <f>O154/O$109*$J$39</f>
        <v>5736.4443293870936</v>
      </c>
      <c r="P275" s="122"/>
      <c r="Q275" s="122"/>
      <c r="R275" s="122"/>
      <c r="S275" s="122"/>
      <c r="T275" s="173"/>
      <c r="U275" s="173"/>
      <c r="V275" s="173"/>
      <c r="W275" s="173"/>
      <c r="X275" s="173"/>
      <c r="Y275" s="173"/>
      <c r="Z275" s="173"/>
    </row>
    <row r="276" spans="1:26" ht="12.75" x14ac:dyDescent="0.2">
      <c r="A276" s="122"/>
      <c r="B276" s="180"/>
      <c r="C276" s="123" t="s">
        <v>231</v>
      </c>
      <c r="D276" s="180"/>
      <c r="E276" s="180"/>
      <c r="F276" s="125">
        <f>F155/F$109*$J$39</f>
        <v>960</v>
      </c>
      <c r="G276" s="125">
        <f>G155/G$109*$J$39</f>
        <v>979.2</v>
      </c>
      <c r="H276" s="125">
        <f>H155/H$109*$J$39</f>
        <v>998.78400000000011</v>
      </c>
      <c r="I276" s="125">
        <f>I155/I$109*$J$39</f>
        <v>1018.75968</v>
      </c>
      <c r="J276" s="125">
        <f>J155/J$109*$J$39</f>
        <v>1039.1348736</v>
      </c>
      <c r="K276" s="125">
        <f>K155/K$109*$J$39</f>
        <v>1059.9175710719999</v>
      </c>
      <c r="L276" s="125">
        <f>L155/L$109*$J$39</f>
        <v>1081.1159224934402</v>
      </c>
      <c r="M276" s="125">
        <f>M155/M$109*$J$39</f>
        <v>1102.7382409433089</v>
      </c>
      <c r="N276" s="125">
        <f>N155/N$109*$J$39</f>
        <v>1124.7930057621752</v>
      </c>
      <c r="O276" s="125">
        <f>O155/O$109*$J$39</f>
        <v>1147.2888658774186</v>
      </c>
      <c r="P276" s="122"/>
      <c r="Q276" s="122"/>
      <c r="R276" s="122"/>
      <c r="S276" s="122"/>
      <c r="T276" s="173"/>
      <c r="U276" s="173"/>
      <c r="V276" s="173"/>
      <c r="W276" s="173"/>
      <c r="X276" s="173"/>
      <c r="Y276" s="173"/>
      <c r="Z276" s="173"/>
    </row>
    <row r="277" spans="1:26" ht="12.75" x14ac:dyDescent="0.2">
      <c r="A277" s="122"/>
      <c r="B277" s="180"/>
      <c r="C277" s="182" t="s">
        <v>470</v>
      </c>
      <c r="D277" s="182"/>
      <c r="E277" s="182"/>
      <c r="F277" s="193">
        <f t="shared" ref="F277:O277" si="58">F275-F276</f>
        <v>3840</v>
      </c>
      <c r="G277" s="193">
        <f t="shared" si="58"/>
        <v>3916.8</v>
      </c>
      <c r="H277" s="193">
        <f t="shared" si="58"/>
        <v>3995.136</v>
      </c>
      <c r="I277" s="193">
        <f t="shared" si="58"/>
        <v>4075.0387199999996</v>
      </c>
      <c r="J277" s="193">
        <f t="shared" si="58"/>
        <v>4156.5394944</v>
      </c>
      <c r="K277" s="193">
        <f t="shared" si="58"/>
        <v>4239.6702842879995</v>
      </c>
      <c r="L277" s="193">
        <f t="shared" si="58"/>
        <v>4324.4636899737598</v>
      </c>
      <c r="M277" s="193">
        <f t="shared" si="58"/>
        <v>4410.9529637732358</v>
      </c>
      <c r="N277" s="193">
        <f t="shared" si="58"/>
        <v>4499.1720230487008</v>
      </c>
      <c r="O277" s="193">
        <f t="shared" si="58"/>
        <v>4589.1554635096745</v>
      </c>
      <c r="P277" s="122"/>
      <c r="Q277" s="122"/>
      <c r="R277" s="122"/>
      <c r="S277" s="122"/>
      <c r="T277" s="173"/>
      <c r="U277" s="173"/>
      <c r="V277" s="173"/>
      <c r="W277" s="173"/>
      <c r="X277" s="173"/>
      <c r="Y277" s="173"/>
      <c r="Z277" s="173"/>
    </row>
    <row r="278" spans="1:26" ht="12.75" x14ac:dyDescent="0.2">
      <c r="A278" s="122"/>
      <c r="B278" s="180"/>
      <c r="C278" s="123"/>
      <c r="D278" s="180"/>
      <c r="E278" s="180"/>
      <c r="F278" s="194"/>
      <c r="G278" s="194"/>
      <c r="H278" s="194"/>
      <c r="I278" s="194"/>
      <c r="J278" s="194"/>
      <c r="K278" s="194"/>
      <c r="L278" s="194"/>
      <c r="M278" s="194"/>
      <c r="N278" s="194"/>
      <c r="O278" s="194"/>
      <c r="P278" s="122"/>
      <c r="Q278" s="122"/>
      <c r="R278" s="122"/>
      <c r="S278" s="122"/>
      <c r="T278" s="173"/>
      <c r="U278" s="173"/>
      <c r="V278" s="173"/>
      <c r="W278" s="173"/>
      <c r="X278" s="173"/>
      <c r="Y278" s="173"/>
      <c r="Z278" s="173"/>
    </row>
    <row r="279" spans="1:26" ht="12.75" x14ac:dyDescent="0.2">
      <c r="A279" s="122"/>
      <c r="B279" s="180"/>
      <c r="C279" s="181" t="s">
        <v>266</v>
      </c>
      <c r="D279" s="180"/>
      <c r="E279" s="180"/>
      <c r="F279" s="194"/>
      <c r="G279" s="194"/>
      <c r="H279" s="194"/>
      <c r="I279" s="194"/>
      <c r="J279" s="194"/>
      <c r="K279" s="194"/>
      <c r="L279" s="194"/>
      <c r="M279" s="194"/>
      <c r="N279" s="194"/>
      <c r="O279" s="194"/>
      <c r="P279" s="122"/>
      <c r="Q279" s="122"/>
      <c r="R279" s="122"/>
      <c r="S279" s="122"/>
      <c r="T279" s="173"/>
      <c r="U279" s="173"/>
      <c r="V279" s="173"/>
      <c r="W279" s="173"/>
      <c r="X279" s="173"/>
      <c r="Y279" s="173"/>
      <c r="Z279" s="173"/>
    </row>
    <row r="280" spans="1:26" ht="12.75" x14ac:dyDescent="0.2">
      <c r="A280" s="122"/>
      <c r="B280" s="180"/>
      <c r="C280" s="180" t="s">
        <v>267</v>
      </c>
      <c r="D280" s="180"/>
      <c r="E280" s="180"/>
      <c r="F280" s="125">
        <f t="shared" ref="F280:O280" si="59">$J$88/1000*$J$39</f>
        <v>0</v>
      </c>
      <c r="G280" s="125">
        <f t="shared" si="59"/>
        <v>0</v>
      </c>
      <c r="H280" s="125">
        <f t="shared" si="59"/>
        <v>0</v>
      </c>
      <c r="I280" s="125">
        <f t="shared" si="59"/>
        <v>0</v>
      </c>
      <c r="J280" s="125">
        <f t="shared" si="59"/>
        <v>0</v>
      </c>
      <c r="K280" s="125">
        <f t="shared" si="59"/>
        <v>0</v>
      </c>
      <c r="L280" s="125">
        <f t="shared" si="59"/>
        <v>0</v>
      </c>
      <c r="M280" s="125">
        <f t="shared" si="59"/>
        <v>0</v>
      </c>
      <c r="N280" s="125">
        <f t="shared" si="59"/>
        <v>0</v>
      </c>
      <c r="O280" s="125">
        <f t="shared" si="59"/>
        <v>0</v>
      </c>
      <c r="P280" s="122"/>
      <c r="Q280" s="122"/>
      <c r="R280" s="122"/>
      <c r="S280" s="122"/>
      <c r="T280" s="173"/>
      <c r="U280" s="173"/>
      <c r="V280" s="173"/>
      <c r="W280" s="173"/>
      <c r="X280" s="173"/>
      <c r="Y280" s="173"/>
      <c r="Z280" s="173"/>
    </row>
    <row r="281" spans="1:26" ht="12.75" x14ac:dyDescent="0.2">
      <c r="A281" s="122"/>
      <c r="B281" s="180"/>
      <c r="C281" s="182" t="s">
        <v>247</v>
      </c>
      <c r="D281" s="182"/>
      <c r="E281" s="182"/>
      <c r="F281" s="127">
        <f t="shared" ref="F281:O281" si="60">SUM(F280:F280)</f>
        <v>0</v>
      </c>
      <c r="G281" s="127">
        <f t="shared" si="60"/>
        <v>0</v>
      </c>
      <c r="H281" s="127">
        <f t="shared" si="60"/>
        <v>0</v>
      </c>
      <c r="I281" s="127">
        <f t="shared" si="60"/>
        <v>0</v>
      </c>
      <c r="J281" s="127">
        <f t="shared" si="60"/>
        <v>0</v>
      </c>
      <c r="K281" s="127">
        <f t="shared" si="60"/>
        <v>0</v>
      </c>
      <c r="L281" s="127">
        <f t="shared" si="60"/>
        <v>0</v>
      </c>
      <c r="M281" s="127">
        <f t="shared" si="60"/>
        <v>0</v>
      </c>
      <c r="N281" s="127">
        <f t="shared" si="60"/>
        <v>0</v>
      </c>
      <c r="O281" s="127">
        <f t="shared" si="60"/>
        <v>0</v>
      </c>
      <c r="P281" s="122"/>
      <c r="Q281" s="122"/>
      <c r="R281" s="122"/>
      <c r="S281" s="122"/>
      <c r="T281" s="173"/>
      <c r="U281" s="173"/>
      <c r="V281" s="173"/>
      <c r="W281" s="173"/>
      <c r="X281" s="173"/>
      <c r="Y281" s="173"/>
      <c r="Z281" s="173"/>
    </row>
    <row r="282" spans="1:26" ht="12.75" x14ac:dyDescent="0.2">
      <c r="A282" s="122"/>
      <c r="B282" s="180"/>
      <c r="C282" s="123"/>
      <c r="D282" s="180"/>
      <c r="E282" s="180"/>
      <c r="F282" s="194"/>
      <c r="G282" s="194"/>
      <c r="H282" s="194"/>
      <c r="I282" s="194"/>
      <c r="J282" s="194"/>
      <c r="K282" s="194"/>
      <c r="L282" s="194"/>
      <c r="M282" s="194"/>
      <c r="N282" s="194"/>
      <c r="O282" s="194"/>
      <c r="P282" s="122"/>
      <c r="Q282" s="122"/>
      <c r="R282" s="122"/>
      <c r="S282" s="122"/>
      <c r="T282" s="173"/>
      <c r="U282" s="173"/>
      <c r="V282" s="173"/>
      <c r="W282" s="173"/>
      <c r="X282" s="173"/>
      <c r="Y282" s="173"/>
      <c r="Z282" s="173"/>
    </row>
    <row r="283" spans="1:26" ht="12.75" x14ac:dyDescent="0.2">
      <c r="A283" s="122"/>
      <c r="B283" s="180"/>
      <c r="C283" s="195" t="s">
        <v>230</v>
      </c>
      <c r="D283" s="195"/>
      <c r="E283" s="195"/>
      <c r="F283" s="196">
        <f t="shared" ref="F283:O283" si="61">F277+F281</f>
        <v>3840</v>
      </c>
      <c r="G283" s="196">
        <f t="shared" si="61"/>
        <v>3916.8</v>
      </c>
      <c r="H283" s="196">
        <f t="shared" si="61"/>
        <v>3995.136</v>
      </c>
      <c r="I283" s="196">
        <f t="shared" si="61"/>
        <v>4075.0387199999996</v>
      </c>
      <c r="J283" s="196">
        <f t="shared" si="61"/>
        <v>4156.5394944</v>
      </c>
      <c r="K283" s="196">
        <f t="shared" si="61"/>
        <v>4239.6702842879995</v>
      </c>
      <c r="L283" s="196">
        <f t="shared" si="61"/>
        <v>4324.4636899737598</v>
      </c>
      <c r="M283" s="196">
        <f t="shared" si="61"/>
        <v>4410.9529637732358</v>
      </c>
      <c r="N283" s="196">
        <f t="shared" si="61"/>
        <v>4499.1720230487008</v>
      </c>
      <c r="O283" s="196">
        <f t="shared" si="61"/>
        <v>4589.1554635096745</v>
      </c>
      <c r="P283" s="122"/>
      <c r="Q283" s="122"/>
      <c r="R283" s="122"/>
      <c r="S283" s="122"/>
      <c r="T283" s="173"/>
      <c r="U283" s="173"/>
      <c r="V283" s="173"/>
      <c r="W283" s="173"/>
      <c r="X283" s="173"/>
      <c r="Y283" s="173"/>
      <c r="Z283" s="173"/>
    </row>
    <row r="284" spans="1:26" ht="12.75" x14ac:dyDescent="0.2">
      <c r="A284" s="122"/>
      <c r="B284" s="180"/>
      <c r="C284" s="180"/>
      <c r="D284" s="180"/>
      <c r="E284" s="180"/>
      <c r="F284" s="180"/>
      <c r="G284" s="180"/>
      <c r="H284" s="180"/>
      <c r="I284" s="180"/>
      <c r="J284" s="180"/>
      <c r="K284" s="180"/>
      <c r="L284" s="180"/>
      <c r="M284" s="180"/>
      <c r="N284" s="180"/>
      <c r="O284" s="180"/>
      <c r="P284" s="122"/>
      <c r="Q284" s="122"/>
      <c r="R284" s="122"/>
      <c r="S284" s="122"/>
      <c r="T284" s="173"/>
      <c r="U284" s="173"/>
      <c r="V284" s="173"/>
      <c r="W284" s="173"/>
      <c r="X284" s="173"/>
      <c r="Y284" s="173"/>
      <c r="Z284" s="173"/>
    </row>
    <row r="285" spans="1:26" ht="12.75" x14ac:dyDescent="0.2">
      <c r="A285" s="122"/>
      <c r="C285" s="192" t="s">
        <v>235</v>
      </c>
      <c r="D285" s="180"/>
      <c r="E285" s="180"/>
      <c r="F285" s="180"/>
      <c r="G285" s="180"/>
      <c r="H285" s="180"/>
      <c r="I285" s="180"/>
      <c r="J285" s="180"/>
      <c r="K285" s="180"/>
      <c r="L285" s="180"/>
      <c r="M285" s="180"/>
      <c r="N285" s="180"/>
      <c r="O285" s="180"/>
      <c r="P285" s="122"/>
      <c r="Q285" s="122"/>
      <c r="R285" s="122"/>
      <c r="S285" s="122"/>
      <c r="T285" s="173"/>
      <c r="U285" s="173"/>
      <c r="V285" s="173"/>
      <c r="W285" s="173"/>
      <c r="X285" s="173"/>
      <c r="Y285" s="173"/>
      <c r="Z285" s="173"/>
    </row>
    <row r="286" spans="1:26" ht="12.75" x14ac:dyDescent="0.2">
      <c r="A286" s="122"/>
      <c r="B286" s="192"/>
      <c r="C286" s="181" t="s">
        <v>144</v>
      </c>
      <c r="D286" s="180"/>
      <c r="E286" s="180"/>
      <c r="F286" s="180"/>
      <c r="G286" s="180"/>
      <c r="H286" s="180"/>
      <c r="I286" s="180"/>
      <c r="J286" s="180"/>
      <c r="K286" s="180"/>
      <c r="L286" s="180"/>
      <c r="M286" s="180"/>
      <c r="N286" s="180"/>
      <c r="O286" s="180"/>
      <c r="P286" s="122"/>
      <c r="Q286" s="122"/>
      <c r="R286" s="122"/>
      <c r="S286" s="122"/>
      <c r="T286" s="173"/>
      <c r="U286" s="173"/>
      <c r="V286" s="173"/>
      <c r="W286" s="173"/>
      <c r="X286" s="173"/>
      <c r="Y286" s="173"/>
      <c r="Z286" s="173"/>
    </row>
    <row r="287" spans="1:26" ht="12.75" x14ac:dyDescent="0.2">
      <c r="A287" s="122"/>
      <c r="B287" s="192"/>
      <c r="C287" s="180" t="s">
        <v>245</v>
      </c>
      <c r="D287" s="180"/>
      <c r="E287" s="180"/>
      <c r="F287" s="125">
        <f t="shared" ref="F287:O287" si="62">$J$88*(1+$J$89)/1000*$J$39</f>
        <v>0</v>
      </c>
      <c r="G287" s="125">
        <f t="shared" si="62"/>
        <v>0</v>
      </c>
      <c r="H287" s="125">
        <f t="shared" si="62"/>
        <v>0</v>
      </c>
      <c r="I287" s="125">
        <f t="shared" si="62"/>
        <v>0</v>
      </c>
      <c r="J287" s="125">
        <f t="shared" si="62"/>
        <v>0</v>
      </c>
      <c r="K287" s="125">
        <f t="shared" si="62"/>
        <v>0</v>
      </c>
      <c r="L287" s="125">
        <f t="shared" si="62"/>
        <v>0</v>
      </c>
      <c r="M287" s="125">
        <f t="shared" si="62"/>
        <v>0</v>
      </c>
      <c r="N287" s="125">
        <f t="shared" si="62"/>
        <v>0</v>
      </c>
      <c r="O287" s="125">
        <f t="shared" si="62"/>
        <v>0</v>
      </c>
      <c r="P287" s="122"/>
      <c r="Q287" s="197"/>
      <c r="R287" s="122"/>
      <c r="S287" s="122"/>
      <c r="T287" s="173"/>
      <c r="U287" s="173"/>
      <c r="V287" s="173"/>
      <c r="W287" s="173"/>
      <c r="X287" s="173"/>
      <c r="Y287" s="173"/>
      <c r="Z287" s="173"/>
    </row>
    <row r="288" spans="1:26" ht="12.75" x14ac:dyDescent="0.2">
      <c r="A288" s="122"/>
      <c r="B288" s="192"/>
      <c r="C288" s="182" t="s">
        <v>245</v>
      </c>
      <c r="D288" s="182"/>
      <c r="E288" s="182"/>
      <c r="F288" s="129">
        <f t="shared" ref="F288:O288" si="63">F287</f>
        <v>0</v>
      </c>
      <c r="G288" s="129">
        <f t="shared" si="63"/>
        <v>0</v>
      </c>
      <c r="H288" s="129">
        <f t="shared" si="63"/>
        <v>0</v>
      </c>
      <c r="I288" s="129">
        <f t="shared" si="63"/>
        <v>0</v>
      </c>
      <c r="J288" s="129">
        <f t="shared" si="63"/>
        <v>0</v>
      </c>
      <c r="K288" s="129">
        <f t="shared" si="63"/>
        <v>0</v>
      </c>
      <c r="L288" s="129">
        <f t="shared" si="63"/>
        <v>0</v>
      </c>
      <c r="M288" s="129">
        <f t="shared" si="63"/>
        <v>0</v>
      </c>
      <c r="N288" s="129">
        <f t="shared" si="63"/>
        <v>0</v>
      </c>
      <c r="O288" s="129">
        <f t="shared" si="63"/>
        <v>0</v>
      </c>
      <c r="P288" s="122"/>
      <c r="Q288" s="197"/>
      <c r="R288" s="122"/>
      <c r="S288" s="122"/>
      <c r="T288" s="173"/>
      <c r="U288" s="173"/>
      <c r="V288" s="173"/>
      <c r="W288" s="173"/>
      <c r="X288" s="173"/>
      <c r="Y288" s="173"/>
      <c r="Z288" s="173"/>
    </row>
    <row r="289" spans="1:26" ht="12.75" x14ac:dyDescent="0.2">
      <c r="A289" s="122"/>
      <c r="B289" s="192"/>
      <c r="C289" s="192"/>
      <c r="D289" s="180"/>
      <c r="E289" s="180"/>
      <c r="F289" s="180"/>
      <c r="G289" s="180"/>
      <c r="H289" s="180"/>
      <c r="I289" s="180"/>
      <c r="J289" s="180"/>
      <c r="K289" s="180"/>
      <c r="L289" s="180"/>
      <c r="M289" s="180"/>
      <c r="N289" s="180"/>
      <c r="O289" s="180"/>
      <c r="P289" s="122"/>
      <c r="Q289" s="122"/>
      <c r="R289" s="122"/>
      <c r="S289" s="122"/>
      <c r="T289" s="173"/>
      <c r="U289" s="173"/>
      <c r="V289" s="173"/>
      <c r="W289" s="173"/>
      <c r="X289" s="173"/>
      <c r="Y289" s="173"/>
      <c r="Z289" s="173"/>
    </row>
    <row r="290" spans="1:26" ht="12.75" x14ac:dyDescent="0.2">
      <c r="A290" s="122"/>
      <c r="B290" s="180"/>
      <c r="C290" s="181" t="s">
        <v>218</v>
      </c>
      <c r="D290" s="180"/>
      <c r="E290" s="180"/>
      <c r="F290" s="180"/>
      <c r="G290" s="180"/>
      <c r="H290" s="180"/>
      <c r="I290" s="180"/>
      <c r="J290" s="180"/>
      <c r="K290" s="180"/>
      <c r="L290" s="180"/>
      <c r="M290" s="180"/>
      <c r="N290" s="180"/>
      <c r="O290" s="180"/>
      <c r="P290" s="122"/>
      <c r="Q290" s="122"/>
      <c r="R290" s="122"/>
      <c r="S290" s="122"/>
      <c r="T290" s="173"/>
      <c r="U290" s="173"/>
      <c r="V290" s="173"/>
      <c r="W290" s="173"/>
      <c r="X290" s="173"/>
      <c r="Y290" s="173"/>
      <c r="Z290" s="173"/>
    </row>
    <row r="291" spans="1:26" ht="12.75" x14ac:dyDescent="0.2">
      <c r="A291" s="122"/>
      <c r="B291" s="180"/>
      <c r="C291" s="123" t="s">
        <v>447</v>
      </c>
      <c r="D291" s="180"/>
      <c r="E291" s="180"/>
      <c r="F291" s="125">
        <f>F196/F$109*$J$39</f>
        <v>48.29999999999999</v>
      </c>
      <c r="G291" s="125">
        <f>G196/G$109*$J$39</f>
        <v>48.29999999999999</v>
      </c>
      <c r="H291" s="125">
        <f>H196/H$109*$J$39</f>
        <v>48.29999999999999</v>
      </c>
      <c r="I291" s="125">
        <f>I196/I$109*$J$39</f>
        <v>48.29999999999999</v>
      </c>
      <c r="J291" s="125">
        <f>J196/J$109*$J$39</f>
        <v>48.29999999999999</v>
      </c>
      <c r="K291" s="125">
        <f>K196/K$109*$J$39</f>
        <v>48.29999999999999</v>
      </c>
      <c r="L291" s="125">
        <f>L196/L$109*$J$39</f>
        <v>48.3</v>
      </c>
      <c r="M291" s="125">
        <f>M196/M$109*$J$39</f>
        <v>48.29999999999999</v>
      </c>
      <c r="N291" s="125">
        <f>N196/N$109*$J$39</f>
        <v>48.299999999999983</v>
      </c>
      <c r="O291" s="125">
        <f>O196/O$109*$J$39</f>
        <v>48.3</v>
      </c>
      <c r="P291" s="122"/>
      <c r="Q291" s="122"/>
      <c r="R291" s="122"/>
      <c r="S291" s="122"/>
      <c r="T291" s="173"/>
      <c r="U291" s="173"/>
      <c r="V291" s="173"/>
      <c r="W291" s="173"/>
      <c r="X291" s="173"/>
      <c r="Y291" s="173"/>
      <c r="Z291" s="173"/>
    </row>
    <row r="292" spans="1:26" ht="12.75" x14ac:dyDescent="0.2">
      <c r="A292" s="122"/>
      <c r="B292" s="180"/>
      <c r="C292" s="123" t="s">
        <v>448</v>
      </c>
      <c r="D292" s="180"/>
      <c r="E292" s="180"/>
      <c r="F292" s="125">
        <f>F197/F$109*$J$39</f>
        <v>72</v>
      </c>
      <c r="G292" s="125">
        <f>G197/G$109*$J$39</f>
        <v>73.44</v>
      </c>
      <c r="H292" s="125">
        <f>H197/H$109*$J$39</f>
        <v>74.908799999999999</v>
      </c>
      <c r="I292" s="125">
        <f>I197/I$109*$J$39</f>
        <v>76.406976</v>
      </c>
      <c r="J292" s="125">
        <f>J197/J$109*$J$39</f>
        <v>77.935115519999982</v>
      </c>
      <c r="K292" s="125">
        <f>K197/K$109*$J$39</f>
        <v>79.49381783039999</v>
      </c>
      <c r="L292" s="125">
        <f>L197/L$109*$J$39</f>
        <v>81.083694187008007</v>
      </c>
      <c r="M292" s="125">
        <f>M197/M$109*$J$39</f>
        <v>82.705368070748179</v>
      </c>
      <c r="N292" s="125">
        <f>N197/N$109*$J$39</f>
        <v>84.359475432163137</v>
      </c>
      <c r="O292" s="125">
        <f>O197/O$109*$J$39</f>
        <v>86.046664940806394</v>
      </c>
      <c r="P292" s="122"/>
      <c r="Q292" s="122"/>
      <c r="R292" s="122"/>
      <c r="S292" s="122"/>
      <c r="T292" s="173"/>
      <c r="U292" s="173"/>
      <c r="V292" s="173"/>
      <c r="W292" s="173"/>
      <c r="X292" s="173"/>
      <c r="Y292" s="173"/>
      <c r="Z292" s="173"/>
    </row>
    <row r="293" spans="1:26" ht="12.75" x14ac:dyDescent="0.2">
      <c r="A293" s="122"/>
      <c r="B293" s="180"/>
      <c r="C293" s="123" t="s">
        <v>449</v>
      </c>
      <c r="D293" s="180"/>
      <c r="E293" s="180"/>
      <c r="F293" s="125">
        <f>F198/F$109*$J$39</f>
        <v>9.1999999999999993</v>
      </c>
      <c r="G293" s="125">
        <f>G198/G$109*$J$39</f>
        <v>9.2000000000000011</v>
      </c>
      <c r="H293" s="125">
        <f>H198/H$109*$J$39</f>
        <v>9.1999999999999993</v>
      </c>
      <c r="I293" s="125">
        <f>I198/I$109*$J$39</f>
        <v>9.1999999999999993</v>
      </c>
      <c r="J293" s="125">
        <f>J198/J$109*$J$39</f>
        <v>9.1999999999999993</v>
      </c>
      <c r="K293" s="125">
        <f>K198/K$109*$J$39</f>
        <v>9.1999999999999993</v>
      </c>
      <c r="L293" s="125">
        <f>L198/L$109*$J$39</f>
        <v>9.2000000000000011</v>
      </c>
      <c r="M293" s="125">
        <f>M198/M$109*$J$39</f>
        <v>9.2000000000000011</v>
      </c>
      <c r="N293" s="125">
        <f>N198/N$109*$J$39</f>
        <v>9.1999999999999975</v>
      </c>
      <c r="O293" s="125">
        <f>O198/O$109*$J$39</f>
        <v>9.1999999999999993</v>
      </c>
      <c r="P293" s="122"/>
      <c r="Q293" s="122"/>
      <c r="R293" s="122"/>
      <c r="S293" s="122"/>
      <c r="T293" s="173"/>
      <c r="U293" s="173"/>
      <c r="V293" s="173"/>
      <c r="W293" s="173"/>
      <c r="X293" s="173"/>
      <c r="Y293" s="173"/>
      <c r="Z293" s="173"/>
    </row>
    <row r="294" spans="1:26" ht="12.75" x14ac:dyDescent="0.2">
      <c r="A294" s="122"/>
      <c r="B294" s="180"/>
      <c r="C294" s="123" t="s">
        <v>450</v>
      </c>
      <c r="D294" s="180"/>
      <c r="E294" s="180"/>
      <c r="F294" s="125">
        <f>F199/F$109*$J$39</f>
        <v>106.348</v>
      </c>
      <c r="G294" s="125">
        <f>G199/G$109*$J$39</f>
        <v>106.34800000000001</v>
      </c>
      <c r="H294" s="125">
        <f>H199/H$109*$J$39</f>
        <v>106.348</v>
      </c>
      <c r="I294" s="125">
        <f>I199/I$109*$J$39</f>
        <v>106.348</v>
      </c>
      <c r="J294" s="125">
        <f>J199/J$109*$J$39</f>
        <v>106.348</v>
      </c>
      <c r="K294" s="125">
        <f>K199/K$109*$J$39</f>
        <v>106.348</v>
      </c>
      <c r="L294" s="125">
        <f>L199/L$109*$J$39</f>
        <v>106.348</v>
      </c>
      <c r="M294" s="125">
        <f>M199/M$109*$J$39</f>
        <v>106.34799999999998</v>
      </c>
      <c r="N294" s="125">
        <f>N199/N$109*$J$39</f>
        <v>106.348</v>
      </c>
      <c r="O294" s="125">
        <f>O199/O$109*$J$39</f>
        <v>106.348</v>
      </c>
      <c r="P294" s="122"/>
      <c r="Q294" s="122"/>
      <c r="R294" s="122"/>
      <c r="S294" s="122"/>
      <c r="T294" s="173"/>
      <c r="U294" s="173"/>
      <c r="V294" s="173"/>
      <c r="W294" s="173"/>
      <c r="X294" s="173"/>
      <c r="Y294" s="173"/>
      <c r="Z294" s="173"/>
    </row>
    <row r="295" spans="1:26" ht="12.75" x14ac:dyDescent="0.2">
      <c r="A295" s="122"/>
      <c r="B295" s="180"/>
      <c r="C295" s="152" t="s">
        <v>451</v>
      </c>
      <c r="D295" s="180"/>
      <c r="E295" s="180"/>
      <c r="F295" s="125">
        <f>F200/F$109*$J$39</f>
        <v>27.995999999999999</v>
      </c>
      <c r="G295" s="125">
        <f>G200/G$109*$J$39</f>
        <v>27.995999999999999</v>
      </c>
      <c r="H295" s="125">
        <f>H200/H$109*$J$39</f>
        <v>27.995999999999999</v>
      </c>
      <c r="I295" s="125">
        <f>I200/I$109*$J$39</f>
        <v>27.996000000000002</v>
      </c>
      <c r="J295" s="125">
        <f>J200/J$109*$J$39</f>
        <v>27.996000000000002</v>
      </c>
      <c r="K295" s="125">
        <f>K200/K$109*$J$39</f>
        <v>27.995999999999999</v>
      </c>
      <c r="L295" s="125">
        <f>L200/L$109*$J$39</f>
        <v>27.996000000000002</v>
      </c>
      <c r="M295" s="125">
        <f>M200/M$109*$J$39</f>
        <v>27.995999999999999</v>
      </c>
      <c r="N295" s="125">
        <f>N200/N$109*$J$39</f>
        <v>27.996000000000002</v>
      </c>
      <c r="O295" s="125">
        <f>O200/O$109*$J$39</f>
        <v>27.995999999999999</v>
      </c>
      <c r="P295" s="122"/>
      <c r="Q295" s="122"/>
      <c r="R295" s="122"/>
      <c r="S295" s="122"/>
      <c r="T295" s="173"/>
      <c r="U295" s="173"/>
      <c r="V295" s="173"/>
      <c r="W295" s="173"/>
      <c r="X295" s="173"/>
      <c r="Y295" s="173"/>
      <c r="Z295" s="173"/>
    </row>
    <row r="296" spans="1:26" ht="12.75" x14ac:dyDescent="0.2">
      <c r="A296" s="122"/>
      <c r="B296" s="180"/>
      <c r="C296" s="152" t="s">
        <v>452</v>
      </c>
      <c r="D296" s="180"/>
      <c r="E296" s="180"/>
      <c r="F296" s="125">
        <f>F201/F$109*$J$39</f>
        <v>35.207999999999998</v>
      </c>
      <c r="G296" s="125">
        <f>G201/G$109*$J$39</f>
        <v>35.208000000000006</v>
      </c>
      <c r="H296" s="125">
        <f>H201/H$109*$J$39</f>
        <v>35.208000000000006</v>
      </c>
      <c r="I296" s="125">
        <f>I201/I$109*$J$39</f>
        <v>35.208000000000006</v>
      </c>
      <c r="J296" s="125">
        <f>J201/J$109*$J$39</f>
        <v>35.207999999999998</v>
      </c>
      <c r="K296" s="125">
        <f>K201/K$109*$J$39</f>
        <v>35.208000000000006</v>
      </c>
      <c r="L296" s="125">
        <f>L201/L$109*$J$39</f>
        <v>35.208000000000006</v>
      </c>
      <c r="M296" s="125">
        <f>M201/M$109*$J$39</f>
        <v>35.208000000000006</v>
      </c>
      <c r="N296" s="125">
        <f>N201/N$109*$J$39</f>
        <v>35.207999999999998</v>
      </c>
      <c r="O296" s="125">
        <f>O201/O$109*$J$39</f>
        <v>35.207999999999998</v>
      </c>
      <c r="P296" s="122"/>
      <c r="Q296" s="122"/>
      <c r="R296" s="122"/>
      <c r="S296" s="122"/>
      <c r="T296" s="173"/>
      <c r="U296" s="173"/>
      <c r="V296" s="173"/>
      <c r="W296" s="173"/>
      <c r="X296" s="173"/>
      <c r="Y296" s="173"/>
      <c r="Z296" s="173"/>
    </row>
    <row r="297" spans="1:26" ht="12.75" x14ac:dyDescent="0.2">
      <c r="A297" s="122"/>
      <c r="B297" s="180"/>
      <c r="C297" s="152" t="s">
        <v>276</v>
      </c>
      <c r="D297" s="180"/>
      <c r="E297" s="180"/>
      <c r="F297" s="125">
        <f>F202/F$109*$J$39</f>
        <v>58.68</v>
      </c>
      <c r="G297" s="125">
        <f>G202/G$109*$J$39</f>
        <v>58.68</v>
      </c>
      <c r="H297" s="125">
        <f>H202/H$109*$J$39</f>
        <v>58.68</v>
      </c>
      <c r="I297" s="125">
        <f>I202/I$109*$J$39</f>
        <v>58.68</v>
      </c>
      <c r="J297" s="125">
        <f>J202/J$109*$J$39</f>
        <v>0</v>
      </c>
      <c r="K297" s="125">
        <f>K202/K$109*$J$39</f>
        <v>0</v>
      </c>
      <c r="L297" s="125">
        <f>L202/L$109*$J$39</f>
        <v>0</v>
      </c>
      <c r="M297" s="125">
        <f>M202/M$109*$J$39</f>
        <v>0</v>
      </c>
      <c r="N297" s="125">
        <f>N202/N$109*$J$39</f>
        <v>0</v>
      </c>
      <c r="O297" s="125">
        <f>O202/O$109*$J$39</f>
        <v>0</v>
      </c>
      <c r="P297" s="122"/>
      <c r="Q297" s="122"/>
      <c r="R297" s="122"/>
      <c r="S297" s="122"/>
      <c r="T297" s="173"/>
      <c r="U297" s="173"/>
      <c r="V297" s="173"/>
      <c r="W297" s="173"/>
      <c r="X297" s="173"/>
      <c r="Y297" s="173"/>
      <c r="Z297" s="173"/>
    </row>
    <row r="298" spans="1:26" ht="12.75" x14ac:dyDescent="0.2">
      <c r="A298" s="122"/>
      <c r="B298" s="180"/>
      <c r="C298" s="198" t="s">
        <v>207</v>
      </c>
      <c r="D298" s="182"/>
      <c r="E298" s="182"/>
      <c r="F298" s="193">
        <f>SUM(F291:F297)</f>
        <v>357.73199999999991</v>
      </c>
      <c r="G298" s="193">
        <f t="shared" ref="G298:O298" si="64">SUM(G291:G297)</f>
        <v>359.17200000000003</v>
      </c>
      <c r="H298" s="193">
        <f t="shared" si="64"/>
        <v>360.64080000000001</v>
      </c>
      <c r="I298" s="193">
        <f t="shared" si="64"/>
        <v>362.13897600000001</v>
      </c>
      <c r="J298" s="193">
        <f t="shared" si="64"/>
        <v>304.98711551999997</v>
      </c>
      <c r="K298" s="193">
        <f t="shared" si="64"/>
        <v>306.54581783039998</v>
      </c>
      <c r="L298" s="193">
        <f t="shared" si="64"/>
        <v>308.13569418700803</v>
      </c>
      <c r="M298" s="193">
        <f t="shared" si="64"/>
        <v>309.75736807074816</v>
      </c>
      <c r="N298" s="193">
        <f t="shared" si="64"/>
        <v>311.41147543216312</v>
      </c>
      <c r="O298" s="193">
        <f t="shared" si="64"/>
        <v>313.09866494080632</v>
      </c>
      <c r="P298" s="122"/>
      <c r="Q298" s="122"/>
      <c r="R298" s="122"/>
      <c r="S298" s="122"/>
      <c r="T298" s="173"/>
      <c r="U298" s="173"/>
      <c r="V298" s="173"/>
      <c r="W298" s="173"/>
      <c r="X298" s="173"/>
      <c r="Y298" s="173"/>
      <c r="Z298" s="173"/>
    </row>
    <row r="299" spans="1:26" ht="12.75" x14ac:dyDescent="0.2">
      <c r="A299" s="122"/>
      <c r="B299" s="180"/>
      <c r="C299" s="155"/>
      <c r="D299" s="180"/>
      <c r="E299" s="180"/>
      <c r="F299" s="180"/>
      <c r="G299" s="180"/>
      <c r="H299" s="180"/>
      <c r="I299" s="180"/>
      <c r="J299" s="180"/>
      <c r="K299" s="180"/>
      <c r="L299" s="180"/>
      <c r="M299" s="180"/>
      <c r="N299" s="180"/>
      <c r="O299" s="180"/>
      <c r="P299" s="122"/>
      <c r="Q299" s="122"/>
      <c r="R299" s="122"/>
      <c r="S299" s="122"/>
      <c r="T299" s="173"/>
      <c r="U299" s="173"/>
      <c r="V299" s="173"/>
      <c r="W299" s="173"/>
      <c r="X299" s="173"/>
      <c r="Y299" s="173"/>
      <c r="Z299" s="173"/>
    </row>
    <row r="300" spans="1:26" ht="12.75" x14ac:dyDescent="0.2">
      <c r="A300" s="122"/>
      <c r="B300" s="180"/>
      <c r="C300" s="188" t="s">
        <v>215</v>
      </c>
      <c r="D300" s="180"/>
      <c r="E300" s="180"/>
      <c r="F300" s="183"/>
      <c r="G300" s="183"/>
      <c r="H300" s="183"/>
      <c r="I300" s="183"/>
      <c r="J300" s="183"/>
      <c r="K300" s="183"/>
      <c r="L300" s="183"/>
      <c r="M300" s="183"/>
      <c r="N300" s="183"/>
      <c r="O300" s="183"/>
      <c r="P300" s="122"/>
      <c r="Q300" s="122"/>
      <c r="R300" s="122"/>
      <c r="S300" s="122"/>
      <c r="T300" s="173"/>
      <c r="U300" s="173"/>
      <c r="V300" s="173"/>
      <c r="W300" s="173"/>
      <c r="X300" s="173"/>
      <c r="Y300" s="173"/>
      <c r="Z300" s="173"/>
    </row>
    <row r="301" spans="1:26" ht="12.75" x14ac:dyDescent="0.2">
      <c r="A301" s="122"/>
      <c r="B301" s="180"/>
      <c r="C301" s="155" t="s">
        <v>110</v>
      </c>
      <c r="D301" s="180"/>
      <c r="E301" s="180"/>
      <c r="F301" s="125">
        <f>F206/F$109*$J$39</f>
        <v>80</v>
      </c>
      <c r="G301" s="125">
        <f>G206/G$109*$J$39</f>
        <v>80</v>
      </c>
      <c r="H301" s="125">
        <f>H206/H$109*$J$39</f>
        <v>80</v>
      </c>
      <c r="I301" s="125">
        <f>I206/I$109*$J$39</f>
        <v>80</v>
      </c>
      <c r="J301" s="125">
        <f>J206/J$109*$J$39</f>
        <v>80</v>
      </c>
      <c r="K301" s="125">
        <f>K206/K$109*$J$39</f>
        <v>80</v>
      </c>
      <c r="L301" s="125">
        <f>L206/L$109*$J$39</f>
        <v>80</v>
      </c>
      <c r="M301" s="125">
        <f>M206/M$109*$J$39</f>
        <v>79.999999999999986</v>
      </c>
      <c r="N301" s="125">
        <f>N206/N$109*$J$39</f>
        <v>80</v>
      </c>
      <c r="O301" s="125">
        <f>O206/O$109*$J$39</f>
        <v>80</v>
      </c>
      <c r="P301" s="122"/>
      <c r="Q301" s="122"/>
      <c r="R301" s="122"/>
      <c r="S301" s="122"/>
      <c r="T301" s="173"/>
      <c r="U301" s="173"/>
      <c r="V301" s="173"/>
      <c r="W301" s="173"/>
      <c r="X301" s="173"/>
      <c r="Y301" s="173"/>
      <c r="Z301" s="173"/>
    </row>
    <row r="302" spans="1:26" ht="12.75" x14ac:dyDescent="0.2">
      <c r="A302" s="122"/>
      <c r="B302" s="180"/>
      <c r="C302" s="184" t="s">
        <v>283</v>
      </c>
      <c r="D302" s="185"/>
      <c r="E302" s="185"/>
      <c r="F302" s="125">
        <f>F207/F$109*$J$39</f>
        <v>27.972000000000001</v>
      </c>
      <c r="G302" s="125">
        <f>G207/G$109*$J$39</f>
        <v>27.972000000000001</v>
      </c>
      <c r="H302" s="125">
        <f>H207/H$109*$J$39</f>
        <v>27.971999999999998</v>
      </c>
      <c r="I302" s="125">
        <f>I207/I$109*$J$39</f>
        <v>27.972000000000001</v>
      </c>
      <c r="J302" s="125">
        <f>J207/J$109*$J$39</f>
        <v>27.972000000000001</v>
      </c>
      <c r="K302" s="125">
        <f>K207/K$109*$J$39</f>
        <v>27.972000000000001</v>
      </c>
      <c r="L302" s="125">
        <f>L207/L$109*$J$39</f>
        <v>27.972000000000001</v>
      </c>
      <c r="M302" s="125">
        <f>M207/M$109*$J$39</f>
        <v>27.972000000000005</v>
      </c>
      <c r="N302" s="125">
        <f>N207/N$109*$J$39</f>
        <v>27.972000000000001</v>
      </c>
      <c r="O302" s="125">
        <f>O207/O$109*$J$39</f>
        <v>27.972000000000001</v>
      </c>
      <c r="P302" s="122"/>
      <c r="Q302" s="122"/>
      <c r="R302" s="122"/>
      <c r="S302" s="122"/>
      <c r="T302" s="173"/>
      <c r="U302" s="173"/>
      <c r="V302" s="173"/>
      <c r="W302" s="173"/>
      <c r="X302" s="173"/>
      <c r="Y302" s="173"/>
      <c r="Z302" s="173"/>
    </row>
    <row r="303" spans="1:26" ht="12.75" x14ac:dyDescent="0.2">
      <c r="A303" s="122"/>
      <c r="B303" s="180"/>
      <c r="C303" s="199" t="s">
        <v>216</v>
      </c>
      <c r="D303" s="182"/>
      <c r="E303" s="182"/>
      <c r="F303" s="127">
        <f t="shared" ref="F303:O303" si="65">SUM(F301:F302)</f>
        <v>107.97200000000001</v>
      </c>
      <c r="G303" s="127">
        <f t="shared" si="65"/>
        <v>107.97200000000001</v>
      </c>
      <c r="H303" s="127">
        <f t="shared" si="65"/>
        <v>107.97199999999999</v>
      </c>
      <c r="I303" s="127">
        <f t="shared" si="65"/>
        <v>107.97200000000001</v>
      </c>
      <c r="J303" s="127">
        <f t="shared" si="65"/>
        <v>107.97200000000001</v>
      </c>
      <c r="K303" s="127">
        <f t="shared" si="65"/>
        <v>107.97200000000001</v>
      </c>
      <c r="L303" s="127">
        <f t="shared" si="65"/>
        <v>107.97200000000001</v>
      </c>
      <c r="M303" s="127">
        <f t="shared" si="65"/>
        <v>107.97199999999999</v>
      </c>
      <c r="N303" s="127">
        <f t="shared" si="65"/>
        <v>107.97200000000001</v>
      </c>
      <c r="O303" s="127">
        <f t="shared" si="65"/>
        <v>107.97200000000001</v>
      </c>
      <c r="P303" s="122"/>
      <c r="Q303" s="122"/>
      <c r="R303" s="122"/>
      <c r="S303" s="122"/>
      <c r="T303" s="173"/>
      <c r="U303" s="173"/>
      <c r="V303" s="173"/>
      <c r="W303" s="173"/>
      <c r="X303" s="173"/>
      <c r="Y303" s="173"/>
      <c r="Z303" s="173"/>
    </row>
    <row r="304" spans="1:26" ht="12.75" x14ac:dyDescent="0.2">
      <c r="A304" s="122"/>
      <c r="B304" s="180"/>
      <c r="C304" s="155"/>
      <c r="D304" s="180"/>
      <c r="E304" s="180"/>
      <c r="F304" s="183"/>
      <c r="G304" s="183"/>
      <c r="H304" s="183"/>
      <c r="I304" s="183"/>
      <c r="J304" s="183"/>
      <c r="K304" s="183"/>
      <c r="L304" s="183"/>
      <c r="M304" s="183"/>
      <c r="N304" s="183"/>
      <c r="O304" s="183"/>
      <c r="P304" s="122"/>
      <c r="Q304" s="122"/>
      <c r="R304" s="122"/>
      <c r="S304" s="122"/>
      <c r="T304" s="173"/>
      <c r="U304" s="173"/>
      <c r="V304" s="173"/>
      <c r="W304" s="173"/>
      <c r="X304" s="173"/>
      <c r="Y304" s="173"/>
      <c r="Z304" s="173"/>
    </row>
    <row r="305" spans="1:26" ht="12.75" x14ac:dyDescent="0.2">
      <c r="A305" s="122"/>
      <c r="B305" s="180"/>
      <c r="C305" s="188" t="s">
        <v>219</v>
      </c>
      <c r="D305" s="180"/>
      <c r="E305" s="180"/>
      <c r="F305" s="183"/>
      <c r="G305" s="183"/>
      <c r="H305" s="183"/>
      <c r="I305" s="183"/>
      <c r="J305" s="183"/>
      <c r="K305" s="183"/>
      <c r="L305" s="183"/>
      <c r="M305" s="183"/>
      <c r="N305" s="183"/>
      <c r="O305" s="183"/>
      <c r="P305" s="122"/>
      <c r="Q305" s="122"/>
      <c r="R305" s="122"/>
      <c r="S305" s="122"/>
      <c r="T305" s="173"/>
      <c r="U305" s="173"/>
      <c r="V305" s="173"/>
      <c r="W305" s="173"/>
      <c r="X305" s="173"/>
      <c r="Y305" s="173"/>
      <c r="Z305" s="173"/>
    </row>
    <row r="306" spans="1:26" ht="12.75" x14ac:dyDescent="0.2">
      <c r="A306" s="122"/>
      <c r="B306" s="180"/>
      <c r="C306" s="152" t="s">
        <v>454</v>
      </c>
      <c r="D306" s="180"/>
      <c r="E306" s="180"/>
      <c r="F306" s="125">
        <f>F211/F$109*$J$39</f>
        <v>263.10000000000002</v>
      </c>
      <c r="G306" s="125">
        <f>G211/G$109*$J$39</f>
        <v>263.10000000000002</v>
      </c>
      <c r="H306" s="125">
        <f>H211/H$109*$J$39</f>
        <v>263.10000000000002</v>
      </c>
      <c r="I306" s="125">
        <f>I211/I$109*$J$39</f>
        <v>263.10000000000002</v>
      </c>
      <c r="J306" s="125">
        <f>J211/J$109*$J$39</f>
        <v>263.10000000000002</v>
      </c>
      <c r="K306" s="125">
        <f>K211/K$109*$J$39</f>
        <v>263.10000000000002</v>
      </c>
      <c r="L306" s="125">
        <f>L211/L$109*$J$39</f>
        <v>263.10000000000002</v>
      </c>
      <c r="M306" s="125">
        <f>M211/M$109*$J$39</f>
        <v>263.10000000000002</v>
      </c>
      <c r="N306" s="125">
        <f>N211/N$109*$J$39</f>
        <v>263.10000000000002</v>
      </c>
      <c r="O306" s="125">
        <f>O211/O$109*$J$39</f>
        <v>263.10000000000002</v>
      </c>
      <c r="P306" s="122"/>
      <c r="Q306" s="122"/>
      <c r="R306" s="122"/>
      <c r="S306" s="122"/>
      <c r="T306" s="173"/>
      <c r="U306" s="173"/>
      <c r="V306" s="173"/>
      <c r="W306" s="173"/>
      <c r="X306" s="173"/>
      <c r="Y306" s="173"/>
      <c r="Z306" s="173"/>
    </row>
    <row r="307" spans="1:26" ht="12.75" x14ac:dyDescent="0.2">
      <c r="A307" s="122"/>
      <c r="B307" s="180"/>
      <c r="C307" s="391" t="s">
        <v>456</v>
      </c>
      <c r="D307" s="180"/>
      <c r="E307" s="180"/>
      <c r="F307" s="125">
        <f>F212/F$109*$J$39</f>
        <v>2111.9999999999995</v>
      </c>
      <c r="G307" s="125">
        <f>G212/G$109*$J$39</f>
        <v>2154.2399999999993</v>
      </c>
      <c r="H307" s="125">
        <f>H212/H$109*$J$39</f>
        <v>2197.3247999999994</v>
      </c>
      <c r="I307" s="125">
        <f>I212/I$109*$J$39</f>
        <v>2241.271295999999</v>
      </c>
      <c r="J307" s="125">
        <f>J212/J$109*$J$39</f>
        <v>2286.0967219199993</v>
      </c>
      <c r="K307" s="125">
        <f>K212/K$109*$J$39</f>
        <v>2331.8186563583995</v>
      </c>
      <c r="L307" s="125">
        <f>L212/L$109*$J$39</f>
        <v>2378.4550294855676</v>
      </c>
      <c r="M307" s="125">
        <f>M212/M$109*$J$39</f>
        <v>2426.0241300752787</v>
      </c>
      <c r="N307" s="125">
        <f>N212/N$109*$J$39</f>
        <v>2474.5446126767847</v>
      </c>
      <c r="O307" s="125">
        <f>O212/O$109*$J$39</f>
        <v>2524.0355049303207</v>
      </c>
      <c r="P307" s="122"/>
      <c r="Q307" s="122"/>
      <c r="R307" s="122"/>
      <c r="S307" s="122"/>
      <c r="T307" s="173"/>
      <c r="U307" s="173"/>
      <c r="V307" s="173"/>
      <c r="W307" s="173"/>
      <c r="X307" s="173"/>
      <c r="Y307" s="173"/>
      <c r="Z307" s="173"/>
    </row>
    <row r="308" spans="1:26" ht="12.75" x14ac:dyDescent="0.2">
      <c r="A308" s="122"/>
      <c r="B308" s="180"/>
      <c r="C308" s="391" t="s">
        <v>459</v>
      </c>
      <c r="D308" s="180"/>
      <c r="E308" s="180"/>
      <c r="F308" s="125">
        <f>F213/F$109*$J$39</f>
        <v>768</v>
      </c>
      <c r="G308" s="125">
        <f>G213/G$109*$J$39</f>
        <v>783.36</v>
      </c>
      <c r="H308" s="125">
        <f>H213/H$109*$J$39</f>
        <v>799.02720000000011</v>
      </c>
      <c r="I308" s="125">
        <f>I213/I$109*$J$39</f>
        <v>815.007744</v>
      </c>
      <c r="J308" s="125">
        <f>J213/J$109*$J$39</f>
        <v>831.30789888000004</v>
      </c>
      <c r="K308" s="125">
        <f>K213/K$109*$J$39</f>
        <v>847.93405685760013</v>
      </c>
      <c r="L308" s="125">
        <f>L213/L$109*$J$39</f>
        <v>864.892737994752</v>
      </c>
      <c r="M308" s="125">
        <f>M213/M$109*$J$39</f>
        <v>882.19059275464713</v>
      </c>
      <c r="N308" s="125">
        <f>N213/N$109*$J$39</f>
        <v>899.8344046097402</v>
      </c>
      <c r="O308" s="125">
        <f>O213/O$109*$J$39</f>
        <v>917.83109270193495</v>
      </c>
      <c r="P308" s="122"/>
      <c r="Q308" s="122"/>
      <c r="R308" s="122"/>
      <c r="S308" s="122"/>
      <c r="T308" s="173"/>
      <c r="U308" s="173"/>
      <c r="V308" s="173"/>
      <c r="W308" s="173"/>
      <c r="X308" s="173"/>
      <c r="Y308" s="173"/>
      <c r="Z308" s="173"/>
    </row>
    <row r="309" spans="1:26" ht="12.75" x14ac:dyDescent="0.2">
      <c r="A309" s="122"/>
      <c r="B309" s="180"/>
      <c r="C309" s="152" t="s">
        <v>102</v>
      </c>
      <c r="D309" s="180"/>
      <c r="E309" s="180"/>
      <c r="F309" s="125">
        <f>F214/F$109*$J$39</f>
        <v>0</v>
      </c>
      <c r="G309" s="125">
        <f>G214/G$109*$J$39</f>
        <v>0</v>
      </c>
      <c r="H309" s="125">
        <f>H214/H$109*$J$39</f>
        <v>0</v>
      </c>
      <c r="I309" s="125">
        <f>I214/I$109*$J$39</f>
        <v>0</v>
      </c>
      <c r="J309" s="125">
        <f>J214/J$109*$J$39</f>
        <v>0</v>
      </c>
      <c r="K309" s="125">
        <f>K214/K$109*$J$39</f>
        <v>0</v>
      </c>
      <c r="L309" s="125">
        <f>L214/L$109*$J$39</f>
        <v>0</v>
      </c>
      <c r="M309" s="125">
        <f>M214/M$109*$J$39</f>
        <v>0</v>
      </c>
      <c r="N309" s="125">
        <f>N214/N$109*$J$39</f>
        <v>0</v>
      </c>
      <c r="O309" s="125">
        <f>O214/O$109*$J$39</f>
        <v>0</v>
      </c>
      <c r="P309" s="122"/>
      <c r="Q309" s="122"/>
      <c r="R309" s="122"/>
      <c r="S309" s="122"/>
      <c r="T309" s="173"/>
      <c r="U309" s="173"/>
      <c r="V309" s="173"/>
      <c r="W309" s="173"/>
      <c r="X309" s="173"/>
      <c r="Y309" s="173"/>
      <c r="Z309" s="173"/>
    </row>
    <row r="310" spans="1:26" ht="12.75" x14ac:dyDescent="0.2">
      <c r="A310" s="122"/>
      <c r="B310" s="155"/>
      <c r="C310" s="198" t="s">
        <v>217</v>
      </c>
      <c r="D310" s="198"/>
      <c r="E310" s="198"/>
      <c r="F310" s="200">
        <f t="shared" ref="F310:O310" si="66">SUM(F306:F309)</f>
        <v>3143.0999999999995</v>
      </c>
      <c r="G310" s="200">
        <f t="shared" si="66"/>
        <v>3200.6999999999994</v>
      </c>
      <c r="H310" s="200">
        <f t="shared" si="66"/>
        <v>3259.4519999999993</v>
      </c>
      <c r="I310" s="200">
        <f t="shared" si="66"/>
        <v>3319.3790399999989</v>
      </c>
      <c r="J310" s="200">
        <f t="shared" si="66"/>
        <v>3380.5046207999994</v>
      </c>
      <c r="K310" s="200">
        <f t="shared" si="66"/>
        <v>3442.8527132159998</v>
      </c>
      <c r="L310" s="200">
        <f t="shared" si="66"/>
        <v>3506.4477674803193</v>
      </c>
      <c r="M310" s="200">
        <f t="shared" si="66"/>
        <v>3571.3147228299258</v>
      </c>
      <c r="N310" s="200">
        <f t="shared" si="66"/>
        <v>3637.479017286525</v>
      </c>
      <c r="O310" s="200">
        <f t="shared" si="66"/>
        <v>3704.9665976322558</v>
      </c>
      <c r="P310" s="122"/>
      <c r="Q310" s="122"/>
      <c r="R310" s="122"/>
      <c r="S310" s="122"/>
      <c r="T310" s="173"/>
      <c r="U310" s="173"/>
      <c r="V310" s="173"/>
      <c r="W310" s="173"/>
      <c r="X310" s="173"/>
      <c r="Y310" s="173"/>
      <c r="Z310" s="173"/>
    </row>
    <row r="311" spans="1:26" ht="12.75" x14ac:dyDescent="0.2">
      <c r="A311" s="122"/>
      <c r="B311" s="155"/>
      <c r="C311" s="155"/>
      <c r="D311" s="155"/>
      <c r="E311" s="155"/>
      <c r="F311" s="155"/>
      <c r="G311" s="155"/>
      <c r="H311" s="155"/>
      <c r="I311" s="155"/>
      <c r="J311" s="155"/>
      <c r="K311" s="155"/>
      <c r="L311" s="155"/>
      <c r="M311" s="155"/>
      <c r="N311" s="155"/>
      <c r="O311" s="155"/>
      <c r="P311" s="122"/>
      <c r="Q311" s="122"/>
      <c r="R311" s="122"/>
      <c r="S311" s="122"/>
      <c r="T311" s="173"/>
      <c r="U311" s="173"/>
      <c r="V311" s="173"/>
      <c r="W311" s="173"/>
      <c r="X311" s="173"/>
      <c r="Y311" s="173"/>
      <c r="Z311" s="173"/>
    </row>
    <row r="312" spans="1:26" ht="12.75" x14ac:dyDescent="0.2">
      <c r="A312" s="122"/>
      <c r="B312" s="180"/>
      <c r="C312" s="188" t="s">
        <v>287</v>
      </c>
      <c r="D312" s="201"/>
      <c r="E312" s="201"/>
      <c r="F312" s="202"/>
      <c r="G312" s="202"/>
      <c r="H312" s="202"/>
      <c r="I312" s="202"/>
      <c r="J312" s="202"/>
      <c r="K312" s="202"/>
      <c r="L312" s="202"/>
      <c r="M312" s="202"/>
      <c r="N312" s="202"/>
      <c r="O312" s="202"/>
      <c r="P312" s="122"/>
      <c r="Q312" s="122"/>
      <c r="R312" s="122"/>
      <c r="S312" s="122"/>
      <c r="T312" s="173"/>
      <c r="U312" s="173"/>
      <c r="V312" s="173"/>
      <c r="W312" s="173"/>
      <c r="X312" s="173"/>
      <c r="Y312" s="173"/>
      <c r="Z312" s="173"/>
    </row>
    <row r="313" spans="1:26" ht="12.75" x14ac:dyDescent="0.2">
      <c r="A313" s="122"/>
      <c r="B313" s="180"/>
      <c r="C313" s="155" t="s">
        <v>375</v>
      </c>
      <c r="D313" s="201"/>
      <c r="E313" s="201"/>
      <c r="F313" s="125">
        <f>F218/F$109*$J$39</f>
        <v>14.663924800000004</v>
      </c>
      <c r="G313" s="125">
        <f>G218/G$109*$J$39</f>
        <v>14.982900800000001</v>
      </c>
      <c r="H313" s="125">
        <f>H218/H$109*$J$39</f>
        <v>15.308256320000003</v>
      </c>
      <c r="I313" s="125">
        <f>I218/I$109*$J$39</f>
        <v>15.640118950400007</v>
      </c>
      <c r="J313" s="125">
        <f>J218/J$109*$J$39</f>
        <v>15.978618833408001</v>
      </c>
      <c r="K313" s="125">
        <f>K218/K$109*$J$39</f>
        <v>16.323888714076162</v>
      </c>
      <c r="L313" s="125">
        <f>L218/L$109*$J$39</f>
        <v>16.676063992357687</v>
      </c>
      <c r="M313" s="125">
        <f>M218/M$109*$J$39</f>
        <v>17.035282776204841</v>
      </c>
      <c r="N313" s="125">
        <f>N218/N$109*$J$39</f>
        <v>17.401685935728938</v>
      </c>
      <c r="O313" s="125">
        <f>O218/O$109*$J$39</f>
        <v>17.775417158443524</v>
      </c>
      <c r="P313" s="122"/>
      <c r="Q313" s="122"/>
      <c r="R313" s="122"/>
      <c r="S313" s="122"/>
      <c r="T313" s="173"/>
      <c r="U313" s="173"/>
      <c r="V313" s="173"/>
      <c r="W313" s="173"/>
      <c r="X313" s="173"/>
      <c r="Y313" s="173"/>
      <c r="Z313" s="173"/>
    </row>
    <row r="314" spans="1:26" ht="12.75" x14ac:dyDescent="0.2">
      <c r="A314" s="122"/>
      <c r="B314" s="180"/>
      <c r="C314" s="184" t="s">
        <v>284</v>
      </c>
      <c r="D314" s="185"/>
      <c r="E314" s="185"/>
      <c r="F314" s="141">
        <f>F219/F$109*$J$39</f>
        <v>13.235200000000001</v>
      </c>
      <c r="G314" s="141">
        <f>G219/G$109*$J$39</f>
        <v>13.499904000000001</v>
      </c>
      <c r="H314" s="141">
        <f>H219/H$109*$J$39</f>
        <v>13.769902080000001</v>
      </c>
      <c r="I314" s="141">
        <f>I219/I$109*$J$39</f>
        <v>14.045300121600004</v>
      </c>
      <c r="J314" s="141">
        <f>J219/J$109*$J$39</f>
        <v>14.326206124032002</v>
      </c>
      <c r="K314" s="141">
        <f>K219/K$109*$J$39</f>
        <v>14.612730246512641</v>
      </c>
      <c r="L314" s="141">
        <f>L219/L$109*$J$39</f>
        <v>14.904984851442894</v>
      </c>
      <c r="M314" s="141">
        <f>M219/M$109*$J$39</f>
        <v>15.203084548471754</v>
      </c>
      <c r="N314" s="141">
        <f>N219/N$109*$J$39</f>
        <v>15.507146239441187</v>
      </c>
      <c r="O314" s="141">
        <f>O219/O$109*$J$39</f>
        <v>15.817289164230015</v>
      </c>
      <c r="P314" s="122"/>
      <c r="Q314" s="122"/>
      <c r="R314" s="122"/>
      <c r="S314" s="122"/>
      <c r="T314" s="173"/>
      <c r="U314" s="173"/>
      <c r="V314" s="173"/>
      <c r="W314" s="173"/>
      <c r="X314" s="173"/>
      <c r="Y314" s="173"/>
      <c r="Z314" s="173"/>
    </row>
    <row r="315" spans="1:26" ht="12.75" x14ac:dyDescent="0.2">
      <c r="A315" s="122"/>
      <c r="B315" s="180"/>
      <c r="C315" s="189" t="s">
        <v>289</v>
      </c>
      <c r="D315" s="201"/>
      <c r="E315" s="201"/>
      <c r="F315" s="202">
        <f t="shared" ref="F315:O315" si="67">SUM(F313:F314)</f>
        <v>27.899124800000003</v>
      </c>
      <c r="G315" s="202">
        <f t="shared" si="67"/>
        <v>28.482804800000004</v>
      </c>
      <c r="H315" s="202">
        <f t="shared" si="67"/>
        <v>29.078158400000007</v>
      </c>
      <c r="I315" s="202">
        <f t="shared" si="67"/>
        <v>29.685419072000009</v>
      </c>
      <c r="J315" s="202">
        <f t="shared" si="67"/>
        <v>30.304824957440005</v>
      </c>
      <c r="K315" s="202">
        <f t="shared" si="67"/>
        <v>30.936618960588802</v>
      </c>
      <c r="L315" s="202">
        <f t="shared" si="67"/>
        <v>31.581048843800581</v>
      </c>
      <c r="M315" s="202">
        <f t="shared" si="67"/>
        <v>32.238367324676595</v>
      </c>
      <c r="N315" s="202">
        <f t="shared" si="67"/>
        <v>32.908832175170126</v>
      </c>
      <c r="O315" s="202">
        <f t="shared" si="67"/>
        <v>33.592706322673536</v>
      </c>
      <c r="P315" s="122"/>
      <c r="Q315" s="122"/>
      <c r="R315" s="122"/>
      <c r="S315" s="122"/>
      <c r="T315" s="173"/>
      <c r="U315" s="173"/>
      <c r="V315" s="173"/>
      <c r="W315" s="173"/>
      <c r="X315" s="173"/>
      <c r="Y315" s="173"/>
      <c r="Z315" s="173"/>
    </row>
    <row r="316" spans="1:26" ht="12.75" x14ac:dyDescent="0.2">
      <c r="A316" s="122"/>
      <c r="B316" s="155"/>
      <c r="C316" s="155"/>
      <c r="D316" s="155"/>
      <c r="E316" s="155"/>
      <c r="F316" s="155"/>
      <c r="G316" s="155"/>
      <c r="H316" s="155"/>
      <c r="I316" s="155"/>
      <c r="J316" s="155"/>
      <c r="K316" s="155"/>
      <c r="L316" s="155"/>
      <c r="M316" s="155"/>
      <c r="N316" s="155"/>
      <c r="O316" s="155"/>
      <c r="P316" s="122"/>
      <c r="Q316" s="122"/>
      <c r="R316" s="122"/>
      <c r="S316" s="122"/>
      <c r="T316" s="173"/>
      <c r="U316" s="173"/>
      <c r="V316" s="173"/>
      <c r="W316" s="173"/>
      <c r="X316" s="173"/>
      <c r="Y316" s="173"/>
      <c r="Z316" s="173"/>
    </row>
    <row r="317" spans="1:26" ht="12.75" x14ac:dyDescent="0.2">
      <c r="A317" s="122"/>
      <c r="B317" s="155"/>
      <c r="C317" s="203" t="s">
        <v>236</v>
      </c>
      <c r="D317" s="203"/>
      <c r="E317" s="203"/>
      <c r="F317" s="204">
        <f t="shared" ref="F317:O317" si="68">F288+F298+F303+F310+F315</f>
        <v>3636.7031247999994</v>
      </c>
      <c r="G317" s="204">
        <f t="shared" si="68"/>
        <v>3696.3268047999991</v>
      </c>
      <c r="H317" s="204">
        <f t="shared" si="68"/>
        <v>3757.1429583999993</v>
      </c>
      <c r="I317" s="204">
        <f t="shared" si="68"/>
        <v>3819.1754350719989</v>
      </c>
      <c r="J317" s="204">
        <f t="shared" si="68"/>
        <v>3823.7685612774394</v>
      </c>
      <c r="K317" s="204">
        <f t="shared" si="68"/>
        <v>3888.3071500069886</v>
      </c>
      <c r="L317" s="204">
        <f t="shared" si="68"/>
        <v>3954.1365105111277</v>
      </c>
      <c r="M317" s="204">
        <f t="shared" si="68"/>
        <v>4021.2824582253506</v>
      </c>
      <c r="N317" s="204">
        <f t="shared" si="68"/>
        <v>4089.7713248938585</v>
      </c>
      <c r="O317" s="204">
        <f t="shared" si="68"/>
        <v>4159.6299688957361</v>
      </c>
      <c r="P317" s="122"/>
      <c r="Q317" s="122"/>
      <c r="R317" s="122"/>
      <c r="S317" s="122"/>
      <c r="T317" s="173"/>
      <c r="U317" s="173"/>
      <c r="V317" s="173"/>
      <c r="W317" s="173"/>
      <c r="X317" s="173"/>
      <c r="Y317" s="173"/>
      <c r="Z317" s="173"/>
    </row>
    <row r="318" spans="1:26" ht="12.75" x14ac:dyDescent="0.2">
      <c r="A318" s="122"/>
      <c r="B318" s="155"/>
      <c r="C318" s="155"/>
      <c r="D318" s="155"/>
      <c r="E318" s="155"/>
      <c r="F318" s="205"/>
      <c r="G318" s="205"/>
      <c r="H318" s="205"/>
      <c r="I318" s="205"/>
      <c r="J318" s="205"/>
      <c r="K318" s="205"/>
      <c r="L318" s="205"/>
      <c r="M318" s="205"/>
      <c r="N318" s="205"/>
      <c r="O318" s="205"/>
      <c r="P318" s="122"/>
      <c r="Q318" s="122"/>
      <c r="R318" s="122"/>
      <c r="S318" s="122"/>
      <c r="T318" s="173"/>
      <c r="U318" s="173"/>
      <c r="V318" s="173"/>
      <c r="W318" s="173"/>
      <c r="X318" s="173"/>
      <c r="Y318" s="173"/>
      <c r="Z318" s="173"/>
    </row>
    <row r="319" spans="1:26" ht="12.75" x14ac:dyDescent="0.2">
      <c r="A319" s="122"/>
      <c r="B319" s="157"/>
      <c r="C319" s="206" t="s">
        <v>707</v>
      </c>
      <c r="D319" s="203"/>
      <c r="E319" s="203"/>
      <c r="F319" s="207">
        <f t="shared" ref="F319:O319" si="69">F283-F317</f>
        <v>203.29687520000061</v>
      </c>
      <c r="G319" s="207">
        <f t="shared" si="69"/>
        <v>220.4731952000011</v>
      </c>
      <c r="H319" s="207">
        <f t="shared" si="69"/>
        <v>237.99304160000065</v>
      </c>
      <c r="I319" s="207">
        <f t="shared" si="69"/>
        <v>255.86328492800067</v>
      </c>
      <c r="J319" s="207">
        <f t="shared" si="69"/>
        <v>332.77093312256056</v>
      </c>
      <c r="K319" s="207">
        <f t="shared" si="69"/>
        <v>351.36313428101084</v>
      </c>
      <c r="L319" s="207">
        <f t="shared" si="69"/>
        <v>370.3271794626321</v>
      </c>
      <c r="M319" s="207">
        <f t="shared" si="69"/>
        <v>389.67050554788511</v>
      </c>
      <c r="N319" s="207">
        <f t="shared" si="69"/>
        <v>409.4006981548423</v>
      </c>
      <c r="O319" s="207">
        <f t="shared" si="69"/>
        <v>429.52549461393846</v>
      </c>
      <c r="P319" s="122"/>
      <c r="Q319" s="122"/>
      <c r="R319" s="122"/>
      <c r="S319" s="122"/>
      <c r="T319" s="173"/>
      <c r="U319" s="173"/>
      <c r="V319" s="173"/>
      <c r="W319" s="173"/>
      <c r="X319" s="173"/>
      <c r="Y319" s="173"/>
      <c r="Z319" s="173"/>
    </row>
    <row r="320" spans="1:26" ht="12.75" x14ac:dyDescent="0.2">
      <c r="A320" s="122"/>
      <c r="B320" s="122"/>
      <c r="C320" s="122"/>
      <c r="D320" s="122"/>
      <c r="E320" s="122"/>
      <c r="F320" s="122"/>
      <c r="G320" s="122"/>
      <c r="H320" s="122"/>
      <c r="I320" s="122"/>
      <c r="J320" s="122"/>
      <c r="K320" s="122"/>
      <c r="L320" s="122"/>
      <c r="M320" s="122"/>
      <c r="N320" s="122"/>
      <c r="O320" s="122"/>
      <c r="P320" s="122"/>
      <c r="Q320" s="122"/>
      <c r="R320" s="122"/>
      <c r="S320" s="122"/>
      <c r="T320" s="173"/>
      <c r="U320" s="173"/>
      <c r="V320" s="173"/>
      <c r="W320" s="173"/>
      <c r="X320" s="173"/>
      <c r="Y320" s="173"/>
      <c r="Z320" s="173"/>
    </row>
    <row r="321" spans="1:26" ht="12.75" x14ac:dyDescent="0.2">
      <c r="A321" s="145" t="s">
        <v>680</v>
      </c>
      <c r="B321" s="119"/>
      <c r="C321" s="119"/>
      <c r="D321" s="161" t="s">
        <v>174</v>
      </c>
      <c r="E321" s="161"/>
      <c r="F321" s="162">
        <v>0</v>
      </c>
      <c r="G321" s="162">
        <v>1</v>
      </c>
      <c r="H321" s="162">
        <v>2</v>
      </c>
      <c r="I321" s="162">
        <v>3</v>
      </c>
      <c r="J321" s="162">
        <v>4</v>
      </c>
      <c r="K321" s="162">
        <v>5</v>
      </c>
      <c r="L321" s="162">
        <v>6</v>
      </c>
      <c r="M321" s="162">
        <v>7</v>
      </c>
      <c r="N321" s="162">
        <v>8</v>
      </c>
      <c r="O321" s="162">
        <v>9</v>
      </c>
      <c r="P321" s="119"/>
      <c r="Q321" s="119"/>
      <c r="R321" s="119"/>
      <c r="S321" s="119"/>
      <c r="T321" s="158"/>
      <c r="U321" s="158"/>
      <c r="V321" s="158"/>
      <c r="W321" s="158"/>
      <c r="X321" s="158"/>
      <c r="Y321" s="158"/>
      <c r="Z321" s="158"/>
    </row>
    <row r="322" spans="1:26" ht="12.75" x14ac:dyDescent="0.2">
      <c r="A322" s="122"/>
      <c r="B322" s="389" t="s">
        <v>1016</v>
      </c>
      <c r="C322" s="155"/>
      <c r="D322" s="155"/>
      <c r="E322" s="155"/>
      <c r="F322" s="155"/>
      <c r="G322" s="155"/>
      <c r="H322" s="155"/>
      <c r="I322" s="155"/>
      <c r="J322" s="155"/>
      <c r="K322" s="155"/>
      <c r="L322" s="155"/>
      <c r="M322" s="155"/>
      <c r="N322" s="155"/>
      <c r="O322" s="155"/>
      <c r="P322" s="122"/>
      <c r="Q322" s="122"/>
      <c r="R322" s="122"/>
      <c r="S322" s="122"/>
      <c r="T322" s="173"/>
      <c r="U322" s="173"/>
      <c r="V322" s="173"/>
      <c r="W322" s="173"/>
      <c r="X322" s="173"/>
      <c r="Y322" s="173"/>
      <c r="Z322" s="173"/>
    </row>
    <row r="323" spans="1:26" ht="12.75" x14ac:dyDescent="0.2">
      <c r="A323" s="122"/>
      <c r="B323" s="155"/>
      <c r="C323" s="155" t="s">
        <v>241</v>
      </c>
      <c r="D323" s="155"/>
      <c r="E323" s="155"/>
      <c r="F323" s="125">
        <f>F283-F235</f>
        <v>672</v>
      </c>
      <c r="G323" s="125">
        <f>G283-G235</f>
        <v>685.4399999999996</v>
      </c>
      <c r="H323" s="125">
        <f>H283-H235</f>
        <v>699.14880000000039</v>
      </c>
      <c r="I323" s="125">
        <f>I283-I235</f>
        <v>713.13177599999972</v>
      </c>
      <c r="J323" s="125">
        <f>J283-J235</f>
        <v>727.39441152000018</v>
      </c>
      <c r="K323" s="125">
        <f>K283-K235</f>
        <v>741.94229975039889</v>
      </c>
      <c r="L323" s="125">
        <f>L283-L235</f>
        <v>756.78114574540723</v>
      </c>
      <c r="M323" s="125">
        <f>M283-M235</f>
        <v>771.91676866031639</v>
      </c>
      <c r="N323" s="125">
        <f>N283-N235</f>
        <v>787.35510403352328</v>
      </c>
      <c r="O323" s="125">
        <f>O283-O235</f>
        <v>839.15546350967452</v>
      </c>
      <c r="P323" s="122"/>
      <c r="Q323" s="122"/>
      <c r="R323" s="122"/>
      <c r="S323" s="122"/>
      <c r="T323" s="173"/>
      <c r="U323" s="173"/>
      <c r="V323" s="173"/>
      <c r="W323" s="173"/>
      <c r="X323" s="173"/>
      <c r="Y323" s="173"/>
      <c r="Z323" s="173"/>
    </row>
    <row r="324" spans="1:26" ht="12.75" x14ac:dyDescent="0.2">
      <c r="A324" s="122"/>
      <c r="B324" s="155"/>
      <c r="C324" s="155" t="s">
        <v>242</v>
      </c>
      <c r="D324" s="155"/>
      <c r="E324" s="155"/>
      <c r="F324" s="125">
        <f>F317-F269</f>
        <v>488.27735999999959</v>
      </c>
      <c r="G324" s="125">
        <f>G317-G269</f>
        <v>491.43947519999847</v>
      </c>
      <c r="H324" s="125">
        <f>H317-H269</f>
        <v>494.66483270399885</v>
      </c>
      <c r="I324" s="125">
        <f>I317-I269</f>
        <v>497.95469735807865</v>
      </c>
      <c r="J324" s="125">
        <f>J317-J269</f>
        <v>442.63035930524075</v>
      </c>
      <c r="K324" s="125">
        <f>K317-K269</f>
        <v>446.0531344913461</v>
      </c>
      <c r="L324" s="125">
        <f>L317-L269</f>
        <v>449.54436518117154</v>
      </c>
      <c r="M324" s="125">
        <f>M317-M269</f>
        <v>453.10542048479556</v>
      </c>
      <c r="N324" s="125">
        <f>N317-N269</f>
        <v>456.73769689449273</v>
      </c>
      <c r="O324" s="125">
        <f>O317-O269</f>
        <v>492.57051227755483</v>
      </c>
      <c r="P324" s="122"/>
      <c r="Q324" s="122"/>
      <c r="R324" s="122"/>
      <c r="S324" s="122"/>
      <c r="T324" s="173"/>
      <c r="U324" s="173"/>
      <c r="V324" s="173"/>
      <c r="W324" s="173"/>
      <c r="X324" s="173"/>
      <c r="Y324" s="173"/>
      <c r="Z324" s="173"/>
    </row>
    <row r="325" spans="1:26" ht="12.75" x14ac:dyDescent="0.2">
      <c r="A325" s="122"/>
      <c r="B325" s="155"/>
      <c r="C325" s="155" t="s">
        <v>243</v>
      </c>
      <c r="D325" s="155"/>
      <c r="E325" s="155"/>
      <c r="F325" s="125">
        <f>F323-F324</f>
        <v>183.72264000000041</v>
      </c>
      <c r="G325" s="125">
        <f t="shared" ref="G325:O325" si="70">G323-G324</f>
        <v>194.00052480000113</v>
      </c>
      <c r="H325" s="125">
        <f t="shared" si="70"/>
        <v>204.48396729600154</v>
      </c>
      <c r="I325" s="125">
        <f t="shared" si="70"/>
        <v>215.17707864192107</v>
      </c>
      <c r="J325" s="125">
        <f t="shared" si="70"/>
        <v>284.76405221475943</v>
      </c>
      <c r="K325" s="125">
        <f t="shared" si="70"/>
        <v>295.88916525905279</v>
      </c>
      <c r="L325" s="125">
        <f t="shared" si="70"/>
        <v>307.23678056423569</v>
      </c>
      <c r="M325" s="125">
        <f t="shared" si="70"/>
        <v>318.81134817552083</v>
      </c>
      <c r="N325" s="125">
        <f t="shared" si="70"/>
        <v>330.61740713903055</v>
      </c>
      <c r="O325" s="125">
        <f t="shared" si="70"/>
        <v>346.58495123211969</v>
      </c>
      <c r="P325" s="122"/>
      <c r="Q325" s="122"/>
      <c r="R325" s="122"/>
      <c r="S325" s="122"/>
      <c r="T325" s="173"/>
      <c r="U325" s="173"/>
      <c r="V325" s="173"/>
      <c r="W325" s="173"/>
      <c r="X325" s="173"/>
      <c r="Y325" s="173"/>
      <c r="Z325" s="173"/>
    </row>
    <row r="326" spans="1:26" ht="13.5" thickBot="1" x14ac:dyDescent="0.25">
      <c r="A326" s="122"/>
      <c r="B326" s="155"/>
      <c r="C326" s="155"/>
      <c r="D326" s="155"/>
      <c r="E326" s="155"/>
      <c r="F326" s="155"/>
      <c r="G326" s="122"/>
      <c r="H326" s="122"/>
      <c r="I326" s="122"/>
      <c r="J326" s="122"/>
      <c r="K326" s="122"/>
      <c r="L326" s="122"/>
      <c r="M326" s="122"/>
      <c r="N326" s="122"/>
      <c r="O326" s="122"/>
      <c r="P326" s="122"/>
      <c r="Q326" s="122"/>
      <c r="R326" s="122"/>
      <c r="S326" s="122"/>
      <c r="T326" s="173"/>
      <c r="U326" s="173"/>
      <c r="V326" s="173"/>
      <c r="W326" s="173"/>
      <c r="X326" s="173"/>
      <c r="Y326" s="173"/>
      <c r="Z326" s="173"/>
    </row>
    <row r="327" spans="1:26" ht="13.5" thickTop="1" x14ac:dyDescent="0.2">
      <c r="A327" s="122"/>
      <c r="B327" s="155"/>
      <c r="C327" s="212" t="s">
        <v>249</v>
      </c>
      <c r="D327" s="212"/>
      <c r="E327" s="212"/>
      <c r="F327" s="130">
        <f>NPV($F$20,G325:O325)+F325</f>
        <v>1333.5120172496668</v>
      </c>
      <c r="G327" s="122"/>
      <c r="H327" s="122"/>
      <c r="I327" s="122"/>
      <c r="J327" s="122"/>
      <c r="K327" s="122"/>
      <c r="L327" s="122"/>
      <c r="M327" s="122"/>
      <c r="N327" s="122"/>
      <c r="O327" s="122"/>
      <c r="P327" s="122"/>
      <c r="Q327" s="122"/>
      <c r="R327" s="122"/>
      <c r="S327" s="122"/>
      <c r="T327" s="173"/>
      <c r="U327" s="173"/>
      <c r="V327" s="173"/>
      <c r="W327" s="173"/>
      <c r="X327" s="173"/>
      <c r="Y327" s="173"/>
      <c r="Z327" s="173"/>
    </row>
    <row r="328" spans="1:26" ht="13.5" thickBot="1" x14ac:dyDescent="0.25">
      <c r="A328" s="122"/>
      <c r="B328" s="155"/>
      <c r="C328" s="211" t="s">
        <v>390</v>
      </c>
      <c r="D328" s="211"/>
      <c r="E328" s="211"/>
      <c r="F328" s="131">
        <f>F327/$F$10*1000</f>
        <v>8464.5932287017076</v>
      </c>
      <c r="G328" s="122"/>
      <c r="H328" s="122"/>
      <c r="I328" s="122"/>
      <c r="J328" s="122"/>
      <c r="K328" s="122"/>
      <c r="L328" s="122"/>
      <c r="M328" s="122"/>
      <c r="N328" s="122"/>
      <c r="O328" s="122"/>
      <c r="P328" s="122"/>
      <c r="Q328" s="122"/>
      <c r="R328" s="122"/>
      <c r="S328" s="122"/>
      <c r="T328" s="173"/>
      <c r="U328" s="173"/>
      <c r="V328" s="173"/>
      <c r="W328" s="173"/>
      <c r="X328" s="173"/>
      <c r="Y328" s="173"/>
      <c r="Z328" s="173"/>
    </row>
    <row r="329" spans="1:26" ht="13.5" thickTop="1" x14ac:dyDescent="0.2">
      <c r="A329" s="122"/>
      <c r="B329" s="122"/>
      <c r="C329" s="122"/>
      <c r="D329" s="122"/>
      <c r="E329" s="122"/>
      <c r="F329" s="122"/>
      <c r="G329" s="122"/>
      <c r="H329" s="122"/>
      <c r="I329" s="122"/>
      <c r="J329" s="122"/>
      <c r="K329" s="122"/>
      <c r="L329" s="122"/>
      <c r="M329" s="122"/>
      <c r="N329" s="122"/>
      <c r="O329" s="122"/>
      <c r="P329" s="122"/>
      <c r="Q329" s="122"/>
      <c r="R329" s="122"/>
      <c r="S329" s="122"/>
      <c r="T329" s="173"/>
      <c r="U329" s="173"/>
      <c r="V329" s="173"/>
      <c r="W329" s="173"/>
      <c r="X329" s="173"/>
      <c r="Y329" s="173"/>
      <c r="Z329" s="173"/>
    </row>
    <row r="330" spans="1:26" ht="12.75" x14ac:dyDescent="0.2">
      <c r="A330" s="145" t="s">
        <v>705</v>
      </c>
      <c r="B330" s="119"/>
      <c r="C330" s="119"/>
      <c r="D330" s="161" t="s">
        <v>174</v>
      </c>
      <c r="E330" s="161"/>
      <c r="F330" s="162">
        <v>0</v>
      </c>
      <c r="G330" s="162">
        <v>1</v>
      </c>
      <c r="H330" s="162">
        <v>2</v>
      </c>
      <c r="I330" s="162">
        <v>3</v>
      </c>
      <c r="J330" s="162">
        <v>4</v>
      </c>
      <c r="K330" s="162">
        <v>5</v>
      </c>
      <c r="L330" s="162">
        <v>6</v>
      </c>
      <c r="M330" s="162">
        <v>7</v>
      </c>
      <c r="N330" s="162">
        <v>8</v>
      </c>
      <c r="O330" s="162">
        <v>9</v>
      </c>
      <c r="P330" s="119"/>
      <c r="Q330" s="119"/>
      <c r="R330" s="119"/>
      <c r="S330" s="119"/>
      <c r="T330" s="158"/>
      <c r="U330" s="158"/>
      <c r="V330" s="158"/>
      <c r="W330" s="158"/>
      <c r="X330" s="158"/>
      <c r="Y330" s="158"/>
      <c r="Z330" s="158"/>
    </row>
    <row r="331" spans="1:26" ht="12.75" x14ac:dyDescent="0.2">
      <c r="A331" s="122"/>
      <c r="B331" s="154" t="s">
        <v>244</v>
      </c>
      <c r="C331" s="155"/>
      <c r="D331" s="155"/>
      <c r="E331" s="155"/>
      <c r="F331" s="155"/>
      <c r="G331" s="155"/>
      <c r="H331" s="155"/>
      <c r="I331" s="155"/>
      <c r="J331" s="155"/>
      <c r="K331" s="155"/>
      <c r="L331" s="155"/>
      <c r="M331" s="155"/>
      <c r="N331" s="155"/>
      <c r="O331" s="155"/>
      <c r="P331" s="122"/>
      <c r="Q331" s="122"/>
      <c r="R331" s="122"/>
      <c r="S331" s="122"/>
      <c r="T331" s="173"/>
      <c r="U331" s="173"/>
      <c r="V331" s="173"/>
      <c r="W331" s="173"/>
      <c r="X331" s="173"/>
      <c r="Y331" s="173"/>
      <c r="Z331" s="173"/>
    </row>
    <row r="332" spans="1:26" ht="12.75" x14ac:dyDescent="0.2">
      <c r="A332" s="122"/>
      <c r="B332" s="900" t="s">
        <v>469</v>
      </c>
      <c r="C332" s="901"/>
      <c r="D332" s="901"/>
      <c r="E332" s="901"/>
      <c r="F332" s="122"/>
      <c r="G332" s="122"/>
      <c r="H332" s="122"/>
      <c r="I332" s="122"/>
      <c r="J332" s="122"/>
      <c r="K332" s="122"/>
      <c r="L332" s="122"/>
      <c r="M332" s="122"/>
      <c r="N332" s="122"/>
      <c r="O332" s="122"/>
      <c r="P332" s="122"/>
      <c r="Q332" s="122"/>
      <c r="R332" s="122"/>
      <c r="S332" s="122"/>
      <c r="T332" s="173"/>
      <c r="U332" s="173"/>
      <c r="V332" s="173"/>
      <c r="W332" s="173"/>
      <c r="X332" s="173"/>
      <c r="Y332" s="173"/>
      <c r="Z332" s="173"/>
    </row>
    <row r="333" spans="1:26" ht="12.75" x14ac:dyDescent="0.2">
      <c r="A333" s="122"/>
      <c r="B333" s="744" t="s">
        <v>229</v>
      </c>
      <c r="C333" s="180"/>
      <c r="D333" s="180"/>
      <c r="E333" s="180"/>
      <c r="F333" s="183"/>
      <c r="G333" s="180"/>
      <c r="H333" s="180"/>
      <c r="I333" s="180"/>
      <c r="J333" s="180"/>
      <c r="K333" s="180"/>
      <c r="L333" s="180"/>
      <c r="M333" s="180"/>
      <c r="N333" s="180"/>
      <c r="O333" s="180"/>
      <c r="P333" s="122"/>
      <c r="Q333" s="122"/>
      <c r="R333" s="122"/>
      <c r="S333" s="122"/>
      <c r="T333" s="173"/>
      <c r="U333" s="173"/>
      <c r="V333" s="173"/>
      <c r="W333" s="173"/>
      <c r="X333" s="173"/>
      <c r="Y333" s="173"/>
      <c r="Z333" s="173"/>
    </row>
    <row r="334" spans="1:26" ht="12.75" x14ac:dyDescent="0.2">
      <c r="A334" s="122"/>
      <c r="C334" s="192" t="s">
        <v>671</v>
      </c>
      <c r="D334" s="180"/>
      <c r="E334" s="307" t="s">
        <v>666</v>
      </c>
      <c r="F334" s="180"/>
      <c r="G334" s="180"/>
      <c r="H334" s="180"/>
      <c r="I334" s="180"/>
      <c r="J334" s="180"/>
      <c r="K334" s="180"/>
      <c r="L334" s="180"/>
      <c r="M334" s="180"/>
      <c r="N334" s="180"/>
      <c r="O334" s="180"/>
      <c r="P334" s="122"/>
      <c r="Q334" s="122"/>
      <c r="R334" s="122"/>
      <c r="S334" s="122"/>
      <c r="T334" s="173"/>
      <c r="U334" s="173"/>
      <c r="V334" s="173"/>
      <c r="W334" s="173"/>
      <c r="X334" s="173"/>
      <c r="Y334" s="173"/>
      <c r="Z334" s="173"/>
    </row>
    <row r="335" spans="1:26" ht="12.75" x14ac:dyDescent="0.2">
      <c r="A335" s="122"/>
      <c r="B335" s="180"/>
      <c r="C335" s="123" t="s">
        <v>464</v>
      </c>
      <c r="D335" s="180"/>
      <c r="E335" s="338">
        <f>CFs!$C$155</f>
        <v>0.85570586835540174</v>
      </c>
      <c r="F335" s="125">
        <f>F227*$E335</f>
        <v>3614.5015879332168</v>
      </c>
      <c r="G335" s="125">
        <f>G227*$E335</f>
        <v>3686.7916196918818</v>
      </c>
      <c r="H335" s="125">
        <f>H227*$E335</f>
        <v>3760.5274520857188</v>
      </c>
      <c r="I335" s="125">
        <f>I227*$E335</f>
        <v>3835.7380011274331</v>
      </c>
      <c r="J335" s="125">
        <f>J227*$E335</f>
        <v>3912.4527611499816</v>
      </c>
      <c r="K335" s="125">
        <f>K227*$E335</f>
        <v>3990.7018163729822</v>
      </c>
      <c r="L335" s="125">
        <f>L227*$E335</f>
        <v>4070.5158527004419</v>
      </c>
      <c r="M335" s="125">
        <f>M227*$E335</f>
        <v>4151.9261697544507</v>
      </c>
      <c r="N335" s="125">
        <f>N227*$E335</f>
        <v>4234.964693149539</v>
      </c>
      <c r="O335" s="125">
        <f>O227*$E335</f>
        <v>4278.529341777009</v>
      </c>
      <c r="P335" s="122"/>
      <c r="Q335" s="122"/>
      <c r="R335" s="122"/>
      <c r="S335" s="122"/>
      <c r="T335" s="173"/>
      <c r="U335" s="173"/>
      <c r="V335" s="173"/>
      <c r="W335" s="173"/>
      <c r="X335" s="173"/>
      <c r="Y335" s="173"/>
      <c r="Z335" s="173"/>
    </row>
    <row r="336" spans="1:26" ht="12.75" x14ac:dyDescent="0.2">
      <c r="A336" s="122"/>
      <c r="B336" s="180"/>
      <c r="C336" s="123" t="s">
        <v>231</v>
      </c>
      <c r="D336" s="180"/>
      <c r="E336" s="338">
        <f>E335</f>
        <v>0.85570586835540174</v>
      </c>
      <c r="F336" s="125">
        <f>F228*$E336</f>
        <v>903.6253969833042</v>
      </c>
      <c r="G336" s="125">
        <f>G228*$E336</f>
        <v>921.69790492297045</v>
      </c>
      <c r="H336" s="125">
        <f>H228*$E336</f>
        <v>940.13186302142969</v>
      </c>
      <c r="I336" s="125">
        <f>I228*$E336</f>
        <v>958.93450028185828</v>
      </c>
      <c r="J336" s="125">
        <f>J228*$E336</f>
        <v>978.1131902874954</v>
      </c>
      <c r="K336" s="125">
        <f>K228*$E336</f>
        <v>997.67545409324555</v>
      </c>
      <c r="L336" s="125">
        <f>L228*$E336</f>
        <v>1017.6289631751105</v>
      </c>
      <c r="M336" s="125">
        <f>M228*$E336</f>
        <v>1037.9815424386127</v>
      </c>
      <c r="N336" s="125">
        <f>N228*$E336</f>
        <v>1058.7411732873848</v>
      </c>
      <c r="O336" s="125">
        <f>O228*$E336</f>
        <v>1069.6323354442522</v>
      </c>
      <c r="P336" s="122"/>
      <c r="Q336" s="122"/>
      <c r="R336" s="122"/>
      <c r="S336" s="122"/>
      <c r="T336" s="173"/>
      <c r="U336" s="173"/>
      <c r="V336" s="173"/>
      <c r="W336" s="173"/>
      <c r="X336" s="173"/>
      <c r="Y336" s="173"/>
      <c r="Z336" s="173"/>
    </row>
    <row r="337" spans="1:26" ht="12.75" x14ac:dyDescent="0.2">
      <c r="A337" s="122"/>
      <c r="B337" s="180"/>
      <c r="C337" s="182" t="s">
        <v>470</v>
      </c>
      <c r="D337" s="182"/>
      <c r="E337" s="182"/>
      <c r="F337" s="193">
        <f t="shared" ref="F337:O337" si="71">F335-F336</f>
        <v>2710.8761909499126</v>
      </c>
      <c r="G337" s="193">
        <f t="shared" si="71"/>
        <v>2765.0937147689115</v>
      </c>
      <c r="H337" s="193">
        <f t="shared" si="71"/>
        <v>2820.3955890642892</v>
      </c>
      <c r="I337" s="193">
        <f t="shared" si="71"/>
        <v>2876.8035008455749</v>
      </c>
      <c r="J337" s="193">
        <f t="shared" si="71"/>
        <v>2934.3395708624862</v>
      </c>
      <c r="K337" s="193">
        <f t="shared" si="71"/>
        <v>2993.0263622797365</v>
      </c>
      <c r="L337" s="193">
        <f t="shared" si="71"/>
        <v>3052.8868895253313</v>
      </c>
      <c r="M337" s="193">
        <f t="shared" si="71"/>
        <v>3113.9446273158383</v>
      </c>
      <c r="N337" s="193">
        <f t="shared" si="71"/>
        <v>3176.2235198621543</v>
      </c>
      <c r="O337" s="193">
        <f t="shared" si="71"/>
        <v>3208.897006332757</v>
      </c>
      <c r="P337" s="122"/>
      <c r="Q337" s="122"/>
      <c r="R337" s="122"/>
      <c r="S337" s="122"/>
      <c r="T337" s="173"/>
      <c r="U337" s="173"/>
      <c r="V337" s="173"/>
      <c r="W337" s="173"/>
      <c r="X337" s="173"/>
      <c r="Y337" s="173"/>
      <c r="Z337" s="173"/>
    </row>
    <row r="338" spans="1:26" ht="12.75" x14ac:dyDescent="0.2">
      <c r="A338" s="122"/>
      <c r="B338" s="180"/>
      <c r="C338" s="123"/>
      <c r="D338" s="180"/>
      <c r="E338" s="180"/>
      <c r="F338" s="194"/>
      <c r="G338" s="194"/>
      <c r="H338" s="194"/>
      <c r="I338" s="194"/>
      <c r="J338" s="194"/>
      <c r="K338" s="194"/>
      <c r="L338" s="194"/>
      <c r="M338" s="194"/>
      <c r="N338" s="194"/>
      <c r="O338" s="194"/>
      <c r="P338" s="122"/>
      <c r="Q338" s="122"/>
      <c r="R338" s="122"/>
      <c r="S338" s="122"/>
      <c r="T338" s="173"/>
      <c r="U338" s="173"/>
      <c r="V338" s="173"/>
      <c r="W338" s="173"/>
      <c r="X338" s="173"/>
      <c r="Y338" s="173"/>
      <c r="Z338" s="173"/>
    </row>
    <row r="339" spans="1:26" ht="12.75" x14ac:dyDescent="0.2">
      <c r="A339" s="122"/>
      <c r="B339" s="180"/>
      <c r="C339" s="181" t="s">
        <v>266</v>
      </c>
      <c r="D339" s="180"/>
      <c r="E339" s="180"/>
      <c r="F339" s="194"/>
      <c r="G339" s="194"/>
      <c r="H339" s="194"/>
      <c r="I339" s="194"/>
      <c r="J339" s="194"/>
      <c r="K339" s="194"/>
      <c r="L339" s="194"/>
      <c r="M339" s="194"/>
      <c r="N339" s="194"/>
      <c r="O339" s="194"/>
      <c r="P339" s="122"/>
      <c r="Q339" s="122"/>
      <c r="R339" s="122"/>
      <c r="S339" s="122"/>
      <c r="T339" s="173"/>
      <c r="U339" s="173"/>
      <c r="V339" s="173"/>
      <c r="W339" s="173"/>
      <c r="X339" s="173"/>
      <c r="Y339" s="173"/>
      <c r="Z339" s="173"/>
    </row>
    <row r="340" spans="1:26" ht="12.75" x14ac:dyDescent="0.2">
      <c r="A340" s="122"/>
      <c r="B340" s="180"/>
      <c r="C340" s="180" t="s">
        <v>267</v>
      </c>
      <c r="D340" s="180"/>
      <c r="E340" s="338">
        <v>0</v>
      </c>
      <c r="F340" s="125">
        <f>F232*$E340</f>
        <v>0</v>
      </c>
      <c r="G340" s="125">
        <f>G232*$E340</f>
        <v>0</v>
      </c>
      <c r="H340" s="125">
        <f>H232*$E340</f>
        <v>0</v>
      </c>
      <c r="I340" s="125">
        <f>I232*$E340</f>
        <v>0</v>
      </c>
      <c r="J340" s="125">
        <f>J232*$E340</f>
        <v>0</v>
      </c>
      <c r="K340" s="125">
        <f>K232*$E340</f>
        <v>0</v>
      </c>
      <c r="L340" s="125">
        <f>L232*$E340</f>
        <v>0</v>
      </c>
      <c r="M340" s="125">
        <f>M232*$E340</f>
        <v>0</v>
      </c>
      <c r="N340" s="125">
        <f>N232*$E340</f>
        <v>0</v>
      </c>
      <c r="O340" s="125">
        <f>O232*$E340</f>
        <v>0</v>
      </c>
      <c r="P340" s="122"/>
      <c r="Q340" s="122"/>
      <c r="R340" s="122"/>
      <c r="S340" s="122"/>
      <c r="T340" s="173"/>
      <c r="U340" s="173"/>
      <c r="V340" s="173"/>
      <c r="W340" s="173"/>
      <c r="X340" s="173"/>
      <c r="Y340" s="173"/>
      <c r="Z340" s="173"/>
    </row>
    <row r="341" spans="1:26" ht="12.75" x14ac:dyDescent="0.2">
      <c r="A341" s="122"/>
      <c r="B341" s="180"/>
      <c r="C341" s="182" t="s">
        <v>247</v>
      </c>
      <c r="D341" s="182"/>
      <c r="E341" s="182"/>
      <c r="F341" s="127">
        <f>SUM(F340:F340)</f>
        <v>0</v>
      </c>
      <c r="G341" s="127">
        <f t="shared" ref="G341:O341" si="72">SUM(G340:G340)</f>
        <v>0</v>
      </c>
      <c r="H341" s="127">
        <f t="shared" si="72"/>
        <v>0</v>
      </c>
      <c r="I341" s="127">
        <f t="shared" si="72"/>
        <v>0</v>
      </c>
      <c r="J341" s="127">
        <f t="shared" si="72"/>
        <v>0</v>
      </c>
      <c r="K341" s="127">
        <f t="shared" si="72"/>
        <v>0</v>
      </c>
      <c r="L341" s="127">
        <f t="shared" si="72"/>
        <v>0</v>
      </c>
      <c r="M341" s="127">
        <f t="shared" si="72"/>
        <v>0</v>
      </c>
      <c r="N341" s="127">
        <f t="shared" si="72"/>
        <v>0</v>
      </c>
      <c r="O341" s="127">
        <f t="shared" si="72"/>
        <v>0</v>
      </c>
      <c r="P341" s="122"/>
      <c r="Q341" s="122"/>
      <c r="R341" s="122"/>
      <c r="S341" s="122"/>
      <c r="T341" s="173"/>
      <c r="U341" s="173"/>
      <c r="V341" s="173"/>
      <c r="W341" s="173"/>
      <c r="X341" s="173"/>
      <c r="Y341" s="173"/>
      <c r="Z341" s="173"/>
    </row>
    <row r="342" spans="1:26" ht="12.75" x14ac:dyDescent="0.2">
      <c r="A342" s="122"/>
      <c r="B342" s="180"/>
      <c r="C342" s="123"/>
      <c r="D342" s="180"/>
      <c r="E342" s="180"/>
      <c r="F342" s="194"/>
      <c r="G342" s="194"/>
      <c r="H342" s="194"/>
      <c r="I342" s="194"/>
      <c r="J342" s="194"/>
      <c r="K342" s="194"/>
      <c r="L342" s="194"/>
      <c r="M342" s="194"/>
      <c r="N342" s="194"/>
      <c r="O342" s="194"/>
      <c r="P342" s="122"/>
      <c r="Q342" s="122"/>
      <c r="R342" s="122"/>
      <c r="S342" s="122"/>
      <c r="T342" s="173"/>
      <c r="U342" s="173"/>
      <c r="V342" s="173"/>
      <c r="W342" s="173"/>
      <c r="X342" s="173"/>
      <c r="Y342" s="173"/>
      <c r="Z342" s="173"/>
    </row>
    <row r="343" spans="1:26" ht="12.75" x14ac:dyDescent="0.2">
      <c r="A343" s="122"/>
      <c r="B343" s="180"/>
      <c r="C343" s="195" t="s">
        <v>675</v>
      </c>
      <c r="D343" s="195"/>
      <c r="E343" s="195"/>
      <c r="F343" s="196">
        <f t="shared" ref="F343:O343" si="73">F337+F341</f>
        <v>2710.8761909499126</v>
      </c>
      <c r="G343" s="196">
        <f t="shared" si="73"/>
        <v>2765.0937147689115</v>
      </c>
      <c r="H343" s="196">
        <f t="shared" si="73"/>
        <v>2820.3955890642892</v>
      </c>
      <c r="I343" s="196">
        <f t="shared" si="73"/>
        <v>2876.8035008455749</v>
      </c>
      <c r="J343" s="196">
        <f t="shared" si="73"/>
        <v>2934.3395708624862</v>
      </c>
      <c r="K343" s="196">
        <f t="shared" si="73"/>
        <v>2993.0263622797365</v>
      </c>
      <c r="L343" s="196">
        <f t="shared" si="73"/>
        <v>3052.8868895253313</v>
      </c>
      <c r="M343" s="196">
        <f t="shared" si="73"/>
        <v>3113.9446273158383</v>
      </c>
      <c r="N343" s="196">
        <f t="shared" si="73"/>
        <v>3176.2235198621543</v>
      </c>
      <c r="O343" s="196">
        <f t="shared" si="73"/>
        <v>3208.897006332757</v>
      </c>
      <c r="P343" s="122"/>
      <c r="Q343" s="122"/>
      <c r="R343" s="122"/>
      <c r="S343" s="122"/>
      <c r="T343" s="173"/>
      <c r="U343" s="173"/>
      <c r="V343" s="173"/>
      <c r="W343" s="173"/>
      <c r="X343" s="173"/>
      <c r="Y343" s="173"/>
      <c r="Z343" s="173"/>
    </row>
    <row r="344" spans="1:26" ht="12.75" x14ac:dyDescent="0.2">
      <c r="A344" s="122"/>
      <c r="B344" s="180"/>
      <c r="C344" s="180"/>
      <c r="D344" s="180"/>
      <c r="E344" s="180"/>
      <c r="F344" s="180"/>
      <c r="G344" s="180"/>
      <c r="H344" s="180"/>
      <c r="I344" s="180"/>
      <c r="J344" s="180"/>
      <c r="K344" s="180"/>
      <c r="L344" s="180"/>
      <c r="M344" s="180"/>
      <c r="N344" s="180"/>
      <c r="O344" s="180"/>
      <c r="P344" s="122"/>
      <c r="Q344" s="122"/>
      <c r="R344" s="122"/>
      <c r="S344" s="122"/>
      <c r="T344" s="173"/>
      <c r="U344" s="173"/>
      <c r="V344" s="173"/>
      <c r="W344" s="173"/>
      <c r="X344" s="173"/>
      <c r="Y344" s="173"/>
      <c r="Z344" s="173"/>
    </row>
    <row r="345" spans="1:26" ht="12.75" x14ac:dyDescent="0.2">
      <c r="A345" s="122"/>
      <c r="C345" s="192" t="s">
        <v>670</v>
      </c>
      <c r="D345" s="180"/>
      <c r="E345" s="180"/>
      <c r="F345" s="180"/>
      <c r="G345" s="180"/>
      <c r="H345" s="180"/>
      <c r="I345" s="180"/>
      <c r="J345" s="180"/>
      <c r="K345" s="180"/>
      <c r="L345" s="180"/>
      <c r="M345" s="180"/>
      <c r="N345" s="180"/>
      <c r="O345" s="180"/>
      <c r="P345" s="122"/>
      <c r="Q345" s="122"/>
      <c r="R345" s="122"/>
      <c r="S345" s="122"/>
      <c r="T345" s="173"/>
      <c r="U345" s="173"/>
      <c r="V345" s="173"/>
      <c r="W345" s="173"/>
      <c r="X345" s="173"/>
      <c r="Y345" s="173"/>
      <c r="Z345" s="173"/>
    </row>
    <row r="346" spans="1:26" ht="12.75" x14ac:dyDescent="0.2">
      <c r="A346" s="122"/>
      <c r="B346" s="192"/>
      <c r="C346" s="181" t="s">
        <v>144</v>
      </c>
      <c r="D346" s="180"/>
      <c r="E346" s="180"/>
      <c r="F346" s="180"/>
      <c r="G346" s="180"/>
      <c r="H346" s="180"/>
      <c r="I346" s="180"/>
      <c r="J346" s="180"/>
      <c r="K346" s="180"/>
      <c r="L346" s="180"/>
      <c r="M346" s="180"/>
      <c r="N346" s="180"/>
      <c r="O346" s="180"/>
      <c r="P346" s="122"/>
      <c r="Q346" s="122"/>
      <c r="R346" s="122"/>
      <c r="S346" s="122"/>
      <c r="T346" s="173"/>
      <c r="U346" s="173"/>
      <c r="V346" s="173"/>
      <c r="W346" s="173"/>
      <c r="X346" s="173"/>
      <c r="Y346" s="173"/>
      <c r="Z346" s="173"/>
    </row>
    <row r="347" spans="1:26" ht="12.75" x14ac:dyDescent="0.2">
      <c r="A347" s="122"/>
      <c r="B347" s="192"/>
      <c r="C347" s="180" t="s">
        <v>245</v>
      </c>
      <c r="D347" s="180"/>
      <c r="E347" s="338">
        <v>0</v>
      </c>
      <c r="F347" s="125">
        <f t="shared" ref="F347:O347" si="74">$J$88*(1+$J$89)/1000*$J$39</f>
        <v>0</v>
      </c>
      <c r="G347" s="125">
        <f t="shared" si="74"/>
        <v>0</v>
      </c>
      <c r="H347" s="125">
        <f t="shared" si="74"/>
        <v>0</v>
      </c>
      <c r="I347" s="125">
        <f t="shared" si="74"/>
        <v>0</v>
      </c>
      <c r="J347" s="125">
        <f t="shared" si="74"/>
        <v>0</v>
      </c>
      <c r="K347" s="125">
        <f t="shared" si="74"/>
        <v>0</v>
      </c>
      <c r="L347" s="125">
        <f t="shared" si="74"/>
        <v>0</v>
      </c>
      <c r="M347" s="125">
        <f t="shared" si="74"/>
        <v>0</v>
      </c>
      <c r="N347" s="125">
        <f t="shared" si="74"/>
        <v>0</v>
      </c>
      <c r="O347" s="125">
        <f t="shared" si="74"/>
        <v>0</v>
      </c>
      <c r="P347" s="122"/>
      <c r="Q347" s="197"/>
      <c r="R347" s="122"/>
      <c r="S347" s="122"/>
      <c r="T347" s="173"/>
      <c r="U347" s="173"/>
      <c r="V347" s="173"/>
      <c r="W347" s="173"/>
      <c r="X347" s="173"/>
      <c r="Y347" s="173"/>
      <c r="Z347" s="173"/>
    </row>
    <row r="348" spans="1:26" ht="12.75" x14ac:dyDescent="0.2">
      <c r="A348" s="122"/>
      <c r="B348" s="192"/>
      <c r="C348" s="182" t="s">
        <v>245</v>
      </c>
      <c r="D348" s="182"/>
      <c r="E348" s="182"/>
      <c r="F348" s="129">
        <f t="shared" ref="F348:O348" si="75">F347</f>
        <v>0</v>
      </c>
      <c r="G348" s="129">
        <f t="shared" si="75"/>
        <v>0</v>
      </c>
      <c r="H348" s="129">
        <f t="shared" si="75"/>
        <v>0</v>
      </c>
      <c r="I348" s="129">
        <f t="shared" si="75"/>
        <v>0</v>
      </c>
      <c r="J348" s="129">
        <f t="shared" si="75"/>
        <v>0</v>
      </c>
      <c r="K348" s="129">
        <f t="shared" si="75"/>
        <v>0</v>
      </c>
      <c r="L348" s="129">
        <f t="shared" si="75"/>
        <v>0</v>
      </c>
      <c r="M348" s="129">
        <f t="shared" si="75"/>
        <v>0</v>
      </c>
      <c r="N348" s="129">
        <f t="shared" si="75"/>
        <v>0</v>
      </c>
      <c r="O348" s="129">
        <f t="shared" si="75"/>
        <v>0</v>
      </c>
      <c r="P348" s="122"/>
      <c r="Q348" s="197"/>
      <c r="R348" s="122"/>
      <c r="S348" s="122"/>
      <c r="T348" s="173"/>
      <c r="U348" s="173"/>
      <c r="V348" s="173"/>
      <c r="W348" s="173"/>
      <c r="X348" s="173"/>
      <c r="Y348" s="173"/>
      <c r="Z348" s="173"/>
    </row>
    <row r="349" spans="1:26" ht="12.75" x14ac:dyDescent="0.2">
      <c r="A349" s="122"/>
      <c r="B349" s="192"/>
      <c r="C349" s="192"/>
      <c r="D349" s="180"/>
      <c r="E349" s="180"/>
      <c r="F349" s="180"/>
      <c r="G349" s="180"/>
      <c r="H349" s="180"/>
      <c r="I349" s="180"/>
      <c r="J349" s="180"/>
      <c r="K349" s="180"/>
      <c r="L349" s="180"/>
      <c r="M349" s="180"/>
      <c r="N349" s="180"/>
      <c r="O349" s="180"/>
      <c r="P349" s="122"/>
      <c r="Q349" s="122"/>
      <c r="R349" s="122"/>
      <c r="S349" s="122"/>
      <c r="T349" s="173"/>
      <c r="U349" s="173"/>
      <c r="V349" s="173"/>
      <c r="W349" s="173"/>
      <c r="X349" s="173"/>
      <c r="Y349" s="173"/>
      <c r="Z349" s="173"/>
    </row>
    <row r="350" spans="1:26" ht="12.75" x14ac:dyDescent="0.2">
      <c r="A350" s="122"/>
      <c r="B350" s="180"/>
      <c r="C350" s="181" t="s">
        <v>218</v>
      </c>
      <c r="D350" s="180"/>
      <c r="E350" s="180"/>
      <c r="F350" s="180"/>
      <c r="G350" s="180"/>
      <c r="H350" s="180"/>
      <c r="I350" s="180"/>
      <c r="J350" s="180"/>
      <c r="K350" s="180"/>
      <c r="L350" s="180"/>
      <c r="M350" s="180"/>
      <c r="N350" s="180"/>
      <c r="O350" s="180"/>
      <c r="P350" s="122"/>
      <c r="Q350" s="122"/>
      <c r="R350" s="122"/>
      <c r="S350" s="122"/>
      <c r="T350" s="173"/>
      <c r="U350" s="173"/>
      <c r="V350" s="173"/>
      <c r="W350" s="173"/>
      <c r="X350" s="173"/>
      <c r="Y350" s="173"/>
      <c r="Z350" s="173"/>
    </row>
    <row r="351" spans="1:26" ht="12.75" x14ac:dyDescent="0.2">
      <c r="A351" s="122"/>
      <c r="B351" s="180"/>
      <c r="C351" s="123" t="s">
        <v>447</v>
      </c>
      <c r="D351" s="180"/>
      <c r="E351" s="338">
        <v>1</v>
      </c>
      <c r="F351" s="125">
        <f>F243*$E351</f>
        <v>48.29999999999999</v>
      </c>
      <c r="G351" s="125">
        <f>G243*$E351</f>
        <v>48.29999999999999</v>
      </c>
      <c r="H351" s="125">
        <f>H243*$E351</f>
        <v>48.29999999999999</v>
      </c>
      <c r="I351" s="125">
        <f>I243*$E351</f>
        <v>48.29999999999999</v>
      </c>
      <c r="J351" s="125">
        <f>J243*$E351</f>
        <v>48.29999999999999</v>
      </c>
      <c r="K351" s="125">
        <f>K243*$E351</f>
        <v>48.29999999999999</v>
      </c>
      <c r="L351" s="125">
        <f>L243*$E351</f>
        <v>48.3</v>
      </c>
      <c r="M351" s="125">
        <f>M243*$E351</f>
        <v>48.29999999999999</v>
      </c>
      <c r="N351" s="125">
        <f>N243*$E351</f>
        <v>48.299999999999983</v>
      </c>
      <c r="O351" s="125">
        <f>O243*$E351</f>
        <v>48.3</v>
      </c>
      <c r="P351" s="122"/>
      <c r="Q351" s="122"/>
      <c r="R351" s="122"/>
      <c r="S351" s="122"/>
      <c r="T351" s="173"/>
      <c r="U351" s="173"/>
      <c r="V351" s="173"/>
      <c r="W351" s="173"/>
      <c r="X351" s="173"/>
      <c r="Y351" s="173"/>
      <c r="Z351" s="173"/>
    </row>
    <row r="352" spans="1:26" ht="12.75" x14ac:dyDescent="0.2">
      <c r="A352" s="122"/>
      <c r="B352" s="180"/>
      <c r="C352" s="123" t="s">
        <v>448</v>
      </c>
      <c r="D352" s="180"/>
      <c r="E352" s="338">
        <v>1</v>
      </c>
      <c r="F352" s="125">
        <f>F244*$E352</f>
        <v>72</v>
      </c>
      <c r="G352" s="125">
        <f>G244*$E352</f>
        <v>73.44</v>
      </c>
      <c r="H352" s="125">
        <f>H244*$E352</f>
        <v>74.908799999999999</v>
      </c>
      <c r="I352" s="125">
        <f>I244*$E352</f>
        <v>76.406976</v>
      </c>
      <c r="J352" s="125">
        <f>J244*$E352</f>
        <v>77.935115519999982</v>
      </c>
      <c r="K352" s="125">
        <f>K244*$E352</f>
        <v>79.49381783039999</v>
      </c>
      <c r="L352" s="125">
        <f>L244*$E352</f>
        <v>81.083694187008007</v>
      </c>
      <c r="M352" s="125">
        <f>M244*$E352</f>
        <v>82.705368070748179</v>
      </c>
      <c r="N352" s="125">
        <f>N244*$E352</f>
        <v>84.359475432163137</v>
      </c>
      <c r="O352" s="125">
        <f>O244*$E352</f>
        <v>85.22727272727272</v>
      </c>
      <c r="P352" s="122"/>
      <c r="Q352" s="122"/>
      <c r="R352" s="122"/>
      <c r="S352" s="122"/>
      <c r="T352" s="173"/>
      <c r="U352" s="173"/>
      <c r="V352" s="173"/>
      <c r="W352" s="173"/>
      <c r="X352" s="173"/>
      <c r="Y352" s="173"/>
      <c r="Z352" s="173"/>
    </row>
    <row r="353" spans="1:26" ht="12.75" x14ac:dyDescent="0.2">
      <c r="A353" s="122"/>
      <c r="B353" s="180"/>
      <c r="C353" s="123" t="s">
        <v>449</v>
      </c>
      <c r="D353" s="180"/>
      <c r="E353" s="338">
        <v>1</v>
      </c>
      <c r="F353" s="125">
        <f>F245*$E353</f>
        <v>9.1999999999999993</v>
      </c>
      <c r="G353" s="125">
        <f>G245*$E353</f>
        <v>9.2000000000000011</v>
      </c>
      <c r="H353" s="125">
        <f>H245*$E353</f>
        <v>9.1999999999999993</v>
      </c>
      <c r="I353" s="125">
        <f>I245*$E353</f>
        <v>9.1999999999999993</v>
      </c>
      <c r="J353" s="125">
        <f>J245*$E353</f>
        <v>9.1999999999999993</v>
      </c>
      <c r="K353" s="125">
        <f>K245*$E353</f>
        <v>9.1999999999999993</v>
      </c>
      <c r="L353" s="125">
        <f>L245*$E353</f>
        <v>9.2000000000000011</v>
      </c>
      <c r="M353" s="125">
        <f>M245*$E353</f>
        <v>9.2000000000000011</v>
      </c>
      <c r="N353" s="125">
        <f>N245*$E353</f>
        <v>9.1999999999999975</v>
      </c>
      <c r="O353" s="125">
        <f>O245*$E353</f>
        <v>9.1999999999999993</v>
      </c>
      <c r="P353" s="122"/>
      <c r="Q353" s="122"/>
      <c r="R353" s="122"/>
      <c r="S353" s="122"/>
      <c r="T353" s="173"/>
      <c r="U353" s="173"/>
      <c r="V353" s="173"/>
      <c r="W353" s="173"/>
      <c r="X353" s="173"/>
      <c r="Y353" s="173"/>
      <c r="Z353" s="173"/>
    </row>
    <row r="354" spans="1:26" ht="12.75" x14ac:dyDescent="0.2">
      <c r="A354" s="122"/>
      <c r="B354" s="180"/>
      <c r="C354" s="123" t="s">
        <v>450</v>
      </c>
      <c r="D354" s="180"/>
      <c r="E354" s="338">
        <v>1</v>
      </c>
      <c r="F354" s="125">
        <f>F246*$E354</f>
        <v>106.348</v>
      </c>
      <c r="G354" s="125">
        <f>G246*$E354</f>
        <v>106.34800000000001</v>
      </c>
      <c r="H354" s="125">
        <f>H246*$E354</f>
        <v>106.348</v>
      </c>
      <c r="I354" s="125">
        <f>I246*$E354</f>
        <v>106.348</v>
      </c>
      <c r="J354" s="125">
        <f>J246*$E354</f>
        <v>106.348</v>
      </c>
      <c r="K354" s="125">
        <f>K246*$E354</f>
        <v>106.348</v>
      </c>
      <c r="L354" s="125">
        <f>L246*$E354</f>
        <v>106.348</v>
      </c>
      <c r="M354" s="125">
        <f>M246*$E354</f>
        <v>106.34799999999998</v>
      </c>
      <c r="N354" s="125">
        <f>N246*$E354</f>
        <v>106.348</v>
      </c>
      <c r="O354" s="125">
        <f>O246*$E354</f>
        <v>106.348</v>
      </c>
      <c r="P354" s="122"/>
      <c r="Q354" s="122"/>
      <c r="R354" s="122"/>
      <c r="S354" s="122"/>
      <c r="T354" s="173"/>
      <c r="U354" s="173"/>
      <c r="V354" s="173"/>
      <c r="W354" s="173"/>
      <c r="X354" s="173"/>
      <c r="Y354" s="173"/>
      <c r="Z354" s="173"/>
    </row>
    <row r="355" spans="1:26" ht="12.75" x14ac:dyDescent="0.2">
      <c r="A355" s="122"/>
      <c r="B355" s="180"/>
      <c r="C355" s="152" t="s">
        <v>451</v>
      </c>
      <c r="D355" s="180"/>
      <c r="E355" s="338">
        <v>1</v>
      </c>
      <c r="F355" s="125">
        <f>F247*$E355</f>
        <v>27.995999999999999</v>
      </c>
      <c r="G355" s="125">
        <f>G247*$E355</f>
        <v>27.995999999999999</v>
      </c>
      <c r="H355" s="125">
        <f>H247*$E355</f>
        <v>27.995999999999999</v>
      </c>
      <c r="I355" s="125">
        <f>I247*$E355</f>
        <v>27.996000000000002</v>
      </c>
      <c r="J355" s="125">
        <f>J247*$E355</f>
        <v>27.996000000000002</v>
      </c>
      <c r="K355" s="125">
        <f>K247*$E355</f>
        <v>27.995999999999999</v>
      </c>
      <c r="L355" s="125">
        <f>L247*$E355</f>
        <v>27.996000000000002</v>
      </c>
      <c r="M355" s="125">
        <f>M247*$E355</f>
        <v>27.995999999999999</v>
      </c>
      <c r="N355" s="125">
        <f>N247*$E355</f>
        <v>27.996000000000002</v>
      </c>
      <c r="O355" s="125">
        <f>O247*$E355</f>
        <v>27.995999999999999</v>
      </c>
      <c r="P355" s="122"/>
      <c r="Q355" s="122"/>
      <c r="R355" s="122"/>
      <c r="S355" s="122"/>
      <c r="T355" s="173"/>
      <c r="U355" s="173"/>
      <c r="V355" s="173"/>
      <c r="W355" s="173"/>
      <c r="X355" s="173"/>
      <c r="Y355" s="173"/>
      <c r="Z355" s="173"/>
    </row>
    <row r="356" spans="1:26" ht="12.75" x14ac:dyDescent="0.2">
      <c r="A356" s="122"/>
      <c r="B356" s="180"/>
      <c r="C356" s="152" t="s">
        <v>452</v>
      </c>
      <c r="D356" s="180"/>
      <c r="E356" s="338">
        <v>1</v>
      </c>
      <c r="F356" s="125">
        <f>F248*$E356</f>
        <v>35.207999999999998</v>
      </c>
      <c r="G356" s="125">
        <f>G248*$E356</f>
        <v>35.208000000000006</v>
      </c>
      <c r="H356" s="125">
        <f>H248*$E356</f>
        <v>35.208000000000006</v>
      </c>
      <c r="I356" s="125">
        <f>I248*$E356</f>
        <v>35.208000000000006</v>
      </c>
      <c r="J356" s="125">
        <f>J248*$E356</f>
        <v>35.207999999999998</v>
      </c>
      <c r="K356" s="125">
        <f>K248*$E356</f>
        <v>35.208000000000006</v>
      </c>
      <c r="L356" s="125">
        <f>L248*$E356</f>
        <v>35.208000000000006</v>
      </c>
      <c r="M356" s="125">
        <f>M248*$E356</f>
        <v>35.208000000000006</v>
      </c>
      <c r="N356" s="125">
        <f>N248*$E356</f>
        <v>35.207999999999998</v>
      </c>
      <c r="O356" s="125">
        <f>O248*$E356</f>
        <v>35.207999999999998</v>
      </c>
      <c r="P356" s="122"/>
      <c r="Q356" s="122"/>
      <c r="R356" s="122"/>
      <c r="S356" s="122"/>
      <c r="T356" s="173"/>
      <c r="U356" s="173"/>
      <c r="V356" s="173"/>
      <c r="W356" s="173"/>
      <c r="X356" s="173"/>
      <c r="Y356" s="173"/>
      <c r="Z356" s="173"/>
    </row>
    <row r="357" spans="1:26" ht="12.75" x14ac:dyDescent="0.2">
      <c r="A357" s="122"/>
      <c r="B357" s="180"/>
      <c r="C357" s="152" t="s">
        <v>276</v>
      </c>
      <c r="D357" s="180"/>
      <c r="E357" s="338">
        <v>1</v>
      </c>
      <c r="F357" s="125">
        <f>F249*$E357</f>
        <v>0</v>
      </c>
      <c r="G357" s="125">
        <f>G249*$E357</f>
        <v>0</v>
      </c>
      <c r="H357" s="125">
        <f>H249*$E357</f>
        <v>0</v>
      </c>
      <c r="I357" s="125">
        <f>I249*$E357</f>
        <v>0</v>
      </c>
      <c r="J357" s="125">
        <f>J249*$E357</f>
        <v>0</v>
      </c>
      <c r="K357" s="125">
        <f>K249*$E357</f>
        <v>0</v>
      </c>
      <c r="L357" s="125">
        <f>L249*$E357</f>
        <v>0</v>
      </c>
      <c r="M357" s="125">
        <f>M249*$E357</f>
        <v>0</v>
      </c>
      <c r="N357" s="125">
        <f>N249*$E357</f>
        <v>0</v>
      </c>
      <c r="O357" s="125">
        <f>O249*$E357</f>
        <v>0</v>
      </c>
      <c r="P357" s="122"/>
      <c r="Q357" s="122"/>
      <c r="R357" s="122"/>
      <c r="S357" s="122"/>
      <c r="T357" s="173"/>
      <c r="U357" s="173"/>
      <c r="V357" s="173"/>
      <c r="W357" s="173"/>
      <c r="X357" s="173"/>
      <c r="Y357" s="173"/>
      <c r="Z357" s="173"/>
    </row>
    <row r="358" spans="1:26" ht="12.75" x14ac:dyDescent="0.2">
      <c r="A358" s="122"/>
      <c r="B358" s="180"/>
      <c r="C358" s="198" t="s">
        <v>207</v>
      </c>
      <c r="D358" s="182"/>
      <c r="E358" s="182"/>
      <c r="F358" s="193">
        <f>SUM(F351:F357)</f>
        <v>299.05199999999991</v>
      </c>
      <c r="G358" s="193">
        <f t="shared" ref="G358:O358" si="76">SUM(G351:G357)</f>
        <v>300.49200000000002</v>
      </c>
      <c r="H358" s="193">
        <f t="shared" si="76"/>
        <v>301.96080000000001</v>
      </c>
      <c r="I358" s="193">
        <f t="shared" si="76"/>
        <v>303.45897600000001</v>
      </c>
      <c r="J358" s="193">
        <f t="shared" si="76"/>
        <v>304.98711551999997</v>
      </c>
      <c r="K358" s="193">
        <f t="shared" si="76"/>
        <v>306.54581783039998</v>
      </c>
      <c r="L358" s="193">
        <f t="shared" si="76"/>
        <v>308.13569418700803</v>
      </c>
      <c r="M358" s="193">
        <f t="shared" si="76"/>
        <v>309.75736807074816</v>
      </c>
      <c r="N358" s="193">
        <f t="shared" si="76"/>
        <v>311.41147543216312</v>
      </c>
      <c r="O358" s="193">
        <f t="shared" si="76"/>
        <v>312.27927272727266</v>
      </c>
      <c r="P358" s="122"/>
      <c r="Q358" s="122"/>
      <c r="R358" s="122"/>
      <c r="S358" s="122"/>
      <c r="T358" s="173"/>
      <c r="U358" s="173"/>
      <c r="V358" s="173"/>
      <c r="W358" s="173"/>
      <c r="X358" s="173"/>
      <c r="Y358" s="173"/>
      <c r="Z358" s="173"/>
    </row>
    <row r="359" spans="1:26" ht="12.75" x14ac:dyDescent="0.2">
      <c r="A359" s="122"/>
      <c r="B359" s="180"/>
      <c r="C359" s="155"/>
      <c r="D359" s="180"/>
      <c r="E359" s="180"/>
      <c r="F359" s="180"/>
      <c r="G359" s="180"/>
      <c r="H359" s="180"/>
      <c r="I359" s="180"/>
      <c r="J359" s="180"/>
      <c r="K359" s="180"/>
      <c r="L359" s="180"/>
      <c r="M359" s="180"/>
      <c r="N359" s="180"/>
      <c r="O359" s="180"/>
      <c r="P359" s="122"/>
      <c r="Q359" s="122"/>
      <c r="R359" s="122"/>
      <c r="S359" s="122"/>
      <c r="T359" s="173"/>
      <c r="U359" s="173"/>
      <c r="V359" s="173"/>
      <c r="W359" s="173"/>
      <c r="X359" s="173"/>
      <c r="Y359" s="173"/>
      <c r="Z359" s="173"/>
    </row>
    <row r="360" spans="1:26" ht="12.75" x14ac:dyDescent="0.2">
      <c r="A360" s="122"/>
      <c r="B360" s="180"/>
      <c r="C360" s="188" t="s">
        <v>215</v>
      </c>
      <c r="D360" s="180"/>
      <c r="E360" s="180"/>
      <c r="F360" s="183"/>
      <c r="G360" s="183"/>
      <c r="H360" s="183"/>
      <c r="I360" s="183"/>
      <c r="J360" s="183"/>
      <c r="K360" s="183"/>
      <c r="L360" s="183"/>
      <c r="M360" s="183"/>
      <c r="N360" s="183"/>
      <c r="O360" s="183"/>
      <c r="P360" s="122"/>
      <c r="Q360" s="122"/>
      <c r="R360" s="122"/>
      <c r="S360" s="122"/>
      <c r="T360" s="173"/>
      <c r="U360" s="173"/>
      <c r="V360" s="173"/>
      <c r="W360" s="173"/>
      <c r="X360" s="173"/>
      <c r="Y360" s="173"/>
      <c r="Z360" s="173"/>
    </row>
    <row r="361" spans="1:26" ht="12.75" x14ac:dyDescent="0.2">
      <c r="A361" s="122"/>
      <c r="B361" s="180"/>
      <c r="C361" s="155" t="s">
        <v>110</v>
      </c>
      <c r="D361" s="180"/>
      <c r="E361" s="338">
        <v>1</v>
      </c>
      <c r="F361" s="125">
        <f>F253*$E361</f>
        <v>80</v>
      </c>
      <c r="G361" s="125">
        <f>G253*$E361</f>
        <v>80</v>
      </c>
      <c r="H361" s="125">
        <f>H253*$E361</f>
        <v>80</v>
      </c>
      <c r="I361" s="125">
        <f>I253*$E361</f>
        <v>80</v>
      </c>
      <c r="J361" s="125">
        <f>J253*$E361</f>
        <v>80</v>
      </c>
      <c r="K361" s="125">
        <f>K253*$E361</f>
        <v>80</v>
      </c>
      <c r="L361" s="125">
        <f>L253*$E361</f>
        <v>80</v>
      </c>
      <c r="M361" s="125">
        <f>M253*$E361</f>
        <v>79.999999999999986</v>
      </c>
      <c r="N361" s="125">
        <f>N253*$E361</f>
        <v>80</v>
      </c>
      <c r="O361" s="125">
        <f>O253*$E361</f>
        <v>80</v>
      </c>
      <c r="P361" s="122"/>
      <c r="Q361" s="122"/>
      <c r="R361" s="122"/>
      <c r="S361" s="122"/>
      <c r="T361" s="173"/>
      <c r="U361" s="173"/>
      <c r="V361" s="173"/>
      <c r="W361" s="173"/>
      <c r="X361" s="173"/>
      <c r="Y361" s="173"/>
      <c r="Z361" s="173"/>
    </row>
    <row r="362" spans="1:26" ht="12.75" x14ac:dyDescent="0.2">
      <c r="A362" s="122"/>
      <c r="B362" s="180"/>
      <c r="C362" s="184" t="s">
        <v>283</v>
      </c>
      <c r="D362" s="185"/>
      <c r="E362" s="338">
        <v>1</v>
      </c>
      <c r="F362" s="125">
        <f>F254*$E362</f>
        <v>19.580399999999997</v>
      </c>
      <c r="G362" s="125">
        <f>G254*$E362</f>
        <v>19.580399999999997</v>
      </c>
      <c r="H362" s="125">
        <f>H254*$E362</f>
        <v>19.580399999999997</v>
      </c>
      <c r="I362" s="125">
        <f>I254*$E362</f>
        <v>19.580399999999997</v>
      </c>
      <c r="J362" s="125">
        <f>J254*$E362</f>
        <v>19.580399999999997</v>
      </c>
      <c r="K362" s="125">
        <f>K254*$E362</f>
        <v>19.580399999999997</v>
      </c>
      <c r="L362" s="125">
        <f>L254*$E362</f>
        <v>19.580399999999997</v>
      </c>
      <c r="M362" s="125">
        <f>M254*$E362</f>
        <v>19.580399999999997</v>
      </c>
      <c r="N362" s="125">
        <f>N254*$E362</f>
        <v>19.580400000000001</v>
      </c>
      <c r="O362" s="125">
        <f>O254*$E362</f>
        <v>19.580399999999997</v>
      </c>
      <c r="P362" s="122"/>
      <c r="Q362" s="122"/>
      <c r="R362" s="122"/>
      <c r="S362" s="122"/>
      <c r="T362" s="173"/>
      <c r="U362" s="173"/>
      <c r="V362" s="173"/>
      <c r="W362" s="173"/>
      <c r="X362" s="173"/>
      <c r="Y362" s="173"/>
      <c r="Z362" s="173"/>
    </row>
    <row r="363" spans="1:26" ht="12.75" x14ac:dyDescent="0.2">
      <c r="A363" s="122"/>
      <c r="B363" s="180"/>
      <c r="C363" s="199" t="s">
        <v>216</v>
      </c>
      <c r="D363" s="182"/>
      <c r="E363" s="182"/>
      <c r="F363" s="127">
        <f t="shared" ref="F363:O363" si="77">SUM(F361:F362)</f>
        <v>99.580399999999997</v>
      </c>
      <c r="G363" s="127">
        <f t="shared" si="77"/>
        <v>99.580399999999997</v>
      </c>
      <c r="H363" s="127">
        <f t="shared" si="77"/>
        <v>99.580399999999997</v>
      </c>
      <c r="I363" s="127">
        <f t="shared" si="77"/>
        <v>99.580399999999997</v>
      </c>
      <c r="J363" s="127">
        <f t="shared" si="77"/>
        <v>99.580399999999997</v>
      </c>
      <c r="K363" s="127">
        <f t="shared" si="77"/>
        <v>99.580399999999997</v>
      </c>
      <c r="L363" s="127">
        <f t="shared" si="77"/>
        <v>99.580399999999997</v>
      </c>
      <c r="M363" s="127">
        <f t="shared" si="77"/>
        <v>99.580399999999983</v>
      </c>
      <c r="N363" s="127">
        <f t="shared" si="77"/>
        <v>99.580399999999997</v>
      </c>
      <c r="O363" s="127">
        <f t="shared" si="77"/>
        <v>99.580399999999997</v>
      </c>
      <c r="P363" s="122"/>
      <c r="Q363" s="122"/>
      <c r="R363" s="122"/>
      <c r="S363" s="122"/>
      <c r="T363" s="173"/>
      <c r="U363" s="173"/>
      <c r="V363" s="173"/>
      <c r="W363" s="173"/>
      <c r="X363" s="173"/>
      <c r="Y363" s="173"/>
      <c r="Z363" s="173"/>
    </row>
    <row r="364" spans="1:26" ht="12.75" x14ac:dyDescent="0.2">
      <c r="A364" s="122"/>
      <c r="B364" s="180"/>
      <c r="C364" s="155"/>
      <c r="D364" s="180"/>
      <c r="E364" s="180"/>
      <c r="F364" s="183"/>
      <c r="G364" s="183"/>
      <c r="H364" s="183"/>
      <c r="I364" s="183"/>
      <c r="J364" s="183"/>
      <c r="K364" s="183"/>
      <c r="L364" s="183"/>
      <c r="M364" s="183"/>
      <c r="N364" s="183"/>
      <c r="O364" s="183"/>
      <c r="P364" s="122"/>
      <c r="Q364" s="122"/>
      <c r="R364" s="122"/>
      <c r="S364" s="122"/>
      <c r="T364" s="173"/>
      <c r="U364" s="173"/>
      <c r="V364" s="173"/>
      <c r="W364" s="173"/>
      <c r="X364" s="173"/>
      <c r="Y364" s="173"/>
      <c r="Z364" s="173"/>
    </row>
    <row r="365" spans="1:26" ht="12.75" x14ac:dyDescent="0.2">
      <c r="A365" s="122"/>
      <c r="B365" s="180"/>
      <c r="C365" s="188" t="s">
        <v>219</v>
      </c>
      <c r="D365" s="180"/>
      <c r="E365" s="180"/>
      <c r="F365" s="183"/>
      <c r="G365" s="183"/>
      <c r="H365" s="183"/>
      <c r="I365" s="183"/>
      <c r="J365" s="183"/>
      <c r="K365" s="183"/>
      <c r="L365" s="183"/>
      <c r="M365" s="183"/>
      <c r="N365" s="183"/>
      <c r="O365" s="183"/>
      <c r="P365" s="122"/>
      <c r="Q365" s="122"/>
      <c r="R365" s="122"/>
      <c r="S365" s="122"/>
      <c r="T365" s="173"/>
      <c r="U365" s="173"/>
      <c r="V365" s="173"/>
      <c r="W365" s="173"/>
      <c r="X365" s="173"/>
      <c r="Y365" s="173"/>
      <c r="Z365" s="173"/>
    </row>
    <row r="366" spans="1:26" ht="12.75" x14ac:dyDescent="0.2">
      <c r="A366" s="122"/>
      <c r="B366" s="180"/>
      <c r="C366" s="152" t="s">
        <v>454</v>
      </c>
      <c r="D366" s="180"/>
      <c r="E366" s="338">
        <v>1</v>
      </c>
      <c r="F366" s="125">
        <f>F258*$E366</f>
        <v>263.10000000000002</v>
      </c>
      <c r="G366" s="125">
        <f>G258*$E366</f>
        <v>268.36200000000002</v>
      </c>
      <c r="H366" s="125">
        <f>H258*$E366</f>
        <v>273.72924</v>
      </c>
      <c r="I366" s="125">
        <f>I258*$E366</f>
        <v>279.20382480000001</v>
      </c>
      <c r="J366" s="125">
        <f>J258*$E366</f>
        <v>284.78790129600003</v>
      </c>
      <c r="K366" s="125">
        <f>K258*$E366</f>
        <v>290.48365932192002</v>
      </c>
      <c r="L366" s="125">
        <f>L258*$E366</f>
        <v>296.29333250835845</v>
      </c>
      <c r="M366" s="125">
        <f>M258*$E366</f>
        <v>302.21919915852561</v>
      </c>
      <c r="N366" s="125">
        <f>N258*$E366</f>
        <v>308.26358314169613</v>
      </c>
      <c r="O366" s="125">
        <f>O258*$E366</f>
        <v>311.43465909090907</v>
      </c>
      <c r="P366" s="122"/>
      <c r="Q366" s="122"/>
      <c r="R366" s="122"/>
      <c r="S366" s="122"/>
      <c r="T366" s="173"/>
      <c r="U366" s="173"/>
      <c r="V366" s="173"/>
      <c r="W366" s="173"/>
      <c r="X366" s="173"/>
      <c r="Y366" s="173"/>
      <c r="Z366" s="173"/>
    </row>
    <row r="367" spans="1:26" ht="12.75" x14ac:dyDescent="0.2">
      <c r="A367" s="122"/>
      <c r="B367" s="180"/>
      <c r="C367" s="391" t="s">
        <v>456</v>
      </c>
      <c r="D367" s="180"/>
      <c r="E367" s="338">
        <v>1</v>
      </c>
      <c r="F367" s="125">
        <f>F259*$E367</f>
        <v>335.00544000000002</v>
      </c>
      <c r="G367" s="125">
        <f>G259*$E367</f>
        <v>341.70554880000003</v>
      </c>
      <c r="H367" s="125">
        <f>H259*$E367</f>
        <v>348.53965977600001</v>
      </c>
      <c r="I367" s="125">
        <f>I259*$E367</f>
        <v>355.51045297152001</v>
      </c>
      <c r="J367" s="125">
        <f>J259*$E367</f>
        <v>362.62066203095043</v>
      </c>
      <c r="K367" s="125">
        <f>K259*$E367</f>
        <v>369.87307527156941</v>
      </c>
      <c r="L367" s="125">
        <f>L259*$E367</f>
        <v>377.27053677700093</v>
      </c>
      <c r="M367" s="125">
        <f>M259*$E367</f>
        <v>384.8159475125409</v>
      </c>
      <c r="N367" s="125">
        <f>N259*$E367</f>
        <v>392.51226646279173</v>
      </c>
      <c r="O367" s="125">
        <f>O259*$E367</f>
        <v>396.55</v>
      </c>
      <c r="P367" s="122"/>
      <c r="Q367" s="122"/>
      <c r="R367" s="122"/>
      <c r="S367" s="122"/>
      <c r="T367" s="173"/>
      <c r="U367" s="173"/>
      <c r="V367" s="173"/>
      <c r="W367" s="173"/>
      <c r="X367" s="173"/>
      <c r="Y367" s="173"/>
      <c r="Z367" s="173"/>
    </row>
    <row r="368" spans="1:26" ht="12.75" x14ac:dyDescent="0.2">
      <c r="A368" s="122"/>
      <c r="B368" s="180"/>
      <c r="C368" s="391" t="s">
        <v>459</v>
      </c>
      <c r="D368" s="180"/>
      <c r="E368" s="338">
        <v>1</v>
      </c>
      <c r="F368" s="125">
        <f>F260*$E368</f>
        <v>2128.8960000000002</v>
      </c>
      <c r="G368" s="125">
        <f>G260*$E368</f>
        <v>2171.4739200000004</v>
      </c>
      <c r="H368" s="125">
        <f>H260*$E368</f>
        <v>2214.9033984000002</v>
      </c>
      <c r="I368" s="125">
        <f>I260*$E368</f>
        <v>2259.2014663679997</v>
      </c>
      <c r="J368" s="125">
        <f>J260*$E368</f>
        <v>2304.3854956953601</v>
      </c>
      <c r="K368" s="125">
        <f>K260*$E368</f>
        <v>2350.4732056092676</v>
      </c>
      <c r="L368" s="125">
        <f>L260*$E368</f>
        <v>2397.482669721453</v>
      </c>
      <c r="M368" s="125">
        <f>M260*$E368</f>
        <v>2445.4323231158819</v>
      </c>
      <c r="N368" s="125">
        <f>N260*$E368</f>
        <v>2494.3409695781993</v>
      </c>
      <c r="O368" s="125">
        <f>O260*$E368</f>
        <v>2519.9999999999995</v>
      </c>
      <c r="P368" s="122"/>
      <c r="Q368" s="122"/>
      <c r="R368" s="122"/>
      <c r="S368" s="122"/>
      <c r="T368" s="173"/>
      <c r="U368" s="173"/>
      <c r="V368" s="173"/>
      <c r="W368" s="173"/>
      <c r="X368" s="173"/>
      <c r="Y368" s="173"/>
      <c r="Z368" s="173"/>
    </row>
    <row r="369" spans="1:26" ht="12.75" x14ac:dyDescent="0.2">
      <c r="A369" s="122"/>
      <c r="B369" s="180"/>
      <c r="C369" s="152" t="s">
        <v>102</v>
      </c>
      <c r="D369" s="180"/>
      <c r="E369" s="299">
        <f>CFs!$C$218</f>
        <v>1.0969941102134646</v>
      </c>
      <c r="F369" s="125">
        <f>F261*$E369</f>
        <v>0</v>
      </c>
      <c r="G369" s="125">
        <f>G261*$E369</f>
        <v>0</v>
      </c>
      <c r="H369" s="125">
        <f>H261*$E369</f>
        <v>0</v>
      </c>
      <c r="I369" s="125">
        <f>I261*$E369</f>
        <v>0</v>
      </c>
      <c r="J369" s="125">
        <f>J261*$E369</f>
        <v>0</v>
      </c>
      <c r="K369" s="125">
        <f>K261*$E369</f>
        <v>0</v>
      </c>
      <c r="L369" s="125">
        <f>L261*$E369</f>
        <v>0</v>
      </c>
      <c r="M369" s="125">
        <f>M261*$E369</f>
        <v>0</v>
      </c>
      <c r="N369" s="125">
        <f>N261*$E369</f>
        <v>0</v>
      </c>
      <c r="O369" s="125">
        <f>O261*$E369</f>
        <v>0</v>
      </c>
      <c r="P369" s="122"/>
      <c r="Q369" s="122"/>
      <c r="R369" s="122"/>
      <c r="S369" s="122"/>
      <c r="T369" s="173"/>
      <c r="U369" s="173"/>
      <c r="V369" s="173"/>
      <c r="W369" s="173"/>
      <c r="X369" s="173"/>
      <c r="Y369" s="173"/>
      <c r="Z369" s="173"/>
    </row>
    <row r="370" spans="1:26" ht="12.75" x14ac:dyDescent="0.2">
      <c r="A370" s="122"/>
      <c r="B370" s="155"/>
      <c r="C370" s="198" t="s">
        <v>217</v>
      </c>
      <c r="D370" s="198"/>
      <c r="E370" s="198"/>
      <c r="F370" s="200">
        <f t="shared" ref="F370:O370" si="78">SUM(F366:F369)</f>
        <v>2727.00144</v>
      </c>
      <c r="G370" s="200">
        <f t="shared" si="78"/>
        <v>2781.5414688000005</v>
      </c>
      <c r="H370" s="200">
        <f t="shared" si="78"/>
        <v>2837.1722981760004</v>
      </c>
      <c r="I370" s="200">
        <f t="shared" si="78"/>
        <v>2893.91574413952</v>
      </c>
      <c r="J370" s="200">
        <f t="shared" si="78"/>
        <v>2951.7940590223106</v>
      </c>
      <c r="K370" s="200">
        <f t="shared" si="78"/>
        <v>3010.8299402027569</v>
      </c>
      <c r="L370" s="200">
        <f t="shared" si="78"/>
        <v>3071.0465390068125</v>
      </c>
      <c r="M370" s="200">
        <f t="shared" si="78"/>
        <v>3132.4674697869486</v>
      </c>
      <c r="N370" s="200">
        <f t="shared" si="78"/>
        <v>3195.1168191826873</v>
      </c>
      <c r="O370" s="200">
        <f t="shared" si="78"/>
        <v>3227.9846590909087</v>
      </c>
      <c r="P370" s="122"/>
      <c r="Q370" s="122"/>
      <c r="R370" s="122"/>
      <c r="S370" s="122"/>
      <c r="T370" s="173"/>
      <c r="U370" s="173"/>
      <c r="V370" s="173"/>
      <c r="W370" s="173"/>
      <c r="X370" s="173"/>
      <c r="Y370" s="173"/>
      <c r="Z370" s="173"/>
    </row>
    <row r="371" spans="1:26" ht="12.75" x14ac:dyDescent="0.2">
      <c r="A371" s="122"/>
      <c r="B371" s="155"/>
      <c r="C371" s="155"/>
      <c r="D371" s="155"/>
      <c r="E371" s="155"/>
      <c r="F371" s="155"/>
      <c r="G371" s="155"/>
      <c r="H371" s="155"/>
      <c r="I371" s="155"/>
      <c r="J371" s="155"/>
      <c r="K371" s="155"/>
      <c r="L371" s="155"/>
      <c r="M371" s="155"/>
      <c r="N371" s="155"/>
      <c r="O371" s="155"/>
      <c r="P371" s="122"/>
      <c r="Q371" s="122"/>
      <c r="R371" s="122"/>
      <c r="S371" s="122"/>
      <c r="T371" s="173"/>
      <c r="U371" s="173"/>
      <c r="V371" s="173"/>
      <c r="W371" s="173"/>
      <c r="X371" s="173"/>
      <c r="Y371" s="173"/>
      <c r="Z371" s="173"/>
    </row>
    <row r="372" spans="1:26" ht="12.75" x14ac:dyDescent="0.2">
      <c r="A372" s="122"/>
      <c r="B372" s="180"/>
      <c r="C372" s="188" t="s">
        <v>287</v>
      </c>
      <c r="D372" s="201"/>
      <c r="E372" s="201"/>
      <c r="F372" s="202"/>
      <c r="G372" s="202"/>
      <c r="H372" s="202"/>
      <c r="I372" s="202"/>
      <c r="J372" s="202"/>
      <c r="K372" s="202"/>
      <c r="L372" s="202"/>
      <c r="M372" s="202"/>
      <c r="N372" s="202"/>
      <c r="O372" s="202"/>
      <c r="P372" s="122"/>
      <c r="Q372" s="122"/>
      <c r="R372" s="122"/>
      <c r="S372" s="122"/>
      <c r="T372" s="173"/>
      <c r="U372" s="173"/>
      <c r="V372" s="173"/>
      <c r="W372" s="173"/>
      <c r="X372" s="173"/>
      <c r="Y372" s="173"/>
      <c r="Z372" s="173"/>
    </row>
    <row r="373" spans="1:26" ht="12.75" x14ac:dyDescent="0.2">
      <c r="A373" s="122"/>
      <c r="B373" s="180"/>
      <c r="C373" s="155" t="s">
        <v>375</v>
      </c>
      <c r="D373" s="201"/>
      <c r="E373" s="338">
        <v>1.2</v>
      </c>
      <c r="F373" s="125">
        <f>F265*$E373</f>
        <v>14.247461760000004</v>
      </c>
      <c r="G373" s="125">
        <f>G265*$E373</f>
        <v>14.563248000000003</v>
      </c>
      <c r="H373" s="125">
        <f>H265*$E373</f>
        <v>14.885349964800001</v>
      </c>
      <c r="I373" s="125">
        <f>I265*$E373</f>
        <v>15.213893968896004</v>
      </c>
      <c r="J373" s="125">
        <f>J265*$E373</f>
        <v>15.549008853073923</v>
      </c>
      <c r="K373" s="125">
        <f>K265*$E373</f>
        <v>15.890826034935401</v>
      </c>
      <c r="L373" s="125">
        <f>L265*$E373</f>
        <v>16.239479560434113</v>
      </c>
      <c r="M373" s="125">
        <f>M265*$E373</f>
        <v>16.595106156442789</v>
      </c>
      <c r="N373" s="125">
        <f>N265*$E373</f>
        <v>16.957845284371647</v>
      </c>
      <c r="O373" s="125">
        <f>O265*$E373</f>
        <v>17.148149760000006</v>
      </c>
      <c r="P373" s="122"/>
      <c r="Q373" s="122"/>
      <c r="R373" s="122"/>
      <c r="S373" s="122"/>
      <c r="T373" s="173"/>
      <c r="U373" s="173"/>
      <c r="V373" s="173"/>
      <c r="W373" s="173"/>
      <c r="X373" s="173"/>
      <c r="Y373" s="173"/>
      <c r="Z373" s="173"/>
    </row>
    <row r="374" spans="1:26" ht="12.75" x14ac:dyDescent="0.2">
      <c r="A374" s="122"/>
      <c r="B374" s="180"/>
      <c r="C374" s="184" t="s">
        <v>284</v>
      </c>
      <c r="D374" s="185"/>
      <c r="E374" s="339">
        <v>1</v>
      </c>
      <c r="F374" s="141">
        <f>F266*$E374</f>
        <v>10.919040000000001</v>
      </c>
      <c r="G374" s="141">
        <f>G266*$E374</f>
        <v>11.137420800000003</v>
      </c>
      <c r="H374" s="141">
        <f>H266*$E374</f>
        <v>11.360169215999999</v>
      </c>
      <c r="I374" s="141">
        <f>I266*$E374</f>
        <v>11.58737260032</v>
      </c>
      <c r="J374" s="141">
        <f>J266*$E374</f>
        <v>11.819120052326403</v>
      </c>
      <c r="K374" s="141">
        <f>K266*$E374</f>
        <v>12.055502453372931</v>
      </c>
      <c r="L374" s="141">
        <f>L266*$E374</f>
        <v>12.296612502440391</v>
      </c>
      <c r="M374" s="141">
        <f>M266*$E374</f>
        <v>12.542544752489196</v>
      </c>
      <c r="N374" s="141">
        <f>N266*$E374</f>
        <v>12.793395647538979</v>
      </c>
      <c r="O374" s="141">
        <f>O266*$E374</f>
        <v>12.925000000000002</v>
      </c>
      <c r="P374" s="122"/>
      <c r="Q374" s="122"/>
      <c r="R374" s="122"/>
      <c r="S374" s="122"/>
      <c r="T374" s="173"/>
      <c r="U374" s="173"/>
      <c r="V374" s="173"/>
      <c r="W374" s="173"/>
      <c r="X374" s="173"/>
      <c r="Y374" s="173"/>
      <c r="Z374" s="173"/>
    </row>
    <row r="375" spans="1:26" ht="12.75" x14ac:dyDescent="0.2">
      <c r="A375" s="122"/>
      <c r="B375" s="180"/>
      <c r="C375" s="189" t="s">
        <v>289</v>
      </c>
      <c r="D375" s="201"/>
      <c r="E375" s="201"/>
      <c r="F375" s="202">
        <f t="shared" ref="F375:O375" si="79">SUM(F373:F374)</f>
        <v>25.166501760000003</v>
      </c>
      <c r="G375" s="202">
        <f t="shared" si="79"/>
        <v>25.700668800000006</v>
      </c>
      <c r="H375" s="202">
        <f t="shared" si="79"/>
        <v>26.245519180800002</v>
      </c>
      <c r="I375" s="202">
        <f t="shared" si="79"/>
        <v>26.801266569216004</v>
      </c>
      <c r="J375" s="202">
        <f t="shared" si="79"/>
        <v>27.368128905400326</v>
      </c>
      <c r="K375" s="202">
        <f t="shared" si="79"/>
        <v>27.946328488308332</v>
      </c>
      <c r="L375" s="202">
        <f t="shared" si="79"/>
        <v>28.536092062874502</v>
      </c>
      <c r="M375" s="202">
        <f t="shared" si="79"/>
        <v>29.137650908931985</v>
      </c>
      <c r="N375" s="202">
        <f t="shared" si="79"/>
        <v>29.751240931910626</v>
      </c>
      <c r="O375" s="202">
        <f t="shared" si="79"/>
        <v>30.073149760000007</v>
      </c>
      <c r="P375" s="122"/>
      <c r="Q375" s="122"/>
      <c r="R375" s="122"/>
      <c r="S375" s="122"/>
      <c r="T375" s="173"/>
      <c r="U375" s="173"/>
      <c r="V375" s="173"/>
      <c r="W375" s="173"/>
      <c r="X375" s="173"/>
      <c r="Y375" s="173"/>
      <c r="Z375" s="173"/>
    </row>
    <row r="376" spans="1:26" ht="12.75" x14ac:dyDescent="0.2">
      <c r="A376" s="122"/>
      <c r="B376" s="155"/>
      <c r="C376" s="155"/>
      <c r="D376" s="155"/>
      <c r="E376" s="155"/>
      <c r="F376" s="155"/>
      <c r="G376" s="155"/>
      <c r="H376" s="155"/>
      <c r="I376" s="155"/>
      <c r="J376" s="155"/>
      <c r="K376" s="155"/>
      <c r="L376" s="155"/>
      <c r="M376" s="155"/>
      <c r="N376" s="155"/>
      <c r="O376" s="155"/>
      <c r="P376" s="122"/>
      <c r="Q376" s="122"/>
      <c r="R376" s="122"/>
      <c r="S376" s="122"/>
      <c r="T376" s="173"/>
      <c r="U376" s="173"/>
      <c r="V376" s="173"/>
      <c r="W376" s="173"/>
      <c r="X376" s="173"/>
      <c r="Y376" s="173"/>
      <c r="Z376" s="173"/>
    </row>
    <row r="377" spans="1:26" ht="12.75" x14ac:dyDescent="0.2">
      <c r="A377" s="122"/>
      <c r="B377" s="155"/>
      <c r="C377" s="203" t="s">
        <v>669</v>
      </c>
      <c r="D377" s="203"/>
      <c r="E377" s="203"/>
      <c r="F377" s="204">
        <f t="shared" ref="F377:O377" si="80">F348+F358+F363+F370+F375</f>
        <v>3150.8003417599998</v>
      </c>
      <c r="G377" s="204">
        <f t="shared" si="80"/>
        <v>3207.3145376000007</v>
      </c>
      <c r="H377" s="204">
        <f t="shared" si="80"/>
        <v>3264.9590173568004</v>
      </c>
      <c r="I377" s="204">
        <f t="shared" si="80"/>
        <v>3323.756386708736</v>
      </c>
      <c r="J377" s="204">
        <f t="shared" si="80"/>
        <v>3383.729703447711</v>
      </c>
      <c r="K377" s="204">
        <f t="shared" si="80"/>
        <v>3444.9024865214651</v>
      </c>
      <c r="L377" s="204">
        <f t="shared" si="80"/>
        <v>3507.298725256695</v>
      </c>
      <c r="M377" s="204">
        <f t="shared" si="80"/>
        <v>3570.9428887666286</v>
      </c>
      <c r="N377" s="204">
        <f t="shared" si="80"/>
        <v>3635.8599355467609</v>
      </c>
      <c r="O377" s="204">
        <f t="shared" si="80"/>
        <v>3669.9174815781812</v>
      </c>
      <c r="P377" s="122"/>
      <c r="Q377" s="122"/>
      <c r="R377" s="122"/>
      <c r="S377" s="122"/>
      <c r="T377" s="173"/>
      <c r="U377" s="173"/>
      <c r="V377" s="173"/>
      <c r="W377" s="173"/>
      <c r="X377" s="173"/>
      <c r="Y377" s="173"/>
      <c r="Z377" s="173"/>
    </row>
    <row r="378" spans="1:26" ht="12.75" x14ac:dyDescent="0.2">
      <c r="A378" s="122"/>
      <c r="B378" s="155"/>
      <c r="C378" s="155"/>
      <c r="D378" s="155"/>
      <c r="E378" s="155"/>
      <c r="F378" s="205"/>
      <c r="G378" s="205"/>
      <c r="H378" s="205"/>
      <c r="I378" s="205"/>
      <c r="J378" s="205"/>
      <c r="K378" s="205"/>
      <c r="L378" s="205"/>
      <c r="M378" s="205"/>
      <c r="N378" s="205"/>
      <c r="O378" s="205"/>
      <c r="P378" s="122"/>
      <c r="Q378" s="122"/>
      <c r="R378" s="122"/>
      <c r="S378" s="122"/>
      <c r="T378" s="173"/>
      <c r="U378" s="173"/>
      <c r="V378" s="173"/>
      <c r="W378" s="173"/>
      <c r="X378" s="173"/>
      <c r="Y378" s="173"/>
      <c r="Z378" s="173"/>
    </row>
    <row r="379" spans="1:26" ht="12.75" x14ac:dyDescent="0.2">
      <c r="A379" s="122"/>
      <c r="B379" s="157"/>
      <c r="C379" s="206" t="s">
        <v>762</v>
      </c>
      <c r="D379" s="203"/>
      <c r="E379" s="203"/>
      <c r="F379" s="207">
        <f>F343-F377</f>
        <v>-439.92415081008721</v>
      </c>
      <c r="G379" s="207">
        <f t="shared" ref="G379:N379" si="81">G343-G377</f>
        <v>-442.22082283108921</v>
      </c>
      <c r="H379" s="207">
        <f t="shared" si="81"/>
        <v>-444.56342829251116</v>
      </c>
      <c r="I379" s="207">
        <f t="shared" si="81"/>
        <v>-446.9528858631611</v>
      </c>
      <c r="J379" s="207">
        <f t="shared" si="81"/>
        <v>-449.39013258522482</v>
      </c>
      <c r="K379" s="207">
        <f t="shared" si="81"/>
        <v>-451.87612424172858</v>
      </c>
      <c r="L379" s="207">
        <f t="shared" si="81"/>
        <v>-454.41183573136368</v>
      </c>
      <c r="M379" s="207">
        <f t="shared" si="81"/>
        <v>-456.99826145079032</v>
      </c>
      <c r="N379" s="207">
        <f t="shared" si="81"/>
        <v>-459.63641568460662</v>
      </c>
      <c r="O379" s="207">
        <f>O343-O377</f>
        <v>-461.02047524542422</v>
      </c>
      <c r="P379" s="122"/>
      <c r="Q379" s="122"/>
      <c r="R379" s="122"/>
      <c r="S379" s="122"/>
      <c r="T379" s="173"/>
      <c r="U379" s="173"/>
      <c r="V379" s="173"/>
      <c r="W379" s="173"/>
      <c r="X379" s="173"/>
      <c r="Y379" s="173"/>
      <c r="Z379" s="173"/>
    </row>
    <row r="380" spans="1:26" ht="12.75" x14ac:dyDescent="0.2">
      <c r="A380" s="122"/>
      <c r="B380" s="122"/>
      <c r="C380" s="122"/>
      <c r="D380" s="122"/>
      <c r="E380" s="122"/>
      <c r="F380" s="122"/>
      <c r="G380" s="122"/>
      <c r="H380" s="122"/>
      <c r="I380" s="122"/>
      <c r="J380" s="122"/>
      <c r="K380" s="122"/>
      <c r="L380" s="122"/>
      <c r="M380" s="122"/>
      <c r="N380" s="122"/>
      <c r="O380" s="122"/>
      <c r="P380" s="122"/>
      <c r="Q380" s="122"/>
      <c r="R380" s="122"/>
      <c r="S380" s="122"/>
      <c r="T380" s="173"/>
      <c r="U380" s="173"/>
      <c r="V380" s="173"/>
      <c r="W380" s="173"/>
      <c r="X380" s="173"/>
      <c r="Y380" s="173"/>
      <c r="Z380" s="173"/>
    </row>
    <row r="381" spans="1:26" ht="12.75" x14ac:dyDescent="0.2">
      <c r="A381" s="122"/>
      <c r="B381" s="744" t="s">
        <v>1015</v>
      </c>
      <c r="C381" s="180"/>
      <c r="D381" s="180"/>
      <c r="E381" s="180"/>
      <c r="F381" s="183"/>
      <c r="G381" s="180"/>
      <c r="H381" s="180"/>
      <c r="I381" s="180"/>
      <c r="J381" s="180"/>
      <c r="K381" s="180"/>
      <c r="L381" s="180"/>
      <c r="M381" s="180"/>
      <c r="N381" s="180"/>
      <c r="O381" s="180"/>
      <c r="P381" s="122"/>
      <c r="Q381" s="122"/>
      <c r="R381" s="122"/>
      <c r="S381" s="122"/>
      <c r="T381" s="173"/>
      <c r="U381" s="173"/>
      <c r="V381" s="173"/>
      <c r="W381" s="173"/>
      <c r="X381" s="173"/>
      <c r="Y381" s="173"/>
      <c r="Z381" s="173"/>
    </row>
    <row r="382" spans="1:26" ht="12.75" x14ac:dyDescent="0.2">
      <c r="A382" s="122"/>
      <c r="C382" s="192" t="s">
        <v>671</v>
      </c>
      <c r="D382" s="180"/>
      <c r="E382" s="307" t="s">
        <v>666</v>
      </c>
      <c r="F382" s="180"/>
      <c r="G382" s="180"/>
      <c r="H382" s="180"/>
      <c r="I382" s="180"/>
      <c r="J382" s="180"/>
      <c r="K382" s="180"/>
      <c r="L382" s="180"/>
      <c r="M382" s="180"/>
      <c r="N382" s="180"/>
      <c r="O382" s="180"/>
      <c r="P382" s="122"/>
      <c r="Q382" s="122"/>
      <c r="R382" s="122"/>
      <c r="S382" s="122"/>
      <c r="T382" s="173"/>
      <c r="U382" s="173"/>
      <c r="V382" s="173"/>
      <c r="W382" s="173"/>
      <c r="X382" s="173"/>
      <c r="Y382" s="173"/>
      <c r="Z382" s="173"/>
    </row>
    <row r="383" spans="1:26" ht="12.75" x14ac:dyDescent="0.2">
      <c r="A383" s="122"/>
      <c r="B383" s="180"/>
      <c r="C383" s="123" t="s">
        <v>464</v>
      </c>
      <c r="D383" s="180"/>
      <c r="E383" s="338">
        <f>CFs!$C$155</f>
        <v>0.85570586835540174</v>
      </c>
      <c r="F383" s="125">
        <f>F275*$E383</f>
        <v>4107.3881681059283</v>
      </c>
      <c r="G383" s="125">
        <f>G275*$E383</f>
        <v>4189.5359314680472</v>
      </c>
      <c r="H383" s="125">
        <f>H275*$E383</f>
        <v>4273.3266500974078</v>
      </c>
      <c r="I383" s="125">
        <f>I275*$E383</f>
        <v>4358.7931830993557</v>
      </c>
      <c r="J383" s="125">
        <f>J275*$E383</f>
        <v>4445.9690467613427</v>
      </c>
      <c r="K383" s="125">
        <f>K275*$E383</f>
        <v>4534.88842769657</v>
      </c>
      <c r="L383" s="125">
        <f>L275*$E383</f>
        <v>4625.5861962505014</v>
      </c>
      <c r="M383" s="125">
        <f>M275*$E383</f>
        <v>4718.0979201755117</v>
      </c>
      <c r="N383" s="125">
        <f>N275*$E383</f>
        <v>4812.4598785790222</v>
      </c>
      <c r="O383" s="125">
        <f>O275*$E383</f>
        <v>4908.7090761506033</v>
      </c>
      <c r="P383" s="122"/>
      <c r="Q383" s="122"/>
      <c r="R383" s="122"/>
      <c r="S383" s="122"/>
      <c r="T383" s="173"/>
      <c r="U383" s="173"/>
      <c r="V383" s="173"/>
      <c r="W383" s="173"/>
      <c r="X383" s="173"/>
      <c r="Y383" s="173"/>
      <c r="Z383" s="173"/>
    </row>
    <row r="384" spans="1:26" ht="12.75" x14ac:dyDescent="0.2">
      <c r="A384" s="122"/>
      <c r="B384" s="180"/>
      <c r="C384" s="123" t="s">
        <v>231</v>
      </c>
      <c r="D384" s="180"/>
      <c r="E384" s="338">
        <f>E383</f>
        <v>0.85570586835540174</v>
      </c>
      <c r="F384" s="125">
        <f>F276*$E384</f>
        <v>821.47763362118565</v>
      </c>
      <c r="G384" s="125">
        <f>G276*$E384</f>
        <v>837.90718629360947</v>
      </c>
      <c r="H384" s="125">
        <f>H276*$E384</f>
        <v>854.66533001948164</v>
      </c>
      <c r="I384" s="125">
        <f>I276*$E384</f>
        <v>871.75863661987125</v>
      </c>
      <c r="J384" s="125">
        <f>J276*$E384</f>
        <v>889.19380935226866</v>
      </c>
      <c r="K384" s="125">
        <f>K276*$E384</f>
        <v>906.97768553931394</v>
      </c>
      <c r="L384" s="125">
        <f>L276*$E384</f>
        <v>925.1172392501004</v>
      </c>
      <c r="M384" s="125">
        <f>M276*$E384</f>
        <v>943.61958403510243</v>
      </c>
      <c r="N384" s="125">
        <f>N276*$E384</f>
        <v>962.49197571580453</v>
      </c>
      <c r="O384" s="125">
        <f>O276*$E384</f>
        <v>981.74181523012055</v>
      </c>
      <c r="P384" s="122"/>
      <c r="Q384" s="122"/>
      <c r="R384" s="122"/>
      <c r="S384" s="122"/>
      <c r="T384" s="173"/>
      <c r="U384" s="173"/>
      <c r="V384" s="173"/>
      <c r="W384" s="173"/>
      <c r="X384" s="173"/>
      <c r="Y384" s="173"/>
      <c r="Z384" s="173"/>
    </row>
    <row r="385" spans="1:26" ht="12.75" x14ac:dyDescent="0.2">
      <c r="A385" s="122"/>
      <c r="B385" s="180"/>
      <c r="C385" s="182" t="s">
        <v>470</v>
      </c>
      <c r="D385" s="182"/>
      <c r="E385" s="182"/>
      <c r="F385" s="193">
        <f t="shared" ref="F385:O385" si="82">F383-F384</f>
        <v>3285.9105344847426</v>
      </c>
      <c r="G385" s="193">
        <f t="shared" si="82"/>
        <v>3351.6287451744379</v>
      </c>
      <c r="H385" s="193">
        <f t="shared" si="82"/>
        <v>3418.6613200779261</v>
      </c>
      <c r="I385" s="193">
        <f t="shared" si="82"/>
        <v>3487.0345464794846</v>
      </c>
      <c r="J385" s="193">
        <f t="shared" si="82"/>
        <v>3556.7752374090742</v>
      </c>
      <c r="K385" s="193">
        <f t="shared" si="82"/>
        <v>3627.9107421572562</v>
      </c>
      <c r="L385" s="193">
        <f t="shared" si="82"/>
        <v>3700.4689570004011</v>
      </c>
      <c r="M385" s="193">
        <f t="shared" si="82"/>
        <v>3774.4783361404093</v>
      </c>
      <c r="N385" s="193">
        <f t="shared" si="82"/>
        <v>3849.9679028632177</v>
      </c>
      <c r="O385" s="193">
        <f t="shared" si="82"/>
        <v>3926.9672609204827</v>
      </c>
      <c r="P385" s="122"/>
      <c r="Q385" s="122"/>
      <c r="R385" s="122"/>
      <c r="S385" s="122"/>
      <c r="T385" s="173"/>
      <c r="U385" s="173"/>
      <c r="V385" s="173"/>
      <c r="W385" s="173"/>
      <c r="X385" s="173"/>
      <c r="Y385" s="173"/>
      <c r="Z385" s="173"/>
    </row>
    <row r="386" spans="1:26" ht="12.75" x14ac:dyDescent="0.2">
      <c r="A386" s="122"/>
      <c r="B386" s="180"/>
      <c r="C386" s="123"/>
      <c r="D386" s="180"/>
      <c r="E386" s="180"/>
      <c r="F386" s="194"/>
      <c r="G386" s="194"/>
      <c r="H386" s="194"/>
      <c r="I386" s="194"/>
      <c r="J386" s="194"/>
      <c r="K386" s="194"/>
      <c r="L386" s="194"/>
      <c r="M386" s="194"/>
      <c r="N386" s="194"/>
      <c r="O386" s="194"/>
      <c r="P386" s="122"/>
      <c r="Q386" s="122"/>
      <c r="R386" s="122"/>
      <c r="S386" s="122"/>
      <c r="T386" s="173"/>
      <c r="U386" s="173"/>
      <c r="V386" s="173"/>
      <c r="W386" s="173"/>
      <c r="X386" s="173"/>
      <c r="Y386" s="173"/>
      <c r="Z386" s="173"/>
    </row>
    <row r="387" spans="1:26" ht="12.75" x14ac:dyDescent="0.2">
      <c r="A387" s="122"/>
      <c r="B387" s="180"/>
      <c r="C387" s="181" t="s">
        <v>266</v>
      </c>
      <c r="D387" s="180"/>
      <c r="E387" s="180"/>
      <c r="F387" s="194"/>
      <c r="G387" s="194"/>
      <c r="H387" s="194"/>
      <c r="I387" s="194"/>
      <c r="J387" s="194"/>
      <c r="K387" s="194"/>
      <c r="L387" s="194"/>
      <c r="M387" s="194"/>
      <c r="N387" s="194"/>
      <c r="O387" s="194"/>
      <c r="P387" s="122"/>
      <c r="Q387" s="122"/>
      <c r="R387" s="122"/>
      <c r="S387" s="122"/>
      <c r="T387" s="173"/>
      <c r="U387" s="173"/>
      <c r="V387" s="173"/>
      <c r="W387" s="173"/>
      <c r="X387" s="173"/>
      <c r="Y387" s="173"/>
      <c r="Z387" s="173"/>
    </row>
    <row r="388" spans="1:26" ht="12.75" x14ac:dyDescent="0.2">
      <c r="A388" s="122"/>
      <c r="B388" s="180"/>
      <c r="C388" s="180" t="s">
        <v>267</v>
      </c>
      <c r="D388" s="180"/>
      <c r="E388" s="338">
        <v>0</v>
      </c>
      <c r="F388" s="125">
        <f>F280*$E388</f>
        <v>0</v>
      </c>
      <c r="G388" s="125">
        <f>G280*$E388</f>
        <v>0</v>
      </c>
      <c r="H388" s="125">
        <f>H280*$E388</f>
        <v>0</v>
      </c>
      <c r="I388" s="125">
        <f>I280*$E388</f>
        <v>0</v>
      </c>
      <c r="J388" s="125">
        <f>J280*$E388</f>
        <v>0</v>
      </c>
      <c r="K388" s="125">
        <f>K280*$E388</f>
        <v>0</v>
      </c>
      <c r="L388" s="125">
        <f>L280*$E388</f>
        <v>0</v>
      </c>
      <c r="M388" s="125">
        <f>M280*$E388</f>
        <v>0</v>
      </c>
      <c r="N388" s="125">
        <f>N280*$E388</f>
        <v>0</v>
      </c>
      <c r="O388" s="125">
        <f>O280*$E388</f>
        <v>0</v>
      </c>
      <c r="P388" s="122"/>
      <c r="Q388" s="122"/>
      <c r="R388" s="122"/>
      <c r="S388" s="122"/>
      <c r="T388" s="173"/>
      <c r="U388" s="173"/>
      <c r="V388" s="173"/>
      <c r="W388" s="173"/>
      <c r="X388" s="173"/>
      <c r="Y388" s="173"/>
      <c r="Z388" s="173"/>
    </row>
    <row r="389" spans="1:26" ht="12.75" x14ac:dyDescent="0.2">
      <c r="A389" s="122"/>
      <c r="B389" s="180"/>
      <c r="C389" s="182" t="s">
        <v>247</v>
      </c>
      <c r="D389" s="182"/>
      <c r="E389" s="182"/>
      <c r="F389" s="127">
        <f>SUM(F388:F388)</f>
        <v>0</v>
      </c>
      <c r="G389" s="127">
        <f t="shared" ref="G389:O389" si="83">SUM(G388:G388)</f>
        <v>0</v>
      </c>
      <c r="H389" s="127">
        <f t="shared" si="83"/>
        <v>0</v>
      </c>
      <c r="I389" s="127">
        <f t="shared" si="83"/>
        <v>0</v>
      </c>
      <c r="J389" s="127">
        <f t="shared" si="83"/>
        <v>0</v>
      </c>
      <c r="K389" s="127">
        <f t="shared" si="83"/>
        <v>0</v>
      </c>
      <c r="L389" s="127">
        <f t="shared" si="83"/>
        <v>0</v>
      </c>
      <c r="M389" s="127">
        <f t="shared" si="83"/>
        <v>0</v>
      </c>
      <c r="N389" s="127">
        <f t="shared" si="83"/>
        <v>0</v>
      </c>
      <c r="O389" s="127">
        <f t="shared" si="83"/>
        <v>0</v>
      </c>
      <c r="P389" s="122"/>
      <c r="Q389" s="122"/>
      <c r="R389" s="122"/>
      <c r="S389" s="122"/>
      <c r="T389" s="173"/>
      <c r="U389" s="173"/>
      <c r="V389" s="173"/>
      <c r="W389" s="173"/>
      <c r="X389" s="173"/>
      <c r="Y389" s="173"/>
      <c r="Z389" s="173"/>
    </row>
    <row r="390" spans="1:26" ht="12.75" x14ac:dyDescent="0.2">
      <c r="A390" s="122"/>
      <c r="B390" s="180"/>
      <c r="C390" s="123"/>
      <c r="D390" s="180"/>
      <c r="E390" s="180"/>
      <c r="F390" s="194"/>
      <c r="G390" s="194"/>
      <c r="H390" s="194"/>
      <c r="I390" s="194"/>
      <c r="J390" s="194"/>
      <c r="K390" s="194"/>
      <c r="L390" s="194"/>
      <c r="M390" s="194"/>
      <c r="N390" s="194"/>
      <c r="O390" s="194"/>
      <c r="P390" s="122"/>
      <c r="Q390" s="122"/>
      <c r="R390" s="122"/>
      <c r="S390" s="122"/>
      <c r="T390" s="173"/>
      <c r="U390" s="173"/>
      <c r="V390" s="173"/>
      <c r="W390" s="173"/>
      <c r="X390" s="173"/>
      <c r="Y390" s="173"/>
      <c r="Z390" s="173"/>
    </row>
    <row r="391" spans="1:26" ht="12.75" x14ac:dyDescent="0.2">
      <c r="A391" s="122"/>
      <c r="B391" s="180"/>
      <c r="C391" s="195" t="s">
        <v>675</v>
      </c>
      <c r="D391" s="195"/>
      <c r="E391" s="195"/>
      <c r="F391" s="196">
        <f t="shared" ref="F391:O391" si="84">F385+F389</f>
        <v>3285.9105344847426</v>
      </c>
      <c r="G391" s="196">
        <f t="shared" si="84"/>
        <v>3351.6287451744379</v>
      </c>
      <c r="H391" s="196">
        <f t="shared" si="84"/>
        <v>3418.6613200779261</v>
      </c>
      <c r="I391" s="196">
        <f t="shared" si="84"/>
        <v>3487.0345464794846</v>
      </c>
      <c r="J391" s="196">
        <f t="shared" si="84"/>
        <v>3556.7752374090742</v>
      </c>
      <c r="K391" s="196">
        <f t="shared" si="84"/>
        <v>3627.9107421572562</v>
      </c>
      <c r="L391" s="196">
        <f t="shared" si="84"/>
        <v>3700.4689570004011</v>
      </c>
      <c r="M391" s="196">
        <f t="shared" si="84"/>
        <v>3774.4783361404093</v>
      </c>
      <c r="N391" s="196">
        <f t="shared" si="84"/>
        <v>3849.9679028632177</v>
      </c>
      <c r="O391" s="196">
        <f t="shared" si="84"/>
        <v>3926.9672609204827</v>
      </c>
      <c r="P391" s="122"/>
      <c r="Q391" s="122"/>
      <c r="R391" s="122"/>
      <c r="S391" s="122"/>
      <c r="T391" s="173"/>
      <c r="U391" s="173"/>
      <c r="V391" s="173"/>
      <c r="W391" s="173"/>
      <c r="X391" s="173"/>
      <c r="Y391" s="173"/>
      <c r="Z391" s="173"/>
    </row>
    <row r="392" spans="1:26" ht="12.75" x14ac:dyDescent="0.2">
      <c r="A392" s="122"/>
      <c r="B392" s="180"/>
      <c r="C392" s="180"/>
      <c r="D392" s="180"/>
      <c r="E392" s="180"/>
      <c r="F392" s="180"/>
      <c r="G392" s="180"/>
      <c r="H392" s="180"/>
      <c r="I392" s="180"/>
      <c r="J392" s="180"/>
      <c r="K392" s="180"/>
      <c r="L392" s="180"/>
      <c r="M392" s="180"/>
      <c r="N392" s="180"/>
      <c r="O392" s="180"/>
      <c r="P392" s="122"/>
      <c r="Q392" s="122"/>
      <c r="R392" s="122"/>
      <c r="S392" s="122"/>
      <c r="T392" s="173"/>
      <c r="U392" s="173"/>
      <c r="V392" s="173"/>
      <c r="W392" s="173"/>
      <c r="X392" s="173"/>
      <c r="Y392" s="173"/>
      <c r="Z392" s="173"/>
    </row>
    <row r="393" spans="1:26" ht="12.75" x14ac:dyDescent="0.2">
      <c r="A393" s="122"/>
      <c r="C393" s="192" t="s">
        <v>670</v>
      </c>
      <c r="D393" s="180"/>
      <c r="E393" s="180"/>
      <c r="F393" s="180"/>
      <c r="G393" s="180"/>
      <c r="H393" s="180"/>
      <c r="I393" s="180"/>
      <c r="J393" s="180"/>
      <c r="K393" s="180"/>
      <c r="L393" s="180"/>
      <c r="M393" s="180"/>
      <c r="N393" s="180"/>
      <c r="O393" s="180"/>
      <c r="P393" s="122"/>
      <c r="Q393" s="122"/>
      <c r="R393" s="122"/>
      <c r="S393" s="122"/>
      <c r="T393" s="173"/>
      <c r="U393" s="173"/>
      <c r="V393" s="173"/>
      <c r="W393" s="173"/>
      <c r="X393" s="173"/>
      <c r="Y393" s="173"/>
      <c r="Z393" s="173"/>
    </row>
    <row r="394" spans="1:26" ht="12.75" x14ac:dyDescent="0.2">
      <c r="A394" s="122"/>
      <c r="B394" s="192"/>
      <c r="C394" s="181" t="s">
        <v>144</v>
      </c>
      <c r="D394" s="180"/>
      <c r="E394" s="180"/>
      <c r="F394" s="180"/>
      <c r="G394" s="180"/>
      <c r="H394" s="180"/>
      <c r="I394" s="180"/>
      <c r="J394" s="180"/>
      <c r="K394" s="180"/>
      <c r="L394" s="180"/>
      <c r="M394" s="180"/>
      <c r="N394" s="180"/>
      <c r="O394" s="180"/>
      <c r="P394" s="122"/>
      <c r="Q394" s="122"/>
      <c r="R394" s="122"/>
      <c r="S394" s="122"/>
      <c r="T394" s="173"/>
      <c r="U394" s="173"/>
      <c r="V394" s="173"/>
      <c r="W394" s="173"/>
      <c r="X394" s="173"/>
      <c r="Y394" s="173"/>
      <c r="Z394" s="173"/>
    </row>
    <row r="395" spans="1:26" ht="12.75" x14ac:dyDescent="0.2">
      <c r="A395" s="122"/>
      <c r="B395" s="192"/>
      <c r="C395" s="180" t="s">
        <v>245</v>
      </c>
      <c r="D395" s="180"/>
      <c r="E395" s="338">
        <v>0</v>
      </c>
      <c r="F395" s="125">
        <f t="shared" ref="F395:O395" si="85">$J$88*(1+$J$89)/1000*$J$39</f>
        <v>0</v>
      </c>
      <c r="G395" s="125">
        <f t="shared" si="85"/>
        <v>0</v>
      </c>
      <c r="H395" s="125">
        <f t="shared" si="85"/>
        <v>0</v>
      </c>
      <c r="I395" s="125">
        <f t="shared" si="85"/>
        <v>0</v>
      </c>
      <c r="J395" s="125">
        <f t="shared" si="85"/>
        <v>0</v>
      </c>
      <c r="K395" s="125">
        <f t="shared" si="85"/>
        <v>0</v>
      </c>
      <c r="L395" s="125">
        <f t="shared" si="85"/>
        <v>0</v>
      </c>
      <c r="M395" s="125">
        <f t="shared" si="85"/>
        <v>0</v>
      </c>
      <c r="N395" s="125">
        <f t="shared" si="85"/>
        <v>0</v>
      </c>
      <c r="O395" s="125">
        <f t="shared" si="85"/>
        <v>0</v>
      </c>
      <c r="P395" s="122"/>
      <c r="Q395" s="197"/>
      <c r="R395" s="122"/>
      <c r="S395" s="122"/>
      <c r="T395" s="173"/>
      <c r="U395" s="173"/>
      <c r="V395" s="173"/>
      <c r="W395" s="173"/>
      <c r="X395" s="173"/>
      <c r="Y395" s="173"/>
      <c r="Z395" s="173"/>
    </row>
    <row r="396" spans="1:26" ht="12.75" x14ac:dyDescent="0.2">
      <c r="A396" s="122"/>
      <c r="B396" s="192"/>
      <c r="C396" s="182" t="s">
        <v>245</v>
      </c>
      <c r="D396" s="182"/>
      <c r="E396" s="182"/>
      <c r="F396" s="129">
        <f t="shared" ref="F396:O396" si="86">F395</f>
        <v>0</v>
      </c>
      <c r="G396" s="129">
        <f t="shared" si="86"/>
        <v>0</v>
      </c>
      <c r="H396" s="129">
        <f t="shared" si="86"/>
        <v>0</v>
      </c>
      <c r="I396" s="129">
        <f t="shared" si="86"/>
        <v>0</v>
      </c>
      <c r="J396" s="129">
        <f t="shared" si="86"/>
        <v>0</v>
      </c>
      <c r="K396" s="129">
        <f t="shared" si="86"/>
        <v>0</v>
      </c>
      <c r="L396" s="129">
        <f t="shared" si="86"/>
        <v>0</v>
      </c>
      <c r="M396" s="129">
        <f t="shared" si="86"/>
        <v>0</v>
      </c>
      <c r="N396" s="129">
        <f t="shared" si="86"/>
        <v>0</v>
      </c>
      <c r="O396" s="129">
        <f t="shared" si="86"/>
        <v>0</v>
      </c>
      <c r="P396" s="122"/>
      <c r="Q396" s="197"/>
      <c r="R396" s="122"/>
      <c r="S396" s="122"/>
      <c r="T396" s="173"/>
      <c r="U396" s="173"/>
      <c r="V396" s="173"/>
      <c r="W396" s="173"/>
      <c r="X396" s="173"/>
      <c r="Y396" s="173"/>
      <c r="Z396" s="173"/>
    </row>
    <row r="397" spans="1:26" ht="12.75" x14ac:dyDescent="0.2">
      <c r="A397" s="122"/>
      <c r="B397" s="192"/>
      <c r="C397" s="192"/>
      <c r="D397" s="180"/>
      <c r="E397" s="180"/>
      <c r="F397" s="180"/>
      <c r="G397" s="180"/>
      <c r="H397" s="180"/>
      <c r="I397" s="180"/>
      <c r="J397" s="180"/>
      <c r="K397" s="180"/>
      <c r="L397" s="180"/>
      <c r="M397" s="180"/>
      <c r="N397" s="180"/>
      <c r="O397" s="180"/>
      <c r="P397" s="122"/>
      <c r="Q397" s="122"/>
      <c r="R397" s="122"/>
      <c r="S397" s="122"/>
      <c r="T397" s="173"/>
      <c r="U397" s="173"/>
      <c r="V397" s="173"/>
      <c r="W397" s="173"/>
      <c r="X397" s="173"/>
      <c r="Y397" s="173"/>
      <c r="Z397" s="173"/>
    </row>
    <row r="398" spans="1:26" ht="12.75" x14ac:dyDescent="0.2">
      <c r="A398" s="122"/>
      <c r="B398" s="180"/>
      <c r="C398" s="181" t="s">
        <v>218</v>
      </c>
      <c r="D398" s="180"/>
      <c r="E398" s="180"/>
      <c r="F398" s="180"/>
      <c r="G398" s="180"/>
      <c r="H398" s="180"/>
      <c r="I398" s="180"/>
      <c r="J398" s="180"/>
      <c r="K398" s="180"/>
      <c r="L398" s="180"/>
      <c r="M398" s="180"/>
      <c r="N398" s="180"/>
      <c r="O398" s="180"/>
      <c r="P398" s="122"/>
      <c r="Q398" s="122"/>
      <c r="R398" s="122"/>
      <c r="S398" s="122"/>
      <c r="T398" s="173"/>
      <c r="U398" s="173"/>
      <c r="V398" s="173"/>
      <c r="W398" s="173"/>
      <c r="X398" s="173"/>
      <c r="Y398" s="173"/>
      <c r="Z398" s="173"/>
    </row>
    <row r="399" spans="1:26" ht="12.75" x14ac:dyDescent="0.2">
      <c r="A399" s="122"/>
      <c r="B399" s="180"/>
      <c r="C399" s="123" t="s">
        <v>447</v>
      </c>
      <c r="D399" s="180"/>
      <c r="E399" s="338">
        <v>1</v>
      </c>
      <c r="F399" s="125">
        <f>F291*$E399</f>
        <v>48.29999999999999</v>
      </c>
      <c r="G399" s="125">
        <f>G291*$E399</f>
        <v>48.29999999999999</v>
      </c>
      <c r="H399" s="125">
        <f>H291*$E399</f>
        <v>48.29999999999999</v>
      </c>
      <c r="I399" s="125">
        <f>I291*$E399</f>
        <v>48.29999999999999</v>
      </c>
      <c r="J399" s="125">
        <f>J291*$E399</f>
        <v>48.29999999999999</v>
      </c>
      <c r="K399" s="125">
        <f>K291*$E399</f>
        <v>48.29999999999999</v>
      </c>
      <c r="L399" s="125">
        <f>L291*$E399</f>
        <v>48.3</v>
      </c>
      <c r="M399" s="125">
        <f>M291*$E399</f>
        <v>48.29999999999999</v>
      </c>
      <c r="N399" s="125">
        <f>N291*$E399</f>
        <v>48.299999999999983</v>
      </c>
      <c r="O399" s="125">
        <f>O291*$E399</f>
        <v>48.3</v>
      </c>
      <c r="P399" s="122"/>
      <c r="Q399" s="122"/>
      <c r="R399" s="122"/>
      <c r="S399" s="122"/>
      <c r="T399" s="173"/>
      <c r="U399" s="173"/>
      <c r="V399" s="173"/>
      <c r="W399" s="173"/>
      <c r="X399" s="173"/>
      <c r="Y399" s="173"/>
      <c r="Z399" s="173"/>
    </row>
    <row r="400" spans="1:26" ht="12.75" x14ac:dyDescent="0.2">
      <c r="A400" s="122"/>
      <c r="B400" s="180"/>
      <c r="C400" s="123" t="s">
        <v>448</v>
      </c>
      <c r="D400" s="180"/>
      <c r="E400" s="338">
        <v>1</v>
      </c>
      <c r="F400" s="125">
        <f>F292*$E400</f>
        <v>72</v>
      </c>
      <c r="G400" s="125">
        <f>G292*$E400</f>
        <v>73.44</v>
      </c>
      <c r="H400" s="125">
        <f>H292*$E400</f>
        <v>74.908799999999999</v>
      </c>
      <c r="I400" s="125">
        <f>I292*$E400</f>
        <v>76.406976</v>
      </c>
      <c r="J400" s="125">
        <f>J292*$E400</f>
        <v>77.935115519999982</v>
      </c>
      <c r="K400" s="125">
        <f>K292*$E400</f>
        <v>79.49381783039999</v>
      </c>
      <c r="L400" s="125">
        <f>L292*$E400</f>
        <v>81.083694187008007</v>
      </c>
      <c r="M400" s="125">
        <f>M292*$E400</f>
        <v>82.705368070748179</v>
      </c>
      <c r="N400" s="125">
        <f>N292*$E400</f>
        <v>84.359475432163137</v>
      </c>
      <c r="O400" s="125">
        <f>O292*$E400</f>
        <v>86.046664940806394</v>
      </c>
      <c r="P400" s="122"/>
      <c r="Q400" s="122"/>
      <c r="R400" s="122"/>
      <c r="S400" s="122"/>
      <c r="T400" s="173"/>
      <c r="U400" s="173"/>
      <c r="V400" s="173"/>
      <c r="W400" s="173"/>
      <c r="X400" s="173"/>
      <c r="Y400" s="173"/>
      <c r="Z400" s="173"/>
    </row>
    <row r="401" spans="1:26" ht="12.75" x14ac:dyDescent="0.2">
      <c r="A401" s="122"/>
      <c r="B401" s="180"/>
      <c r="C401" s="123" t="s">
        <v>449</v>
      </c>
      <c r="D401" s="180"/>
      <c r="E401" s="338">
        <v>1</v>
      </c>
      <c r="F401" s="125">
        <f>F293*$E401</f>
        <v>9.1999999999999993</v>
      </c>
      <c r="G401" s="125">
        <f>G293*$E401</f>
        <v>9.2000000000000011</v>
      </c>
      <c r="H401" s="125">
        <f>H293*$E401</f>
        <v>9.1999999999999993</v>
      </c>
      <c r="I401" s="125">
        <f>I293*$E401</f>
        <v>9.1999999999999993</v>
      </c>
      <c r="J401" s="125">
        <f>J293*$E401</f>
        <v>9.1999999999999993</v>
      </c>
      <c r="K401" s="125">
        <f>K293*$E401</f>
        <v>9.1999999999999993</v>
      </c>
      <c r="L401" s="125">
        <f>L293*$E401</f>
        <v>9.2000000000000011</v>
      </c>
      <c r="M401" s="125">
        <f>M293*$E401</f>
        <v>9.2000000000000011</v>
      </c>
      <c r="N401" s="125">
        <f>N293*$E401</f>
        <v>9.1999999999999975</v>
      </c>
      <c r="O401" s="125">
        <f>O293*$E401</f>
        <v>9.1999999999999993</v>
      </c>
      <c r="P401" s="122"/>
      <c r="Q401" s="122"/>
      <c r="R401" s="122"/>
      <c r="S401" s="122"/>
      <c r="T401" s="173"/>
      <c r="U401" s="173"/>
      <c r="V401" s="173"/>
      <c r="W401" s="173"/>
      <c r="X401" s="173"/>
      <c r="Y401" s="173"/>
      <c r="Z401" s="173"/>
    </row>
    <row r="402" spans="1:26" ht="12.75" x14ac:dyDescent="0.2">
      <c r="A402" s="122"/>
      <c r="B402" s="180"/>
      <c r="C402" s="123" t="s">
        <v>450</v>
      </c>
      <c r="D402" s="180"/>
      <c r="E402" s="338">
        <v>1</v>
      </c>
      <c r="F402" s="125">
        <f>F294*$E402</f>
        <v>106.348</v>
      </c>
      <c r="G402" s="125">
        <f>G294*$E402</f>
        <v>106.34800000000001</v>
      </c>
      <c r="H402" s="125">
        <f>H294*$E402</f>
        <v>106.348</v>
      </c>
      <c r="I402" s="125">
        <f>I294*$E402</f>
        <v>106.348</v>
      </c>
      <c r="J402" s="125">
        <f>J294*$E402</f>
        <v>106.348</v>
      </c>
      <c r="K402" s="125">
        <f>K294*$E402</f>
        <v>106.348</v>
      </c>
      <c r="L402" s="125">
        <f>L294*$E402</f>
        <v>106.348</v>
      </c>
      <c r="M402" s="125">
        <f>M294*$E402</f>
        <v>106.34799999999998</v>
      </c>
      <c r="N402" s="125">
        <f>N294*$E402</f>
        <v>106.348</v>
      </c>
      <c r="O402" s="125">
        <f>O294*$E402</f>
        <v>106.348</v>
      </c>
      <c r="P402" s="122"/>
      <c r="Q402" s="122"/>
      <c r="R402" s="122"/>
      <c r="S402" s="122"/>
      <c r="T402" s="173"/>
      <c r="U402" s="173"/>
      <c r="V402" s="173"/>
      <c r="W402" s="173"/>
      <c r="X402" s="173"/>
      <c r="Y402" s="173"/>
      <c r="Z402" s="173"/>
    </row>
    <row r="403" spans="1:26" ht="12.75" x14ac:dyDescent="0.2">
      <c r="A403" s="122"/>
      <c r="B403" s="180"/>
      <c r="C403" s="152" t="s">
        <v>451</v>
      </c>
      <c r="D403" s="180"/>
      <c r="E403" s="338">
        <v>1</v>
      </c>
      <c r="F403" s="125">
        <f>F295*$E403</f>
        <v>27.995999999999999</v>
      </c>
      <c r="G403" s="125">
        <f>G295*$E403</f>
        <v>27.995999999999999</v>
      </c>
      <c r="H403" s="125">
        <f>H295*$E403</f>
        <v>27.995999999999999</v>
      </c>
      <c r="I403" s="125">
        <f>I295*$E403</f>
        <v>27.996000000000002</v>
      </c>
      <c r="J403" s="125">
        <f>J295*$E403</f>
        <v>27.996000000000002</v>
      </c>
      <c r="K403" s="125">
        <f>K295*$E403</f>
        <v>27.995999999999999</v>
      </c>
      <c r="L403" s="125">
        <f>L295*$E403</f>
        <v>27.996000000000002</v>
      </c>
      <c r="M403" s="125">
        <f>M295*$E403</f>
        <v>27.995999999999999</v>
      </c>
      <c r="N403" s="125">
        <f>N295*$E403</f>
        <v>27.996000000000002</v>
      </c>
      <c r="O403" s="125">
        <f>O295*$E403</f>
        <v>27.995999999999999</v>
      </c>
      <c r="P403" s="122"/>
      <c r="Q403" s="122"/>
      <c r="R403" s="122"/>
      <c r="S403" s="122"/>
      <c r="T403" s="173"/>
      <c r="U403" s="173"/>
      <c r="V403" s="173"/>
      <c r="W403" s="173"/>
      <c r="X403" s="173"/>
      <c r="Y403" s="173"/>
      <c r="Z403" s="173"/>
    </row>
    <row r="404" spans="1:26" ht="12.75" x14ac:dyDescent="0.2">
      <c r="A404" s="122"/>
      <c r="B404" s="180"/>
      <c r="C404" s="152" t="s">
        <v>452</v>
      </c>
      <c r="D404" s="180"/>
      <c r="E404" s="338">
        <v>1</v>
      </c>
      <c r="F404" s="125">
        <f>F296*$E404</f>
        <v>35.207999999999998</v>
      </c>
      <c r="G404" s="125">
        <f>G296*$E404</f>
        <v>35.208000000000006</v>
      </c>
      <c r="H404" s="125">
        <f>H296*$E404</f>
        <v>35.208000000000006</v>
      </c>
      <c r="I404" s="125">
        <f>I296*$E404</f>
        <v>35.208000000000006</v>
      </c>
      <c r="J404" s="125">
        <f>J296*$E404</f>
        <v>35.207999999999998</v>
      </c>
      <c r="K404" s="125">
        <f>K296*$E404</f>
        <v>35.208000000000006</v>
      </c>
      <c r="L404" s="125">
        <f>L296*$E404</f>
        <v>35.208000000000006</v>
      </c>
      <c r="M404" s="125">
        <f>M296*$E404</f>
        <v>35.208000000000006</v>
      </c>
      <c r="N404" s="125">
        <f>N296*$E404</f>
        <v>35.207999999999998</v>
      </c>
      <c r="O404" s="125">
        <f>O296*$E404</f>
        <v>35.207999999999998</v>
      </c>
      <c r="P404" s="122"/>
      <c r="Q404" s="122"/>
      <c r="R404" s="122"/>
      <c r="S404" s="122"/>
      <c r="T404" s="173"/>
      <c r="U404" s="173"/>
      <c r="V404" s="173"/>
      <c r="W404" s="173"/>
      <c r="X404" s="173"/>
      <c r="Y404" s="173"/>
      <c r="Z404" s="173"/>
    </row>
    <row r="405" spans="1:26" ht="12.75" x14ac:dyDescent="0.2">
      <c r="A405" s="122"/>
      <c r="B405" s="180"/>
      <c r="C405" s="152" t="s">
        <v>276</v>
      </c>
      <c r="D405" s="180"/>
      <c r="E405" s="338">
        <v>1</v>
      </c>
      <c r="F405" s="125">
        <f>F297*$E405</f>
        <v>58.68</v>
      </c>
      <c r="G405" s="125">
        <f>G297*$E405</f>
        <v>58.68</v>
      </c>
      <c r="H405" s="125">
        <f>H297*$E405</f>
        <v>58.68</v>
      </c>
      <c r="I405" s="125">
        <f>I297*$E405</f>
        <v>58.68</v>
      </c>
      <c r="J405" s="125">
        <f>J297*$E405</f>
        <v>0</v>
      </c>
      <c r="K405" s="125">
        <f>K297*$E405</f>
        <v>0</v>
      </c>
      <c r="L405" s="125">
        <f>L297*$E405</f>
        <v>0</v>
      </c>
      <c r="M405" s="125">
        <f>M297*$E405</f>
        <v>0</v>
      </c>
      <c r="N405" s="125">
        <f>N297*$E405</f>
        <v>0</v>
      </c>
      <c r="O405" s="125">
        <f>O297*$E405</f>
        <v>0</v>
      </c>
      <c r="P405" s="122"/>
      <c r="Q405" s="122"/>
      <c r="R405" s="122"/>
      <c r="S405" s="122"/>
      <c r="T405" s="173"/>
      <c r="U405" s="173"/>
      <c r="V405" s="173"/>
      <c r="W405" s="173"/>
      <c r="X405" s="173"/>
      <c r="Y405" s="173"/>
      <c r="Z405" s="173"/>
    </row>
    <row r="406" spans="1:26" ht="12.75" x14ac:dyDescent="0.2">
      <c r="A406" s="122"/>
      <c r="B406" s="180"/>
      <c r="C406" s="198" t="s">
        <v>207</v>
      </c>
      <c r="D406" s="182"/>
      <c r="E406" s="182"/>
      <c r="F406" s="193">
        <f>SUM(F399:F405)</f>
        <v>357.73199999999991</v>
      </c>
      <c r="G406" s="193">
        <f t="shared" ref="G406:O406" si="87">SUM(G399:G405)</f>
        <v>359.17200000000003</v>
      </c>
      <c r="H406" s="193">
        <f t="shared" si="87"/>
        <v>360.64080000000001</v>
      </c>
      <c r="I406" s="193">
        <f t="shared" si="87"/>
        <v>362.13897600000001</v>
      </c>
      <c r="J406" s="193">
        <f t="shared" si="87"/>
        <v>304.98711551999997</v>
      </c>
      <c r="K406" s="193">
        <f t="shared" si="87"/>
        <v>306.54581783039998</v>
      </c>
      <c r="L406" s="193">
        <f t="shared" si="87"/>
        <v>308.13569418700803</v>
      </c>
      <c r="M406" s="193">
        <f t="shared" si="87"/>
        <v>309.75736807074816</v>
      </c>
      <c r="N406" s="193">
        <f t="shared" si="87"/>
        <v>311.41147543216312</v>
      </c>
      <c r="O406" s="193">
        <f t="shared" si="87"/>
        <v>313.09866494080632</v>
      </c>
      <c r="P406" s="122"/>
      <c r="Q406" s="122"/>
      <c r="R406" s="122"/>
      <c r="S406" s="122"/>
      <c r="T406" s="173"/>
      <c r="U406" s="173"/>
      <c r="V406" s="173"/>
      <c r="W406" s="173"/>
      <c r="X406" s="173"/>
      <c r="Y406" s="173"/>
      <c r="Z406" s="173"/>
    </row>
    <row r="407" spans="1:26" ht="12.75" x14ac:dyDescent="0.2">
      <c r="A407" s="122"/>
      <c r="B407" s="180"/>
      <c r="C407" s="155"/>
      <c r="D407" s="180"/>
      <c r="E407" s="180"/>
      <c r="F407" s="180"/>
      <c r="G407" s="180"/>
      <c r="H407" s="180"/>
      <c r="I407" s="180"/>
      <c r="J407" s="180"/>
      <c r="K407" s="180"/>
      <c r="L407" s="180"/>
      <c r="M407" s="180"/>
      <c r="N407" s="180"/>
      <c r="O407" s="180"/>
      <c r="P407" s="122"/>
      <c r="Q407" s="122"/>
      <c r="R407" s="122"/>
      <c r="S407" s="122"/>
      <c r="T407" s="173"/>
      <c r="U407" s="173"/>
      <c r="V407" s="173"/>
      <c r="W407" s="173"/>
      <c r="X407" s="173"/>
      <c r="Y407" s="173"/>
      <c r="Z407" s="173"/>
    </row>
    <row r="408" spans="1:26" ht="12.75" x14ac:dyDescent="0.2">
      <c r="A408" s="122"/>
      <c r="B408" s="180"/>
      <c r="C408" s="188" t="s">
        <v>215</v>
      </c>
      <c r="D408" s="180"/>
      <c r="E408" s="180"/>
      <c r="F408" s="183"/>
      <c r="G408" s="183"/>
      <c r="H408" s="183"/>
      <c r="I408" s="183"/>
      <c r="J408" s="183"/>
      <c r="K408" s="183"/>
      <c r="L408" s="183"/>
      <c r="M408" s="183"/>
      <c r="N408" s="183"/>
      <c r="O408" s="183"/>
      <c r="P408" s="122"/>
      <c r="Q408" s="122"/>
      <c r="R408" s="122"/>
      <c r="S408" s="122"/>
      <c r="T408" s="173"/>
      <c r="U408" s="173"/>
      <c r="V408" s="173"/>
      <c r="W408" s="173"/>
      <c r="X408" s="173"/>
      <c r="Y408" s="173"/>
      <c r="Z408" s="173"/>
    </row>
    <row r="409" spans="1:26" ht="12.75" x14ac:dyDescent="0.2">
      <c r="A409" s="122"/>
      <c r="B409" s="180"/>
      <c r="C409" s="155" t="s">
        <v>110</v>
      </c>
      <c r="D409" s="180"/>
      <c r="E409" s="338">
        <v>1</v>
      </c>
      <c r="F409" s="125">
        <f>F301*$E409</f>
        <v>80</v>
      </c>
      <c r="G409" s="125">
        <f>G301*$E409</f>
        <v>80</v>
      </c>
      <c r="H409" s="125">
        <f>H301*$E409</f>
        <v>80</v>
      </c>
      <c r="I409" s="125">
        <f>I301*$E409</f>
        <v>80</v>
      </c>
      <c r="J409" s="125">
        <f>J301*$E409</f>
        <v>80</v>
      </c>
      <c r="K409" s="125">
        <f>K301*$E409</f>
        <v>80</v>
      </c>
      <c r="L409" s="125">
        <f>L301*$E409</f>
        <v>80</v>
      </c>
      <c r="M409" s="125">
        <f>M301*$E409</f>
        <v>79.999999999999986</v>
      </c>
      <c r="N409" s="125">
        <f>N301*$E409</f>
        <v>80</v>
      </c>
      <c r="O409" s="125">
        <f>O301*$E409</f>
        <v>80</v>
      </c>
      <c r="P409" s="122"/>
      <c r="Q409" s="122"/>
      <c r="R409" s="122"/>
      <c r="S409" s="122"/>
      <c r="T409" s="173"/>
      <c r="U409" s="173"/>
      <c r="V409" s="173"/>
      <c r="W409" s="173"/>
      <c r="X409" s="173"/>
      <c r="Y409" s="173"/>
      <c r="Z409" s="173"/>
    </row>
    <row r="410" spans="1:26" ht="12.75" x14ac:dyDescent="0.2">
      <c r="A410" s="122"/>
      <c r="B410" s="180"/>
      <c r="C410" s="184" t="s">
        <v>283</v>
      </c>
      <c r="D410" s="185"/>
      <c r="E410" s="338">
        <v>1</v>
      </c>
      <c r="F410" s="125">
        <f>F302*$E410</f>
        <v>27.972000000000001</v>
      </c>
      <c r="G410" s="125">
        <f>G302*$E410</f>
        <v>27.972000000000001</v>
      </c>
      <c r="H410" s="125">
        <f>H302*$E410</f>
        <v>27.971999999999998</v>
      </c>
      <c r="I410" s="125">
        <f>I302*$E410</f>
        <v>27.972000000000001</v>
      </c>
      <c r="J410" s="125">
        <f>J302*$E410</f>
        <v>27.972000000000001</v>
      </c>
      <c r="K410" s="125">
        <f>K302*$E410</f>
        <v>27.972000000000001</v>
      </c>
      <c r="L410" s="125">
        <f>L302*$E410</f>
        <v>27.972000000000001</v>
      </c>
      <c r="M410" s="125">
        <f>M302*$E410</f>
        <v>27.972000000000005</v>
      </c>
      <c r="N410" s="125">
        <f>N302*$E410</f>
        <v>27.972000000000001</v>
      </c>
      <c r="O410" s="125">
        <f>O302*$E410</f>
        <v>27.972000000000001</v>
      </c>
      <c r="P410" s="122"/>
      <c r="Q410" s="122"/>
      <c r="R410" s="122"/>
      <c r="S410" s="122"/>
      <c r="T410" s="173"/>
      <c r="U410" s="173"/>
      <c r="V410" s="173"/>
      <c r="W410" s="173"/>
      <c r="X410" s="173"/>
      <c r="Y410" s="173"/>
      <c r="Z410" s="173"/>
    </row>
    <row r="411" spans="1:26" ht="12.75" x14ac:dyDescent="0.2">
      <c r="A411" s="122"/>
      <c r="B411" s="180"/>
      <c r="C411" s="199" t="s">
        <v>216</v>
      </c>
      <c r="D411" s="182"/>
      <c r="E411" s="182"/>
      <c r="F411" s="127">
        <f t="shared" ref="F411:O411" si="88">SUM(F409:F410)</f>
        <v>107.97200000000001</v>
      </c>
      <c r="G411" s="127">
        <f t="shared" si="88"/>
        <v>107.97200000000001</v>
      </c>
      <c r="H411" s="127">
        <f t="shared" si="88"/>
        <v>107.97199999999999</v>
      </c>
      <c r="I411" s="127">
        <f t="shared" si="88"/>
        <v>107.97200000000001</v>
      </c>
      <c r="J411" s="127">
        <f t="shared" si="88"/>
        <v>107.97200000000001</v>
      </c>
      <c r="K411" s="127">
        <f t="shared" si="88"/>
        <v>107.97200000000001</v>
      </c>
      <c r="L411" s="127">
        <f t="shared" si="88"/>
        <v>107.97200000000001</v>
      </c>
      <c r="M411" s="127">
        <f t="shared" si="88"/>
        <v>107.97199999999999</v>
      </c>
      <c r="N411" s="127">
        <f t="shared" si="88"/>
        <v>107.97200000000001</v>
      </c>
      <c r="O411" s="127">
        <f t="shared" si="88"/>
        <v>107.97200000000001</v>
      </c>
      <c r="P411" s="122"/>
      <c r="Q411" s="122"/>
      <c r="R411" s="122"/>
      <c r="S411" s="122"/>
      <c r="T411" s="173"/>
      <c r="U411" s="173"/>
      <c r="V411" s="173"/>
      <c r="W411" s="173"/>
      <c r="X411" s="173"/>
      <c r="Y411" s="173"/>
      <c r="Z411" s="173"/>
    </row>
    <row r="412" spans="1:26" ht="12.75" x14ac:dyDescent="0.2">
      <c r="A412" s="122"/>
      <c r="B412" s="180"/>
      <c r="C412" s="155"/>
      <c r="D412" s="180"/>
      <c r="E412" s="180"/>
      <c r="F412" s="183"/>
      <c r="G412" s="183"/>
      <c r="H412" s="183"/>
      <c r="I412" s="183"/>
      <c r="J412" s="183"/>
      <c r="K412" s="183"/>
      <c r="L412" s="183"/>
      <c r="M412" s="183"/>
      <c r="N412" s="183"/>
      <c r="O412" s="183"/>
      <c r="P412" s="122"/>
      <c r="Q412" s="122"/>
      <c r="R412" s="122"/>
      <c r="S412" s="122"/>
      <c r="T412" s="173"/>
      <c r="U412" s="173"/>
      <c r="V412" s="173"/>
      <c r="W412" s="173"/>
      <c r="X412" s="173"/>
      <c r="Y412" s="173"/>
      <c r="Z412" s="173"/>
    </row>
    <row r="413" spans="1:26" ht="12.75" x14ac:dyDescent="0.2">
      <c r="A413" s="122"/>
      <c r="B413" s="180"/>
      <c r="C413" s="188" t="s">
        <v>219</v>
      </c>
      <c r="D413" s="180"/>
      <c r="E413" s="180"/>
      <c r="F413" s="183"/>
      <c r="G413" s="183"/>
      <c r="H413" s="183"/>
      <c r="I413" s="183"/>
      <c r="J413" s="183"/>
      <c r="K413" s="183"/>
      <c r="L413" s="183"/>
      <c r="M413" s="183"/>
      <c r="N413" s="183"/>
      <c r="O413" s="183"/>
      <c r="P413" s="122"/>
      <c r="Q413" s="122"/>
      <c r="R413" s="122"/>
      <c r="S413" s="122"/>
      <c r="T413" s="173"/>
      <c r="U413" s="173"/>
      <c r="V413" s="173"/>
      <c r="W413" s="173"/>
      <c r="X413" s="173"/>
      <c r="Y413" s="173"/>
      <c r="Z413" s="173"/>
    </row>
    <row r="414" spans="1:26" ht="12.75" x14ac:dyDescent="0.2">
      <c r="A414" s="122"/>
      <c r="B414" s="180"/>
      <c r="C414" s="152" t="s">
        <v>454</v>
      </c>
      <c r="D414" s="180"/>
      <c r="E414" s="338">
        <v>1</v>
      </c>
      <c r="F414" s="125">
        <f>F306*$E414</f>
        <v>263.10000000000002</v>
      </c>
      <c r="G414" s="125">
        <f>G306*$E414</f>
        <v>263.10000000000002</v>
      </c>
      <c r="H414" s="125">
        <f>H306*$E414</f>
        <v>263.10000000000002</v>
      </c>
      <c r="I414" s="125">
        <f>I306*$E414</f>
        <v>263.10000000000002</v>
      </c>
      <c r="J414" s="125">
        <f>J306*$E414</f>
        <v>263.10000000000002</v>
      </c>
      <c r="K414" s="125">
        <f>K306*$E414</f>
        <v>263.10000000000002</v>
      </c>
      <c r="L414" s="125">
        <f>L306*$E414</f>
        <v>263.10000000000002</v>
      </c>
      <c r="M414" s="125">
        <f>M306*$E414</f>
        <v>263.10000000000002</v>
      </c>
      <c r="N414" s="125">
        <f>N306*$E414</f>
        <v>263.10000000000002</v>
      </c>
      <c r="O414" s="125">
        <f>O306*$E414</f>
        <v>263.10000000000002</v>
      </c>
      <c r="P414" s="122"/>
      <c r="Q414" s="122"/>
      <c r="R414" s="122"/>
      <c r="S414" s="122"/>
      <c r="T414" s="173"/>
      <c r="U414" s="173"/>
      <c r="V414" s="173"/>
      <c r="W414" s="173"/>
      <c r="X414" s="173"/>
      <c r="Y414" s="173"/>
      <c r="Z414" s="173"/>
    </row>
    <row r="415" spans="1:26" ht="12.75" x14ac:dyDescent="0.2">
      <c r="A415" s="122"/>
      <c r="B415" s="180"/>
      <c r="C415" s="391" t="s">
        <v>456</v>
      </c>
      <c r="D415" s="180"/>
      <c r="E415" s="338">
        <v>1</v>
      </c>
      <c r="F415" s="125">
        <f>F307*$E415</f>
        <v>2111.9999999999995</v>
      </c>
      <c r="G415" s="125">
        <f>G307*$E415</f>
        <v>2154.2399999999993</v>
      </c>
      <c r="H415" s="125">
        <f>H307*$E415</f>
        <v>2197.3247999999994</v>
      </c>
      <c r="I415" s="125">
        <f>I307*$E415</f>
        <v>2241.271295999999</v>
      </c>
      <c r="J415" s="125">
        <f>J307*$E415</f>
        <v>2286.0967219199993</v>
      </c>
      <c r="K415" s="125">
        <f>K307*$E415</f>
        <v>2331.8186563583995</v>
      </c>
      <c r="L415" s="125">
        <f>L307*$E415</f>
        <v>2378.4550294855676</v>
      </c>
      <c r="M415" s="125">
        <f>M307*$E415</f>
        <v>2426.0241300752787</v>
      </c>
      <c r="N415" s="125">
        <f>N307*$E415</f>
        <v>2474.5446126767847</v>
      </c>
      <c r="O415" s="125">
        <f>O307*$E415</f>
        <v>2524.0355049303207</v>
      </c>
      <c r="P415" s="122"/>
      <c r="Q415" s="122"/>
      <c r="R415" s="122"/>
      <c r="S415" s="122"/>
      <c r="T415" s="173"/>
      <c r="U415" s="173"/>
      <c r="V415" s="173"/>
      <c r="W415" s="173"/>
      <c r="X415" s="173"/>
      <c r="Y415" s="173"/>
      <c r="Z415" s="173"/>
    </row>
    <row r="416" spans="1:26" ht="12.75" x14ac:dyDescent="0.2">
      <c r="A416" s="122"/>
      <c r="B416" s="180"/>
      <c r="C416" s="391" t="s">
        <v>459</v>
      </c>
      <c r="D416" s="180"/>
      <c r="E416" s="338">
        <v>1</v>
      </c>
      <c r="F416" s="125">
        <f>F308*$E416</f>
        <v>768</v>
      </c>
      <c r="G416" s="125">
        <f>G308*$E416</f>
        <v>783.36</v>
      </c>
      <c r="H416" s="125">
        <f>H308*$E416</f>
        <v>799.02720000000011</v>
      </c>
      <c r="I416" s="125">
        <f>I308*$E416</f>
        <v>815.007744</v>
      </c>
      <c r="J416" s="125">
        <f>J308*$E416</f>
        <v>831.30789888000004</v>
      </c>
      <c r="K416" s="125">
        <f>K308*$E416</f>
        <v>847.93405685760013</v>
      </c>
      <c r="L416" s="125">
        <f>L308*$E416</f>
        <v>864.892737994752</v>
      </c>
      <c r="M416" s="125">
        <f>M308*$E416</f>
        <v>882.19059275464713</v>
      </c>
      <c r="N416" s="125">
        <f>N308*$E416</f>
        <v>899.8344046097402</v>
      </c>
      <c r="O416" s="125">
        <f>O308*$E416</f>
        <v>917.83109270193495</v>
      </c>
      <c r="P416" s="122"/>
      <c r="Q416" s="122"/>
      <c r="R416" s="122"/>
      <c r="S416" s="122"/>
      <c r="T416" s="173"/>
      <c r="U416" s="173"/>
      <c r="V416" s="173"/>
      <c r="W416" s="173"/>
      <c r="X416" s="173"/>
      <c r="Y416" s="173"/>
      <c r="Z416" s="173"/>
    </row>
    <row r="417" spans="1:26" ht="12.75" x14ac:dyDescent="0.2">
      <c r="A417" s="122"/>
      <c r="B417" s="180"/>
      <c r="C417" s="152" t="s">
        <v>102</v>
      </c>
      <c r="D417" s="180"/>
      <c r="E417" s="299">
        <f>CFs!$C$218</f>
        <v>1.0969941102134646</v>
      </c>
      <c r="F417" s="125">
        <f>F309*$E417</f>
        <v>0</v>
      </c>
      <c r="G417" s="125">
        <f>G309*$E417</f>
        <v>0</v>
      </c>
      <c r="H417" s="125">
        <f>H309*$E417</f>
        <v>0</v>
      </c>
      <c r="I417" s="125">
        <f>I309*$E417</f>
        <v>0</v>
      </c>
      <c r="J417" s="125">
        <f>J309*$E417</f>
        <v>0</v>
      </c>
      <c r="K417" s="125">
        <f>K309*$E417</f>
        <v>0</v>
      </c>
      <c r="L417" s="125">
        <f>L309*$E417</f>
        <v>0</v>
      </c>
      <c r="M417" s="125">
        <f>M309*$E417</f>
        <v>0</v>
      </c>
      <c r="N417" s="125">
        <f>N309*$E417</f>
        <v>0</v>
      </c>
      <c r="O417" s="125">
        <f>O309*$E417</f>
        <v>0</v>
      </c>
      <c r="P417" s="122"/>
      <c r="Q417" s="122"/>
      <c r="R417" s="122"/>
      <c r="S417" s="122"/>
      <c r="T417" s="173"/>
      <c r="U417" s="173"/>
      <c r="V417" s="173"/>
      <c r="W417" s="173"/>
      <c r="X417" s="173"/>
      <c r="Y417" s="173"/>
      <c r="Z417" s="173"/>
    </row>
    <row r="418" spans="1:26" ht="12.75" x14ac:dyDescent="0.2">
      <c r="A418" s="122"/>
      <c r="B418" s="155"/>
      <c r="C418" s="198" t="s">
        <v>217</v>
      </c>
      <c r="D418" s="198"/>
      <c r="E418" s="198"/>
      <c r="F418" s="200">
        <f t="shared" ref="F418:O418" si="89">SUM(F414:F417)</f>
        <v>3143.0999999999995</v>
      </c>
      <c r="G418" s="200">
        <f t="shared" si="89"/>
        <v>3200.6999999999994</v>
      </c>
      <c r="H418" s="200">
        <f t="shared" si="89"/>
        <v>3259.4519999999993</v>
      </c>
      <c r="I418" s="200">
        <f t="shared" si="89"/>
        <v>3319.3790399999989</v>
      </c>
      <c r="J418" s="200">
        <f t="shared" si="89"/>
        <v>3380.5046207999994</v>
      </c>
      <c r="K418" s="200">
        <f t="shared" si="89"/>
        <v>3442.8527132159998</v>
      </c>
      <c r="L418" s="200">
        <f t="shared" si="89"/>
        <v>3506.4477674803193</v>
      </c>
      <c r="M418" s="200">
        <f t="shared" si="89"/>
        <v>3571.3147228299258</v>
      </c>
      <c r="N418" s="200">
        <f t="shared" si="89"/>
        <v>3637.479017286525</v>
      </c>
      <c r="O418" s="200">
        <f t="shared" si="89"/>
        <v>3704.9665976322558</v>
      </c>
      <c r="P418" s="122"/>
      <c r="Q418" s="122"/>
      <c r="R418" s="122"/>
      <c r="S418" s="122"/>
      <c r="T418" s="173"/>
      <c r="U418" s="173"/>
      <c r="V418" s="173"/>
      <c r="W418" s="173"/>
      <c r="X418" s="173"/>
      <c r="Y418" s="173"/>
      <c r="Z418" s="173"/>
    </row>
    <row r="419" spans="1:26" ht="12.75" x14ac:dyDescent="0.2">
      <c r="A419" s="122"/>
      <c r="B419" s="155"/>
      <c r="C419" s="155"/>
      <c r="D419" s="155"/>
      <c r="E419" s="155"/>
      <c r="F419" s="155"/>
      <c r="G419" s="155"/>
      <c r="H419" s="155"/>
      <c r="I419" s="155"/>
      <c r="J419" s="155"/>
      <c r="K419" s="155"/>
      <c r="L419" s="155"/>
      <c r="M419" s="155"/>
      <c r="N419" s="155"/>
      <c r="O419" s="155"/>
      <c r="P419" s="122"/>
      <c r="Q419" s="122"/>
      <c r="R419" s="122"/>
      <c r="S419" s="122"/>
      <c r="T419" s="173"/>
      <c r="U419" s="173"/>
      <c r="V419" s="173"/>
      <c r="W419" s="173"/>
      <c r="X419" s="173"/>
      <c r="Y419" s="173"/>
      <c r="Z419" s="173"/>
    </row>
    <row r="420" spans="1:26" ht="12.75" x14ac:dyDescent="0.2">
      <c r="A420" s="122"/>
      <c r="B420" s="180"/>
      <c r="C420" s="188" t="s">
        <v>287</v>
      </c>
      <c r="D420" s="201"/>
      <c r="E420" s="201"/>
      <c r="F420" s="202"/>
      <c r="G420" s="202"/>
      <c r="H420" s="202"/>
      <c r="I420" s="202"/>
      <c r="J420" s="202"/>
      <c r="K420" s="202"/>
      <c r="L420" s="202"/>
      <c r="M420" s="202"/>
      <c r="N420" s="202"/>
      <c r="O420" s="202"/>
      <c r="P420" s="122"/>
      <c r="Q420" s="122"/>
      <c r="R420" s="122"/>
      <c r="S420" s="122"/>
      <c r="T420" s="173"/>
      <c r="U420" s="173"/>
      <c r="V420" s="173"/>
      <c r="W420" s="173"/>
      <c r="X420" s="173"/>
      <c r="Y420" s="173"/>
      <c r="Z420" s="173"/>
    </row>
    <row r="421" spans="1:26" ht="12.75" x14ac:dyDescent="0.2">
      <c r="A421" s="122"/>
      <c r="B421" s="180"/>
      <c r="C421" s="155" t="s">
        <v>375</v>
      </c>
      <c r="D421" s="201"/>
      <c r="E421" s="338">
        <v>1.2</v>
      </c>
      <c r="F421" s="125">
        <f>F313*$E421</f>
        <v>17.596709760000003</v>
      </c>
      <c r="G421" s="125">
        <f>G313*$E421</f>
        <v>17.97948096</v>
      </c>
      <c r="H421" s="125">
        <f>H313*$E421</f>
        <v>18.369907584000003</v>
      </c>
      <c r="I421" s="125">
        <f>I313*$E421</f>
        <v>18.768142740480009</v>
      </c>
      <c r="J421" s="125">
        <f>J313*$E421</f>
        <v>19.174342600089602</v>
      </c>
      <c r="K421" s="125">
        <f>K313*$E421</f>
        <v>19.588666456891392</v>
      </c>
      <c r="L421" s="125">
        <f>L313*$E421</f>
        <v>20.011276790829225</v>
      </c>
      <c r="M421" s="125">
        <f>M313*$E421</f>
        <v>20.442339331445808</v>
      </c>
      <c r="N421" s="125">
        <f>N313*$E421</f>
        <v>20.882023122874724</v>
      </c>
      <c r="O421" s="125">
        <f>O313*$E421</f>
        <v>21.330500590132228</v>
      </c>
      <c r="P421" s="122"/>
      <c r="Q421" s="122"/>
      <c r="R421" s="122"/>
      <c r="S421" s="122"/>
      <c r="T421" s="173"/>
      <c r="U421" s="173"/>
      <c r="V421" s="173"/>
      <c r="W421" s="173"/>
      <c r="X421" s="173"/>
      <c r="Y421" s="173"/>
      <c r="Z421" s="173"/>
    </row>
    <row r="422" spans="1:26" ht="12.75" x14ac:dyDescent="0.2">
      <c r="A422" s="122"/>
      <c r="B422" s="180"/>
      <c r="C422" s="184" t="s">
        <v>284</v>
      </c>
      <c r="D422" s="185"/>
      <c r="E422" s="339">
        <v>1</v>
      </c>
      <c r="F422" s="141">
        <f>F314*$E422</f>
        <v>13.235200000000001</v>
      </c>
      <c r="G422" s="141">
        <f>G314*$E422</f>
        <v>13.499904000000001</v>
      </c>
      <c r="H422" s="141">
        <f>H314*$E422</f>
        <v>13.769902080000001</v>
      </c>
      <c r="I422" s="141">
        <f>I314*$E422</f>
        <v>14.045300121600004</v>
      </c>
      <c r="J422" s="141">
        <f>J314*$E422</f>
        <v>14.326206124032002</v>
      </c>
      <c r="K422" s="141">
        <f>K314*$E422</f>
        <v>14.612730246512641</v>
      </c>
      <c r="L422" s="141">
        <f>L314*$E422</f>
        <v>14.904984851442894</v>
      </c>
      <c r="M422" s="141">
        <f>M314*$E422</f>
        <v>15.203084548471754</v>
      </c>
      <c r="N422" s="141">
        <f>N314*$E422</f>
        <v>15.507146239441187</v>
      </c>
      <c r="O422" s="141">
        <f>O314*$E422</f>
        <v>15.817289164230015</v>
      </c>
      <c r="P422" s="122"/>
      <c r="Q422" s="122"/>
      <c r="R422" s="122"/>
      <c r="S422" s="122"/>
      <c r="T422" s="173"/>
      <c r="U422" s="173"/>
      <c r="V422" s="173"/>
      <c r="W422" s="173"/>
      <c r="X422" s="173"/>
      <c r="Y422" s="173"/>
      <c r="Z422" s="173"/>
    </row>
    <row r="423" spans="1:26" ht="12.75" x14ac:dyDescent="0.2">
      <c r="A423" s="122"/>
      <c r="B423" s="180"/>
      <c r="C423" s="189" t="s">
        <v>289</v>
      </c>
      <c r="D423" s="201"/>
      <c r="E423" s="201"/>
      <c r="F423" s="202">
        <f t="shared" ref="F423:O423" si="90">SUM(F421:F422)</f>
        <v>30.831909760000002</v>
      </c>
      <c r="G423" s="202">
        <f t="shared" si="90"/>
        <v>31.479384960000001</v>
      </c>
      <c r="H423" s="202">
        <f t="shared" si="90"/>
        <v>32.139809664000005</v>
      </c>
      <c r="I423" s="202">
        <f t="shared" si="90"/>
        <v>32.813442862080009</v>
      </c>
      <c r="J423" s="202">
        <f t="shared" si="90"/>
        <v>33.5005487241216</v>
      </c>
      <c r="K423" s="202">
        <f t="shared" si="90"/>
        <v>34.201396703404029</v>
      </c>
      <c r="L423" s="202">
        <f t="shared" si="90"/>
        <v>34.916261642272119</v>
      </c>
      <c r="M423" s="202">
        <f t="shared" si="90"/>
        <v>35.645423879917558</v>
      </c>
      <c r="N423" s="202">
        <f t="shared" si="90"/>
        <v>36.389169362315911</v>
      </c>
      <c r="O423" s="202">
        <f t="shared" si="90"/>
        <v>37.147789754362243</v>
      </c>
      <c r="P423" s="122"/>
      <c r="Q423" s="122"/>
      <c r="R423" s="122"/>
      <c r="S423" s="122"/>
      <c r="T423" s="173"/>
      <c r="U423" s="173"/>
      <c r="V423" s="173"/>
      <c r="W423" s="173"/>
      <c r="X423" s="173"/>
      <c r="Y423" s="173"/>
      <c r="Z423" s="173"/>
    </row>
    <row r="424" spans="1:26" ht="12.75" x14ac:dyDescent="0.2">
      <c r="A424" s="122"/>
      <c r="B424" s="155"/>
      <c r="C424" s="155"/>
      <c r="D424" s="155"/>
      <c r="E424" s="155"/>
      <c r="F424" s="155"/>
      <c r="G424" s="155"/>
      <c r="H424" s="155"/>
      <c r="I424" s="155"/>
      <c r="J424" s="155"/>
      <c r="K424" s="155"/>
      <c r="L424" s="155"/>
      <c r="M424" s="155"/>
      <c r="N424" s="155"/>
      <c r="O424" s="155"/>
      <c r="P424" s="122"/>
      <c r="Q424" s="122"/>
      <c r="R424" s="122"/>
      <c r="S424" s="122"/>
      <c r="T424" s="173"/>
      <c r="U424" s="173"/>
      <c r="V424" s="173"/>
      <c r="W424" s="173"/>
      <c r="X424" s="173"/>
      <c r="Y424" s="173"/>
      <c r="Z424" s="173"/>
    </row>
    <row r="425" spans="1:26" ht="12.75" x14ac:dyDescent="0.2">
      <c r="A425" s="122"/>
      <c r="B425" s="155"/>
      <c r="C425" s="203" t="s">
        <v>669</v>
      </c>
      <c r="D425" s="203"/>
      <c r="E425" s="203"/>
      <c r="F425" s="204">
        <f t="shared" ref="F425:O425" si="91">F396+F406+F411+F418+F423</f>
        <v>3639.6359097599993</v>
      </c>
      <c r="G425" s="204">
        <f t="shared" si="91"/>
        <v>3699.3233849599992</v>
      </c>
      <c r="H425" s="204">
        <f t="shared" si="91"/>
        <v>3760.2046096639992</v>
      </c>
      <c r="I425" s="204">
        <f t="shared" si="91"/>
        <v>3822.303458862079</v>
      </c>
      <c r="J425" s="204">
        <f t="shared" si="91"/>
        <v>3826.964285044121</v>
      </c>
      <c r="K425" s="204">
        <f t="shared" si="91"/>
        <v>3891.5719277498038</v>
      </c>
      <c r="L425" s="204">
        <f t="shared" si="91"/>
        <v>3957.4717233095994</v>
      </c>
      <c r="M425" s="204">
        <f t="shared" si="91"/>
        <v>4024.6895147805913</v>
      </c>
      <c r="N425" s="204">
        <f t="shared" si="91"/>
        <v>4093.2516620810043</v>
      </c>
      <c r="O425" s="204">
        <f t="shared" si="91"/>
        <v>4163.1850523274243</v>
      </c>
      <c r="P425" s="122"/>
      <c r="Q425" s="122"/>
      <c r="R425" s="122"/>
      <c r="S425" s="122"/>
      <c r="T425" s="173"/>
      <c r="U425" s="173"/>
      <c r="V425" s="173"/>
      <c r="W425" s="173"/>
      <c r="X425" s="173"/>
      <c r="Y425" s="173"/>
      <c r="Z425" s="173"/>
    </row>
    <row r="426" spans="1:26" ht="12.75" x14ac:dyDescent="0.2">
      <c r="A426" s="122"/>
      <c r="B426" s="155"/>
      <c r="C426" s="155"/>
      <c r="D426" s="155"/>
      <c r="E426" s="155"/>
      <c r="F426" s="205"/>
      <c r="G426" s="205"/>
      <c r="H426" s="205"/>
      <c r="I426" s="205"/>
      <c r="J426" s="205"/>
      <c r="K426" s="205"/>
      <c r="L426" s="205"/>
      <c r="M426" s="205"/>
      <c r="N426" s="205"/>
      <c r="O426" s="205"/>
      <c r="P426" s="122"/>
      <c r="Q426" s="122"/>
      <c r="R426" s="122"/>
      <c r="S426" s="122"/>
      <c r="T426" s="173"/>
      <c r="U426" s="173"/>
      <c r="V426" s="173"/>
      <c r="W426" s="173"/>
      <c r="X426" s="173"/>
      <c r="Y426" s="173"/>
      <c r="Z426" s="173"/>
    </row>
    <row r="427" spans="1:26" ht="12.75" x14ac:dyDescent="0.2">
      <c r="A427" s="122"/>
      <c r="B427" s="157"/>
      <c r="C427" s="206" t="s">
        <v>762</v>
      </c>
      <c r="D427" s="203"/>
      <c r="E427" s="203"/>
      <c r="F427" s="207">
        <f t="shared" ref="F427:O427" si="92">F391-F425</f>
        <v>-353.72537527525674</v>
      </c>
      <c r="G427" s="207">
        <f t="shared" si="92"/>
        <v>-347.69463978556132</v>
      </c>
      <c r="H427" s="207">
        <f t="shared" si="92"/>
        <v>-341.54328958607312</v>
      </c>
      <c r="I427" s="207">
        <f t="shared" si="92"/>
        <v>-335.26891238259441</v>
      </c>
      <c r="J427" s="207">
        <f t="shared" si="92"/>
        <v>-270.18904763504679</v>
      </c>
      <c r="K427" s="207">
        <f t="shared" si="92"/>
        <v>-263.66118559254755</v>
      </c>
      <c r="L427" s="207">
        <f t="shared" si="92"/>
        <v>-257.00276630919825</v>
      </c>
      <c r="M427" s="207">
        <f t="shared" si="92"/>
        <v>-250.21117864018197</v>
      </c>
      <c r="N427" s="207">
        <f t="shared" si="92"/>
        <v>-243.28375921778661</v>
      </c>
      <c r="O427" s="207">
        <f t="shared" si="92"/>
        <v>-236.21779140694161</v>
      </c>
      <c r="P427" s="122"/>
      <c r="Q427" s="122"/>
      <c r="R427" s="122"/>
      <c r="S427" s="122"/>
      <c r="T427" s="173"/>
      <c r="U427" s="173"/>
      <c r="V427" s="173"/>
      <c r="W427" s="173"/>
      <c r="X427" s="173"/>
      <c r="Y427" s="173"/>
      <c r="Z427" s="173"/>
    </row>
    <row r="428" spans="1:26" ht="12.75" x14ac:dyDescent="0.2">
      <c r="A428" s="122"/>
      <c r="B428" s="122"/>
      <c r="C428" s="122"/>
      <c r="D428" s="122"/>
      <c r="E428" s="122"/>
      <c r="F428" s="122"/>
      <c r="G428" s="122"/>
      <c r="H428" s="122"/>
      <c r="I428" s="122"/>
      <c r="J428" s="122"/>
      <c r="K428" s="122"/>
      <c r="L428" s="122"/>
      <c r="M428" s="122"/>
      <c r="N428" s="122"/>
      <c r="O428" s="122"/>
      <c r="P428" s="122"/>
      <c r="Q428" s="122"/>
      <c r="R428" s="122"/>
      <c r="S428" s="122"/>
      <c r="T428" s="173"/>
      <c r="U428" s="173"/>
      <c r="V428" s="173"/>
      <c r="W428" s="173"/>
      <c r="X428" s="173"/>
      <c r="Y428" s="173"/>
      <c r="Z428" s="173"/>
    </row>
    <row r="429" spans="1:26" ht="12.75" x14ac:dyDescent="0.2">
      <c r="A429" s="392" t="s">
        <v>769</v>
      </c>
      <c r="B429" s="119"/>
      <c r="C429" s="119"/>
      <c r="D429" s="161" t="s">
        <v>174</v>
      </c>
      <c r="E429" s="161"/>
      <c r="F429" s="162">
        <v>0</v>
      </c>
      <c r="G429" s="162">
        <v>1</v>
      </c>
      <c r="H429" s="162">
        <v>2</v>
      </c>
      <c r="I429" s="162">
        <v>3</v>
      </c>
      <c r="J429" s="162">
        <v>4</v>
      </c>
      <c r="K429" s="162">
        <v>5</v>
      </c>
      <c r="L429" s="162">
        <v>6</v>
      </c>
      <c r="M429" s="162">
        <v>7</v>
      </c>
      <c r="N429" s="162">
        <v>8</v>
      </c>
      <c r="O429" s="162">
        <v>9</v>
      </c>
      <c r="P429" s="119"/>
      <c r="Q429" s="119"/>
      <c r="R429" s="119"/>
      <c r="S429" s="119"/>
      <c r="T429" s="158"/>
      <c r="U429" s="158"/>
      <c r="V429" s="158"/>
      <c r="W429" s="158"/>
      <c r="X429" s="158"/>
      <c r="Y429" s="158"/>
      <c r="Z429" s="158"/>
    </row>
    <row r="430" spans="1:26" ht="12.75" x14ac:dyDescent="0.2">
      <c r="A430" s="122"/>
      <c r="B430" s="389" t="s">
        <v>761</v>
      </c>
      <c r="C430" s="155"/>
      <c r="D430" s="155"/>
      <c r="E430" s="155"/>
      <c r="F430" s="155"/>
      <c r="G430" s="155"/>
      <c r="H430" s="155"/>
      <c r="I430" s="155"/>
      <c r="J430" s="155"/>
      <c r="K430" s="155"/>
      <c r="L430" s="155"/>
      <c r="M430" s="155"/>
      <c r="N430" s="155"/>
      <c r="O430" s="155"/>
      <c r="P430" s="122"/>
      <c r="Q430" s="122"/>
      <c r="R430" s="122"/>
      <c r="S430" s="122"/>
      <c r="T430" s="173"/>
      <c r="U430" s="173"/>
      <c r="V430" s="173"/>
      <c r="W430" s="173"/>
      <c r="X430" s="173"/>
      <c r="Y430" s="173"/>
      <c r="Z430" s="173"/>
    </row>
    <row r="431" spans="1:26" ht="12.75" x14ac:dyDescent="0.2">
      <c r="A431" s="122"/>
      <c r="B431" s="155"/>
      <c r="C431" s="155" t="s">
        <v>672</v>
      </c>
      <c r="D431" s="155"/>
      <c r="E431" s="155"/>
      <c r="F431" s="125">
        <f>F391-F343</f>
        <v>575.03434353482999</v>
      </c>
      <c r="G431" s="125">
        <f>G391-G343</f>
        <v>586.53503040552641</v>
      </c>
      <c r="H431" s="125">
        <f>H391-H343</f>
        <v>598.26573101363692</v>
      </c>
      <c r="I431" s="125">
        <f>I391-I343</f>
        <v>610.23104563390962</v>
      </c>
      <c r="J431" s="125">
        <f>J391-J343</f>
        <v>622.43566654658798</v>
      </c>
      <c r="K431" s="125">
        <f>K391-K343</f>
        <v>634.88437987751968</v>
      </c>
      <c r="L431" s="125">
        <f>L391-L343</f>
        <v>647.58206747506983</v>
      </c>
      <c r="M431" s="125">
        <f>M391-M343</f>
        <v>660.53370882457102</v>
      </c>
      <c r="N431" s="125">
        <f>N391-N343</f>
        <v>673.7443830010634</v>
      </c>
      <c r="O431" s="125">
        <f>O391-O343</f>
        <v>718.07025458772569</v>
      </c>
      <c r="P431" s="122"/>
      <c r="Q431" s="122"/>
      <c r="R431" s="122"/>
      <c r="S431" s="122"/>
      <c r="T431" s="173"/>
      <c r="U431" s="173"/>
      <c r="V431" s="173"/>
      <c r="W431" s="173"/>
      <c r="X431" s="173"/>
      <c r="Y431" s="173"/>
      <c r="Z431" s="173"/>
    </row>
    <row r="432" spans="1:26" ht="12.75" x14ac:dyDescent="0.2">
      <c r="A432" s="122"/>
      <c r="B432" s="155"/>
      <c r="C432" s="155" t="s">
        <v>673</v>
      </c>
      <c r="D432" s="155"/>
      <c r="E432" s="155"/>
      <c r="F432" s="125">
        <f>F425-F377</f>
        <v>488.83556799999951</v>
      </c>
      <c r="G432" s="125">
        <f>G425-G377</f>
        <v>492.00884735999853</v>
      </c>
      <c r="H432" s="125">
        <f>H425-H377</f>
        <v>495.24559230719888</v>
      </c>
      <c r="I432" s="125">
        <f>I425-I377</f>
        <v>498.54707215334292</v>
      </c>
      <c r="J432" s="125">
        <f>J425-J377</f>
        <v>443.23458159640995</v>
      </c>
      <c r="K432" s="125">
        <f>K425-K377</f>
        <v>446.66944122833866</v>
      </c>
      <c r="L432" s="125">
        <f>L425-L377</f>
        <v>450.1729980529044</v>
      </c>
      <c r="M432" s="125">
        <f>M425-M377</f>
        <v>453.74662601396267</v>
      </c>
      <c r="N432" s="125">
        <f>N425-N377</f>
        <v>457.39172653424339</v>
      </c>
      <c r="O432" s="125">
        <f>O425-O377</f>
        <v>493.26757074924308</v>
      </c>
      <c r="P432" s="122"/>
      <c r="Q432" s="122"/>
      <c r="R432" s="122"/>
      <c r="S432" s="122"/>
      <c r="T432" s="173"/>
      <c r="U432" s="173"/>
      <c r="V432" s="173"/>
      <c r="W432" s="173"/>
      <c r="X432" s="173"/>
      <c r="Y432" s="173"/>
      <c r="Z432" s="173"/>
    </row>
    <row r="433" spans="1:26" ht="12.75" x14ac:dyDescent="0.2">
      <c r="A433" s="122"/>
      <c r="B433" s="155"/>
      <c r="C433" s="155" t="s">
        <v>674</v>
      </c>
      <c r="D433" s="155"/>
      <c r="E433" s="155"/>
      <c r="F433" s="125">
        <f>F431-F432</f>
        <v>86.198775534830474</v>
      </c>
      <c r="G433" s="125">
        <f t="shared" ref="G433:O433" si="93">G431-G432</f>
        <v>94.526183045527887</v>
      </c>
      <c r="H433" s="125">
        <f t="shared" si="93"/>
        <v>103.02013870643805</v>
      </c>
      <c r="I433" s="125">
        <f t="shared" si="93"/>
        <v>111.68397348056669</v>
      </c>
      <c r="J433" s="125">
        <f t="shared" si="93"/>
        <v>179.20108495017803</v>
      </c>
      <c r="K433" s="125">
        <f t="shared" si="93"/>
        <v>188.21493864918102</v>
      </c>
      <c r="L433" s="125">
        <f t="shared" si="93"/>
        <v>197.40906942216543</v>
      </c>
      <c r="M433" s="125">
        <f t="shared" si="93"/>
        <v>206.78708281060835</v>
      </c>
      <c r="N433" s="125">
        <f t="shared" si="93"/>
        <v>216.35265646682001</v>
      </c>
      <c r="O433" s="125">
        <f t="shared" si="93"/>
        <v>224.80268383848261</v>
      </c>
      <c r="P433" s="122"/>
      <c r="Q433" s="197"/>
      <c r="R433" s="122"/>
      <c r="S433" s="122"/>
      <c r="T433" s="173"/>
      <c r="U433" s="173"/>
      <c r="V433" s="173"/>
      <c r="W433" s="173"/>
      <c r="X433" s="173"/>
      <c r="Y433" s="173"/>
      <c r="Z433" s="173"/>
    </row>
    <row r="434" spans="1:26" ht="12.75" x14ac:dyDescent="0.2">
      <c r="A434" s="122"/>
      <c r="B434" s="122"/>
      <c r="C434" s="122"/>
      <c r="D434" s="122"/>
      <c r="E434" s="122"/>
      <c r="F434" s="197"/>
      <c r="G434" s="197"/>
      <c r="H434" s="197"/>
      <c r="I434" s="197"/>
      <c r="J434" s="197"/>
      <c r="K434" s="197"/>
      <c r="L434" s="197"/>
      <c r="M434" s="197"/>
      <c r="N434" s="197"/>
      <c r="O434" s="197"/>
      <c r="P434" s="122"/>
      <c r="Q434" s="122"/>
      <c r="R434" s="122"/>
      <c r="S434" s="122"/>
      <c r="T434" s="173"/>
      <c r="U434" s="173"/>
      <c r="V434" s="173"/>
      <c r="W434" s="173"/>
      <c r="X434" s="173"/>
      <c r="Y434" s="173"/>
      <c r="Z434" s="173"/>
    </row>
    <row r="435" spans="1:26" ht="12.75" x14ac:dyDescent="0.2">
      <c r="A435" s="392" t="s">
        <v>770</v>
      </c>
      <c r="B435" s="119"/>
      <c r="C435" s="119"/>
      <c r="D435" s="161" t="s">
        <v>174</v>
      </c>
      <c r="E435" s="161"/>
      <c r="F435" s="162">
        <v>0</v>
      </c>
      <c r="G435" s="162">
        <v>1</v>
      </c>
      <c r="H435" s="162">
        <v>2</v>
      </c>
      <c r="I435" s="162">
        <v>3</v>
      </c>
      <c r="J435" s="162">
        <v>4</v>
      </c>
      <c r="K435" s="162">
        <v>5</v>
      </c>
      <c r="L435" s="162">
        <v>6</v>
      </c>
      <c r="M435" s="162">
        <v>7</v>
      </c>
      <c r="N435" s="162">
        <v>8</v>
      </c>
      <c r="O435" s="162">
        <v>9</v>
      </c>
      <c r="P435" s="162">
        <v>10</v>
      </c>
      <c r="Q435" s="162">
        <v>11</v>
      </c>
      <c r="R435" s="162">
        <v>12</v>
      </c>
      <c r="S435" s="162">
        <v>13</v>
      </c>
      <c r="T435" s="158"/>
      <c r="U435" s="158"/>
      <c r="V435" s="158"/>
      <c r="W435" s="158"/>
      <c r="X435" s="158"/>
      <c r="Y435" s="158"/>
      <c r="Z435" s="158"/>
    </row>
    <row r="436" spans="1:26" ht="12.75" x14ac:dyDescent="0.2">
      <c r="A436" s="122"/>
      <c r="B436" s="389" t="s">
        <v>763</v>
      </c>
      <c r="C436" s="155"/>
      <c r="D436" s="155"/>
      <c r="E436" s="155"/>
      <c r="F436" s="155"/>
      <c r="G436" s="155"/>
      <c r="H436" s="155"/>
      <c r="I436" s="155"/>
      <c r="J436" s="155"/>
      <c r="K436" s="122"/>
      <c r="L436" s="122"/>
      <c r="M436" s="122"/>
      <c r="N436" s="122"/>
      <c r="O436" s="122"/>
      <c r="P436" s="122"/>
      <c r="Q436" s="122"/>
      <c r="R436" s="122"/>
      <c r="S436" s="122"/>
      <c r="T436" s="173"/>
      <c r="U436" s="173"/>
      <c r="V436" s="173"/>
      <c r="W436" s="173"/>
      <c r="X436" s="173"/>
      <c r="Y436" s="173"/>
      <c r="Z436" s="173"/>
    </row>
    <row r="437" spans="1:26" ht="12.75" x14ac:dyDescent="0.2">
      <c r="A437" s="122"/>
      <c r="B437" s="155"/>
      <c r="C437" s="155" t="s">
        <v>260</v>
      </c>
      <c r="D437" s="155"/>
      <c r="E437" s="155"/>
      <c r="F437" s="155">
        <f>J92*(1+$J$104)</f>
        <v>0</v>
      </c>
      <c r="G437" s="209">
        <f>J93*(1+$J$104)</f>
        <v>2800</v>
      </c>
      <c r="H437" s="209">
        <f>J94*(1+$J$104)</f>
        <v>4500</v>
      </c>
      <c r="I437" s="209">
        <f>J95*(1+$J$104)</f>
        <v>10000</v>
      </c>
      <c r="J437" s="209">
        <f>J96*(1+$J$104)</f>
        <v>13000</v>
      </c>
      <c r="K437" s="122"/>
      <c r="L437" s="122"/>
      <c r="M437" s="122"/>
      <c r="N437" s="122"/>
      <c r="O437" s="122"/>
      <c r="P437" s="122"/>
      <c r="Q437" s="122"/>
      <c r="R437" s="122"/>
      <c r="S437" s="122"/>
      <c r="T437" s="173"/>
      <c r="U437" s="173"/>
      <c r="V437" s="173"/>
      <c r="W437" s="173"/>
      <c r="X437" s="173"/>
      <c r="Y437" s="173"/>
      <c r="Z437" s="173"/>
    </row>
    <row r="438" spans="1:26" ht="12.75" x14ac:dyDescent="0.2">
      <c r="A438" s="122"/>
      <c r="B438" s="155"/>
      <c r="C438" s="155" t="s">
        <v>258</v>
      </c>
      <c r="D438" s="155"/>
      <c r="E438" s="155"/>
      <c r="F438" s="210">
        <f t="shared" ref="F438:S438" si="94">$J$97</f>
        <v>0.9</v>
      </c>
      <c r="G438" s="210">
        <f t="shared" si="94"/>
        <v>0.9</v>
      </c>
      <c r="H438" s="210">
        <f t="shared" si="94"/>
        <v>0.9</v>
      </c>
      <c r="I438" s="210">
        <f t="shared" si="94"/>
        <v>0.9</v>
      </c>
      <c r="J438" s="210">
        <f t="shared" si="94"/>
        <v>0.9</v>
      </c>
      <c r="K438" s="210">
        <f t="shared" si="94"/>
        <v>0.9</v>
      </c>
      <c r="L438" s="210">
        <f t="shared" si="94"/>
        <v>0.9</v>
      </c>
      <c r="M438" s="210">
        <f t="shared" si="94"/>
        <v>0.9</v>
      </c>
      <c r="N438" s="210">
        <f t="shared" si="94"/>
        <v>0.9</v>
      </c>
      <c r="O438" s="210">
        <f t="shared" si="94"/>
        <v>0.9</v>
      </c>
      <c r="P438" s="210">
        <f t="shared" si="94"/>
        <v>0.9</v>
      </c>
      <c r="Q438" s="210">
        <f t="shared" si="94"/>
        <v>0.9</v>
      </c>
      <c r="R438" s="210">
        <f t="shared" si="94"/>
        <v>0.9</v>
      </c>
      <c r="S438" s="210">
        <f t="shared" si="94"/>
        <v>0.9</v>
      </c>
      <c r="T438" s="173"/>
      <c r="U438" s="173"/>
      <c r="V438" s="173"/>
      <c r="W438" s="173"/>
      <c r="X438" s="173"/>
      <c r="Y438" s="173"/>
      <c r="Z438" s="173"/>
    </row>
    <row r="439" spans="1:26" ht="12.75" x14ac:dyDescent="0.2">
      <c r="A439" s="122"/>
      <c r="B439" s="155"/>
      <c r="C439" s="155" t="s">
        <v>259</v>
      </c>
      <c r="D439" s="155"/>
      <c r="E439" s="155"/>
      <c r="F439" s="132">
        <f t="shared" ref="F439:S439" si="95">IF(F435&lt;$J$99,0,$J$98)</f>
        <v>0</v>
      </c>
      <c r="G439" s="132">
        <f t="shared" si="95"/>
        <v>0</v>
      </c>
      <c r="H439" s="132">
        <f t="shared" si="95"/>
        <v>0</v>
      </c>
      <c r="I439" s="132">
        <f t="shared" si="95"/>
        <v>0</v>
      </c>
      <c r="J439" s="132">
        <f t="shared" si="95"/>
        <v>0</v>
      </c>
      <c r="K439" s="132">
        <f t="shared" si="95"/>
        <v>0.2</v>
      </c>
      <c r="L439" s="132">
        <f t="shared" si="95"/>
        <v>0.2</v>
      </c>
      <c r="M439" s="132">
        <f t="shared" si="95"/>
        <v>0.2</v>
      </c>
      <c r="N439" s="132">
        <f t="shared" si="95"/>
        <v>0.2</v>
      </c>
      <c r="O439" s="132">
        <f t="shared" si="95"/>
        <v>0.2</v>
      </c>
      <c r="P439" s="132">
        <f t="shared" si="95"/>
        <v>0.2</v>
      </c>
      <c r="Q439" s="132">
        <f t="shared" si="95"/>
        <v>0.2</v>
      </c>
      <c r="R439" s="132">
        <f t="shared" si="95"/>
        <v>0.2</v>
      </c>
      <c r="S439" s="132">
        <f t="shared" si="95"/>
        <v>0.2</v>
      </c>
      <c r="T439" s="173"/>
      <c r="U439" s="173"/>
      <c r="V439" s="173"/>
      <c r="W439" s="173"/>
      <c r="X439" s="173"/>
      <c r="Y439" s="173"/>
      <c r="Z439" s="173"/>
    </row>
    <row r="440" spans="1:26" ht="12.75" x14ac:dyDescent="0.2">
      <c r="A440" s="122"/>
      <c r="B440" s="122"/>
      <c r="C440" s="122"/>
      <c r="D440" s="122"/>
      <c r="E440" s="122"/>
      <c r="F440" s="122"/>
      <c r="G440" s="122"/>
      <c r="H440" s="122"/>
      <c r="I440" s="122"/>
      <c r="J440" s="122"/>
      <c r="K440" s="122"/>
      <c r="L440" s="122"/>
      <c r="M440" s="122"/>
      <c r="N440" s="122"/>
      <c r="O440" s="122"/>
      <c r="P440" s="122"/>
      <c r="Q440" s="122"/>
      <c r="R440" s="122"/>
      <c r="S440" s="122"/>
      <c r="T440" s="173"/>
      <c r="U440" s="173"/>
      <c r="V440" s="173"/>
      <c r="W440" s="173"/>
      <c r="X440" s="173"/>
      <c r="Y440" s="173"/>
      <c r="Z440" s="173"/>
    </row>
    <row r="441" spans="1:26" ht="12.75" x14ac:dyDescent="0.2">
      <c r="A441" s="122"/>
      <c r="B441" s="389" t="s">
        <v>764</v>
      </c>
      <c r="C441" s="155"/>
      <c r="D441" s="155"/>
      <c r="E441" s="155"/>
      <c r="F441" s="155"/>
      <c r="G441" s="155"/>
      <c r="H441" s="155"/>
      <c r="I441" s="155"/>
      <c r="J441" s="155"/>
      <c r="K441" s="155"/>
      <c r="L441" s="155"/>
      <c r="M441" s="155"/>
      <c r="N441" s="155"/>
      <c r="O441" s="155"/>
      <c r="P441" s="155"/>
      <c r="Q441" s="155"/>
      <c r="R441" s="155"/>
      <c r="S441" s="155"/>
      <c r="T441" s="173"/>
      <c r="U441" s="173"/>
      <c r="V441" s="173"/>
      <c r="W441" s="173"/>
      <c r="X441" s="173"/>
      <c r="Y441" s="173"/>
      <c r="Z441" s="173"/>
    </row>
    <row r="442" spans="1:26" ht="12.75" x14ac:dyDescent="0.2">
      <c r="A442" s="122"/>
      <c r="C442" s="154" t="s">
        <v>681</v>
      </c>
      <c r="D442" s="155"/>
      <c r="E442" s="155"/>
      <c r="F442" s="155"/>
      <c r="G442" s="155"/>
      <c r="H442" s="155"/>
      <c r="I442" s="155"/>
      <c r="J442" s="155"/>
      <c r="K442" s="155"/>
      <c r="L442" s="155"/>
      <c r="M442" s="155"/>
      <c r="N442" s="155"/>
      <c r="O442" s="155"/>
      <c r="P442" s="155"/>
      <c r="Q442" s="155"/>
      <c r="R442" s="155"/>
      <c r="S442" s="155"/>
      <c r="T442" s="173"/>
      <c r="U442" s="173"/>
      <c r="V442" s="173"/>
      <c r="W442" s="173"/>
      <c r="X442" s="173"/>
      <c r="Y442" s="173"/>
      <c r="Z442" s="173"/>
    </row>
    <row r="443" spans="1:26" ht="12.75" x14ac:dyDescent="0.2">
      <c r="A443" s="122"/>
      <c r="B443" s="155"/>
      <c r="C443" s="155" t="s">
        <v>252</v>
      </c>
      <c r="D443" s="155"/>
      <c r="E443" s="155"/>
      <c r="F443" s="308">
        <f>$F437*(F438*F433)*(1-F439)</f>
        <v>0</v>
      </c>
      <c r="G443" s="308">
        <f t="shared" ref="G443:S443" si="96">$F437*(G438*G433)*(1-G439)</f>
        <v>0</v>
      </c>
      <c r="H443" s="308">
        <f t="shared" si="96"/>
        <v>0</v>
      </c>
      <c r="I443" s="308">
        <f t="shared" si="96"/>
        <v>0</v>
      </c>
      <c r="J443" s="308">
        <f t="shared" si="96"/>
        <v>0</v>
      </c>
      <c r="K443" s="308">
        <f t="shared" si="96"/>
        <v>0</v>
      </c>
      <c r="L443" s="308">
        <f t="shared" si="96"/>
        <v>0</v>
      </c>
      <c r="M443" s="308">
        <f t="shared" si="96"/>
        <v>0</v>
      </c>
      <c r="N443" s="308">
        <f t="shared" si="96"/>
        <v>0</v>
      </c>
      <c r="O443" s="308">
        <f t="shared" si="96"/>
        <v>0</v>
      </c>
      <c r="P443" s="308">
        <f t="shared" si="96"/>
        <v>0</v>
      </c>
      <c r="Q443" s="308">
        <f t="shared" si="96"/>
        <v>0</v>
      </c>
      <c r="R443" s="308">
        <f t="shared" si="96"/>
        <v>0</v>
      </c>
      <c r="S443" s="308">
        <f t="shared" si="96"/>
        <v>0</v>
      </c>
      <c r="T443" s="173"/>
      <c r="U443" s="173"/>
      <c r="V443" s="173"/>
      <c r="W443" s="173"/>
      <c r="X443" s="173"/>
      <c r="Y443" s="173"/>
      <c r="Z443" s="173"/>
    </row>
    <row r="444" spans="1:26" ht="12.75" x14ac:dyDescent="0.2">
      <c r="A444" s="122"/>
      <c r="B444" s="155"/>
      <c r="C444" s="155" t="s">
        <v>253</v>
      </c>
      <c r="D444" s="155"/>
      <c r="E444" s="155"/>
      <c r="F444" s="308"/>
      <c r="G444" s="308">
        <f>$G437*(G438*F433)*(1-G439)</f>
        <v>217220.91434777278</v>
      </c>
      <c r="H444" s="308">
        <f t="shared" ref="H444:S444" si="97">$G437*(H438*G433)*(1-H439)</f>
        <v>238205.98127473029</v>
      </c>
      <c r="I444" s="308">
        <f t="shared" si="97"/>
        <v>259610.74954022389</v>
      </c>
      <c r="J444" s="308">
        <f t="shared" si="97"/>
        <v>281443.61317102803</v>
      </c>
      <c r="K444" s="308">
        <f t="shared" si="97"/>
        <v>361269.38725955901</v>
      </c>
      <c r="L444" s="308">
        <f t="shared" si="97"/>
        <v>379441.31631674897</v>
      </c>
      <c r="M444" s="308">
        <f t="shared" si="97"/>
        <v>397976.68395508558</v>
      </c>
      <c r="N444" s="308">
        <f t="shared" si="97"/>
        <v>416882.75894618646</v>
      </c>
      <c r="O444" s="308">
        <f t="shared" si="97"/>
        <v>436166.95543710917</v>
      </c>
      <c r="P444" s="308">
        <f t="shared" si="97"/>
        <v>453202.21061838092</v>
      </c>
      <c r="Q444" s="308">
        <f t="shared" si="97"/>
        <v>0</v>
      </c>
      <c r="R444" s="308">
        <f t="shared" si="97"/>
        <v>0</v>
      </c>
      <c r="S444" s="308">
        <f t="shared" si="97"/>
        <v>0</v>
      </c>
      <c r="T444" s="173"/>
      <c r="U444" s="173"/>
      <c r="V444" s="173"/>
      <c r="W444" s="173"/>
      <c r="X444" s="173"/>
      <c r="Y444" s="173"/>
      <c r="Z444" s="173"/>
    </row>
    <row r="445" spans="1:26" ht="12.75" x14ac:dyDescent="0.2">
      <c r="A445" s="122"/>
      <c r="B445" s="155"/>
      <c r="C445" s="155" t="s">
        <v>254</v>
      </c>
      <c r="D445" s="155"/>
      <c r="E445" s="155"/>
      <c r="F445" s="308"/>
      <c r="G445" s="308"/>
      <c r="H445" s="308">
        <f>$H437*(H438*F433)*(1-H439)</f>
        <v>349105.04091606342</v>
      </c>
      <c r="I445" s="308">
        <f t="shared" ref="I445:S445" si="98">$H437*(I438*G433)*(1-I439)</f>
        <v>382831.04133438796</v>
      </c>
      <c r="J445" s="308">
        <f t="shared" si="98"/>
        <v>417231.56176107412</v>
      </c>
      <c r="K445" s="308">
        <f t="shared" si="98"/>
        <v>361856.07407703612</v>
      </c>
      <c r="L445" s="308">
        <f t="shared" si="98"/>
        <v>580611.51523857692</v>
      </c>
      <c r="M445" s="308">
        <f t="shared" si="98"/>
        <v>609816.40122334647</v>
      </c>
      <c r="N445" s="308">
        <f t="shared" si="98"/>
        <v>639605.38492781611</v>
      </c>
      <c r="O445" s="308">
        <f>$H437*(O438*M433)*(1-O439)</f>
        <v>669990.14830637118</v>
      </c>
      <c r="P445" s="308">
        <f t="shared" si="98"/>
        <v>700982.6069524968</v>
      </c>
      <c r="Q445" s="308">
        <f t="shared" si="98"/>
        <v>728360.69563668373</v>
      </c>
      <c r="R445" s="308">
        <f t="shared" si="98"/>
        <v>0</v>
      </c>
      <c r="S445" s="308">
        <f t="shared" si="98"/>
        <v>0</v>
      </c>
      <c r="T445" s="173"/>
      <c r="U445" s="173"/>
      <c r="V445" s="173"/>
      <c r="W445" s="173"/>
      <c r="X445" s="173"/>
      <c r="Y445" s="173"/>
      <c r="Z445" s="173"/>
    </row>
    <row r="446" spans="1:26" ht="12.75" x14ac:dyDescent="0.2">
      <c r="A446" s="122"/>
      <c r="B446" s="155"/>
      <c r="C446" s="155" t="s">
        <v>255</v>
      </c>
      <c r="D446" s="155"/>
      <c r="E446" s="155"/>
      <c r="F446" s="308"/>
      <c r="G446" s="308"/>
      <c r="H446" s="308"/>
      <c r="I446" s="308">
        <f>$I437*(I438*F433)*(1-I439)</f>
        <v>775788.97981347423</v>
      </c>
      <c r="J446" s="308">
        <f t="shared" ref="J446:S446" si="99">$I437*(J438*G433)*(1-J439)</f>
        <v>850735.64740975096</v>
      </c>
      <c r="K446" s="308">
        <f t="shared" si="99"/>
        <v>741744.99868635403</v>
      </c>
      <c r="L446" s="308">
        <f t="shared" si="99"/>
        <v>804124.60906008026</v>
      </c>
      <c r="M446" s="308">
        <f t="shared" si="99"/>
        <v>1290247.8116412822</v>
      </c>
      <c r="N446" s="308">
        <f t="shared" si="99"/>
        <v>1355147.5582741033</v>
      </c>
      <c r="O446" s="308">
        <f t="shared" si="99"/>
        <v>1421345.2998395914</v>
      </c>
      <c r="P446" s="308">
        <f t="shared" si="99"/>
        <v>1488866.9962363802</v>
      </c>
      <c r="Q446" s="308">
        <f t="shared" si="99"/>
        <v>1557739.1265611043</v>
      </c>
      <c r="R446" s="308">
        <f t="shared" si="99"/>
        <v>1618579.3236370748</v>
      </c>
      <c r="S446" s="308">
        <f t="shared" si="99"/>
        <v>0</v>
      </c>
      <c r="T446" s="173"/>
      <c r="U446" s="173"/>
      <c r="V446" s="173"/>
      <c r="W446" s="173"/>
      <c r="X446" s="173"/>
      <c r="Y446" s="173"/>
      <c r="Z446" s="173"/>
    </row>
    <row r="447" spans="1:26" ht="12.75" x14ac:dyDescent="0.2">
      <c r="A447" s="122"/>
      <c r="B447" s="155"/>
      <c r="C447" s="155" t="s">
        <v>261</v>
      </c>
      <c r="D447" s="155"/>
      <c r="E447" s="155"/>
      <c r="F447" s="308"/>
      <c r="G447" s="308"/>
      <c r="H447" s="308"/>
      <c r="I447" s="308"/>
      <c r="J447" s="308">
        <f>$J437*(J438*F433)*(1-J439)</f>
        <v>1008525.6737575165</v>
      </c>
      <c r="K447" s="308">
        <f t="shared" ref="K447:S447" si="100">$J437*(K438*G433)*(1-K439)</f>
        <v>884765.07330614107</v>
      </c>
      <c r="L447" s="308">
        <f t="shared" si="100"/>
        <v>964268.4982922601</v>
      </c>
      <c r="M447" s="308">
        <f t="shared" si="100"/>
        <v>1045361.9917781042</v>
      </c>
      <c r="N447" s="308">
        <f t="shared" si="100"/>
        <v>1677322.1551336665</v>
      </c>
      <c r="O447" s="308">
        <f t="shared" si="100"/>
        <v>1761691.8257563347</v>
      </c>
      <c r="P447" s="308">
        <f t="shared" si="100"/>
        <v>1847748.8897914686</v>
      </c>
      <c r="Q447" s="308">
        <f t="shared" si="100"/>
        <v>1935527.0951072944</v>
      </c>
      <c r="R447" s="308">
        <f t="shared" si="100"/>
        <v>2025060.8645294355</v>
      </c>
      <c r="S447" s="308">
        <f t="shared" si="100"/>
        <v>2104153.1207281975</v>
      </c>
      <c r="T447" s="173"/>
      <c r="U447" s="173"/>
      <c r="V447" s="173"/>
      <c r="W447" s="173"/>
      <c r="X447" s="173"/>
      <c r="Y447" s="173"/>
      <c r="Z447" s="173"/>
    </row>
    <row r="448" spans="1:26" ht="12.75" x14ac:dyDescent="0.2">
      <c r="A448" s="122"/>
      <c r="B448" s="155"/>
      <c r="C448" s="198" t="s">
        <v>686</v>
      </c>
      <c r="D448" s="198"/>
      <c r="E448" s="198"/>
      <c r="F448" s="139">
        <f>SUM(F443:F447)</f>
        <v>0</v>
      </c>
      <c r="G448" s="139">
        <f t="shared" ref="G448:S448" si="101">SUM(G443:G447)</f>
        <v>217220.91434777278</v>
      </c>
      <c r="H448" s="139">
        <f t="shared" si="101"/>
        <v>587311.02219079365</v>
      </c>
      <c r="I448" s="139">
        <f t="shared" si="101"/>
        <v>1418230.770688086</v>
      </c>
      <c r="J448" s="139">
        <f t="shared" si="101"/>
        <v>2557936.4960993696</v>
      </c>
      <c r="K448" s="139">
        <f t="shared" si="101"/>
        <v>2349635.5333290901</v>
      </c>
      <c r="L448" s="139">
        <f t="shared" si="101"/>
        <v>2728445.9389076661</v>
      </c>
      <c r="M448" s="139">
        <f t="shared" si="101"/>
        <v>3343402.8885978186</v>
      </c>
      <c r="N448" s="139">
        <f t="shared" si="101"/>
        <v>4088957.8572817724</v>
      </c>
      <c r="O448" s="139">
        <f t="shared" si="101"/>
        <v>4289194.2293394059</v>
      </c>
      <c r="P448" s="139">
        <f t="shared" si="101"/>
        <v>4490800.7035987265</v>
      </c>
      <c r="Q448" s="139">
        <f t="shared" si="101"/>
        <v>4221626.9173050821</v>
      </c>
      <c r="R448" s="139">
        <f t="shared" si="101"/>
        <v>3643640.1881665103</v>
      </c>
      <c r="S448" s="139">
        <f t="shared" si="101"/>
        <v>2104153.1207281975</v>
      </c>
      <c r="T448" s="173"/>
      <c r="U448" s="173"/>
      <c r="V448" s="173"/>
      <c r="W448" s="173"/>
      <c r="X448" s="173"/>
      <c r="Y448" s="173"/>
      <c r="Z448" s="173"/>
    </row>
    <row r="449" spans="1:26" ht="12.75" x14ac:dyDescent="0.2">
      <c r="A449" s="122"/>
      <c r="B449" s="122"/>
      <c r="C449" s="122"/>
      <c r="D449" s="122"/>
      <c r="E449" s="122"/>
      <c r="F449" s="122"/>
      <c r="G449" s="122"/>
      <c r="H449" s="122"/>
      <c r="I449" s="122"/>
      <c r="J449" s="122"/>
      <c r="K449" s="122"/>
      <c r="L449" s="197"/>
      <c r="M449" s="122"/>
      <c r="N449" s="122"/>
      <c r="O449" s="122"/>
      <c r="P449" s="122"/>
      <c r="Q449" s="122"/>
      <c r="R449" s="122"/>
      <c r="S449" s="122"/>
      <c r="T449" s="173"/>
      <c r="U449" s="173"/>
      <c r="V449" s="173"/>
      <c r="W449" s="173"/>
      <c r="X449" s="173"/>
      <c r="Y449" s="173"/>
      <c r="Z449" s="173"/>
    </row>
    <row r="450" spans="1:26" ht="12.75" x14ac:dyDescent="0.2">
      <c r="A450" s="122"/>
      <c r="B450" s="157"/>
      <c r="C450" s="154" t="s">
        <v>262</v>
      </c>
      <c r="D450" s="155"/>
      <c r="E450" s="155"/>
      <c r="F450" s="155"/>
      <c r="G450" s="155"/>
      <c r="H450" s="155"/>
      <c r="I450" s="155"/>
      <c r="J450" s="155"/>
      <c r="K450" s="155"/>
      <c r="L450" s="155"/>
      <c r="M450" s="155"/>
      <c r="N450" s="155"/>
      <c r="O450" s="155"/>
      <c r="P450" s="155"/>
      <c r="Q450" s="155"/>
      <c r="R450" s="155"/>
      <c r="S450" s="155"/>
      <c r="T450" s="173"/>
      <c r="U450" s="173"/>
      <c r="V450" s="173"/>
      <c r="W450" s="173"/>
      <c r="X450" s="173"/>
      <c r="Y450" s="173"/>
      <c r="Z450" s="173"/>
    </row>
    <row r="451" spans="1:26" ht="12.75" x14ac:dyDescent="0.2">
      <c r="A451" s="122"/>
      <c r="B451" s="155"/>
      <c r="C451" s="198" t="s">
        <v>686</v>
      </c>
      <c r="D451" s="198"/>
      <c r="E451" s="198"/>
      <c r="F451" s="82">
        <f>$J$100*(J92/SUM($J$92:$J$96))*F115/1000*(1+$J$101)</f>
        <v>0</v>
      </c>
      <c r="G451" s="82">
        <f>$J$100*(J93/SUM($J$92:$J$96))*G115/1000*(1+$J$101)</f>
        <v>38296.741789898893</v>
      </c>
      <c r="H451" s="82">
        <f>$J$100*(J94/SUM($J$92:$J$96))*H115/1000*(1+$J$101)</f>
        <v>61548.335019480372</v>
      </c>
      <c r="I451" s="82">
        <f>$J$100*(J95/SUM($J$92:$J$96))*I115/1000*(1+$J$101)</f>
        <v>136774.07782106748</v>
      </c>
      <c r="J451" s="82">
        <f>$J$100*(J96/SUM($J$92:$J$96))*J115/1000*(1+$J$101)</f>
        <v>177806.30116738772</v>
      </c>
      <c r="K451" s="139"/>
      <c r="L451" s="139"/>
      <c r="M451" s="139"/>
      <c r="N451" s="139"/>
      <c r="O451" s="139"/>
      <c r="P451" s="139"/>
      <c r="Q451" s="139"/>
      <c r="R451" s="139"/>
      <c r="S451" s="139"/>
      <c r="T451" s="173"/>
      <c r="U451" s="173"/>
      <c r="V451" s="173"/>
      <c r="W451" s="173"/>
      <c r="X451" s="173"/>
      <c r="Y451" s="173"/>
      <c r="Z451" s="173"/>
    </row>
    <row r="452" spans="1:26" ht="12.75" x14ac:dyDescent="0.2">
      <c r="A452" s="122"/>
      <c r="B452" s="122"/>
      <c r="C452" s="122"/>
      <c r="D452" s="122"/>
      <c r="E452" s="122"/>
      <c r="F452" s="122"/>
      <c r="G452" s="122"/>
      <c r="H452" s="122"/>
      <c r="I452" s="122"/>
      <c r="J452" s="122"/>
      <c r="K452" s="122"/>
      <c r="L452" s="122"/>
      <c r="M452" s="122"/>
      <c r="N452" s="122"/>
      <c r="O452" s="122"/>
      <c r="P452" s="122"/>
      <c r="Q452" s="122"/>
      <c r="R452" s="122"/>
      <c r="S452" s="122"/>
      <c r="T452" s="173"/>
      <c r="U452" s="173"/>
      <c r="V452" s="173"/>
      <c r="W452" s="173"/>
      <c r="X452" s="173"/>
      <c r="Y452" s="173"/>
      <c r="Z452" s="173"/>
    </row>
    <row r="453" spans="1:26" ht="12.75" x14ac:dyDescent="0.2">
      <c r="A453" s="122"/>
      <c r="B453" s="122"/>
      <c r="C453" s="206" t="s">
        <v>685</v>
      </c>
      <c r="D453" s="203"/>
      <c r="E453" s="203"/>
      <c r="F453" s="140">
        <f>F448-F451</f>
        <v>0</v>
      </c>
      <c r="G453" s="140">
        <f>G448-G451</f>
        <v>178924.17255787388</v>
      </c>
      <c r="H453" s="140">
        <f t="shared" ref="H453:S453" si="102">H448-H451</f>
        <v>525762.68717131333</v>
      </c>
      <c r="I453" s="140">
        <f t="shared" si="102"/>
        <v>1281456.6928670185</v>
      </c>
      <c r="J453" s="140">
        <f t="shared" si="102"/>
        <v>2380130.1949319821</v>
      </c>
      <c r="K453" s="140">
        <f t="shared" si="102"/>
        <v>2349635.5333290901</v>
      </c>
      <c r="L453" s="140">
        <f t="shared" si="102"/>
        <v>2728445.9389076661</v>
      </c>
      <c r="M453" s="140">
        <f t="shared" si="102"/>
        <v>3343402.8885978186</v>
      </c>
      <c r="N453" s="140">
        <f t="shared" si="102"/>
        <v>4088957.8572817724</v>
      </c>
      <c r="O453" s="140">
        <f t="shared" si="102"/>
        <v>4289194.2293394059</v>
      </c>
      <c r="P453" s="140">
        <f t="shared" si="102"/>
        <v>4490800.7035987265</v>
      </c>
      <c r="Q453" s="140">
        <f t="shared" si="102"/>
        <v>4221626.9173050821</v>
      </c>
      <c r="R453" s="140">
        <f t="shared" si="102"/>
        <v>3643640.1881665103</v>
      </c>
      <c r="S453" s="140">
        <f t="shared" si="102"/>
        <v>2104153.1207281975</v>
      </c>
      <c r="T453" s="173"/>
      <c r="U453" s="173"/>
      <c r="V453" s="173"/>
      <c r="W453" s="173"/>
      <c r="X453" s="173"/>
      <c r="Y453" s="173"/>
      <c r="Z453" s="173"/>
    </row>
    <row r="454" spans="1:26" ht="13.5" thickBot="1" x14ac:dyDescent="0.25">
      <c r="A454" s="122"/>
      <c r="B454" s="122"/>
      <c r="C454" s="122"/>
      <c r="D454" s="122"/>
      <c r="E454" s="122"/>
      <c r="F454" s="122"/>
      <c r="G454" s="122"/>
      <c r="H454" s="122"/>
      <c r="I454" s="122"/>
      <c r="J454" s="122"/>
      <c r="K454" s="122"/>
      <c r="L454" s="122"/>
      <c r="M454" s="122"/>
      <c r="N454" s="122"/>
      <c r="O454" s="122"/>
      <c r="P454" s="122"/>
      <c r="Q454" s="122"/>
      <c r="R454" s="122"/>
      <c r="S454" s="122"/>
      <c r="T454" s="173"/>
      <c r="U454" s="173"/>
      <c r="V454" s="173"/>
      <c r="W454" s="173"/>
      <c r="X454" s="173"/>
      <c r="Y454" s="173"/>
      <c r="Z454" s="173"/>
    </row>
    <row r="455" spans="1:26" ht="13.5" thickTop="1" x14ac:dyDescent="0.2">
      <c r="A455" s="122"/>
      <c r="B455" s="122"/>
      <c r="C455" s="212" t="s">
        <v>676</v>
      </c>
      <c r="D455" s="212"/>
      <c r="E455" s="212"/>
      <c r="F455" s="130">
        <f>NPV($F$21,G453:S453)+F453</f>
        <v>14506739.156617608</v>
      </c>
      <c r="G455" s="122"/>
      <c r="H455" s="122"/>
      <c r="I455" s="122"/>
      <c r="J455" s="122"/>
      <c r="K455" s="122"/>
      <c r="L455" s="122"/>
      <c r="M455" s="122"/>
      <c r="N455" s="122"/>
      <c r="O455" s="122"/>
      <c r="P455" s="122"/>
      <c r="Q455" s="122"/>
      <c r="R455" s="122"/>
      <c r="S455" s="122"/>
      <c r="T455" s="173"/>
      <c r="U455" s="173"/>
      <c r="V455" s="173"/>
      <c r="W455" s="173"/>
      <c r="X455" s="173"/>
      <c r="Y455" s="173"/>
      <c r="Z455" s="173"/>
    </row>
    <row r="456" spans="1:26" ht="12.75" x14ac:dyDescent="0.2">
      <c r="A456" s="122"/>
      <c r="B456" s="122"/>
      <c r="C456" s="154" t="s">
        <v>677</v>
      </c>
      <c r="D456" s="154"/>
      <c r="E456" s="154"/>
      <c r="F456" s="138">
        <f>F455/$F$10*1000</f>
        <v>92082894.227609545</v>
      </c>
      <c r="G456" s="122"/>
      <c r="H456" s="197"/>
      <c r="I456" s="122"/>
      <c r="J456" s="122"/>
      <c r="K456" s="122"/>
      <c r="L456" s="122"/>
      <c r="M456" s="122"/>
      <c r="N456" s="122"/>
      <c r="O456" s="122"/>
      <c r="P456" s="122"/>
      <c r="Q456" s="122"/>
      <c r="R456" s="122"/>
      <c r="S456" s="122"/>
      <c r="T456" s="173"/>
      <c r="U456" s="173"/>
      <c r="V456" s="173"/>
      <c r="W456" s="173"/>
      <c r="X456" s="173"/>
      <c r="Y456" s="173"/>
      <c r="Z456" s="173"/>
    </row>
    <row r="457" spans="1:26" ht="12.75" x14ac:dyDescent="0.2">
      <c r="A457" s="122"/>
      <c r="B457" s="122"/>
      <c r="C457" s="154" t="s">
        <v>683</v>
      </c>
      <c r="D457" s="154"/>
      <c r="E457" s="154"/>
      <c r="F457" s="136" t="e">
        <f>IRR(F453:S453)</f>
        <v>#NUM!</v>
      </c>
      <c r="G457" s="122"/>
      <c r="H457" s="122"/>
      <c r="I457" s="122"/>
      <c r="J457" s="122"/>
      <c r="K457" s="122"/>
      <c r="L457" s="122"/>
      <c r="M457" s="122"/>
      <c r="N457" s="122"/>
      <c r="O457" s="122"/>
      <c r="P457" s="122"/>
      <c r="Q457" s="122"/>
      <c r="R457" s="122"/>
      <c r="S457" s="122"/>
      <c r="T457" s="173"/>
      <c r="U457" s="173"/>
      <c r="V457" s="173"/>
      <c r="W457" s="173"/>
      <c r="X457" s="173"/>
      <c r="Y457" s="173"/>
      <c r="Z457" s="173"/>
    </row>
    <row r="458" spans="1:26" ht="13.5" thickBot="1" x14ac:dyDescent="0.25">
      <c r="A458" s="122"/>
      <c r="B458" s="122"/>
      <c r="C458" s="211" t="s">
        <v>684</v>
      </c>
      <c r="D458" s="211"/>
      <c r="E458" s="211"/>
      <c r="F458" s="137" t="e">
        <f>MIRR(F453:S453,$F$21,$F$21)</f>
        <v>#DIV/0!</v>
      </c>
      <c r="G458" s="122"/>
      <c r="H458" s="122"/>
      <c r="I458" s="122"/>
      <c r="J458" s="122"/>
      <c r="K458" s="122"/>
      <c r="L458" s="122"/>
      <c r="M458" s="122"/>
      <c r="N458" s="122"/>
      <c r="O458" s="122"/>
      <c r="P458" s="122"/>
      <c r="Q458" s="122"/>
      <c r="R458" s="122"/>
      <c r="S458" s="122"/>
      <c r="T458" s="173"/>
      <c r="U458" s="173"/>
      <c r="V458" s="173"/>
      <c r="W458" s="173"/>
      <c r="X458" s="173"/>
      <c r="Y458" s="173"/>
      <c r="Z458" s="173"/>
    </row>
    <row r="459" spans="1:26" ht="13.5" thickTop="1" x14ac:dyDescent="0.2">
      <c r="A459" s="122"/>
      <c r="B459" s="122"/>
      <c r="C459" s="122"/>
      <c r="D459" s="122"/>
      <c r="E459" s="122"/>
      <c r="F459" s="122"/>
      <c r="G459" s="122"/>
      <c r="H459" s="122"/>
      <c r="I459" s="122"/>
      <c r="J459" s="122"/>
      <c r="K459" s="122"/>
      <c r="L459" s="122"/>
      <c r="M459" s="122"/>
      <c r="N459" s="122"/>
      <c r="O459" s="122"/>
      <c r="P459" s="122"/>
      <c r="Q459" s="122"/>
      <c r="R459" s="122"/>
      <c r="S459" s="122"/>
      <c r="T459" s="173"/>
      <c r="U459" s="173"/>
      <c r="V459" s="173"/>
      <c r="W459" s="173"/>
      <c r="X459" s="173"/>
      <c r="Y459" s="173"/>
      <c r="Z459" s="173"/>
    </row>
    <row r="460" spans="1:26" s="226" customFormat="1" ht="12.75" x14ac:dyDescent="0.2">
      <c r="A460" s="355" t="s">
        <v>914</v>
      </c>
      <c r="B460" s="353"/>
      <c r="C460" s="353"/>
      <c r="D460" s="356"/>
      <c r="E460" s="356"/>
      <c r="F460" s="357"/>
      <c r="G460" s="357"/>
      <c r="H460" s="357"/>
      <c r="I460" s="357"/>
      <c r="J460" s="357"/>
      <c r="K460" s="357"/>
      <c r="L460" s="357"/>
      <c r="M460" s="357"/>
      <c r="N460" s="357"/>
      <c r="O460" s="357"/>
      <c r="P460" s="357"/>
      <c r="Q460" s="357"/>
      <c r="R460" s="357"/>
      <c r="S460" s="357"/>
      <c r="T460" s="353"/>
      <c r="U460" s="353"/>
      <c r="V460" s="353"/>
      <c r="W460" s="353"/>
      <c r="X460" s="353"/>
      <c r="Y460" s="353"/>
      <c r="Z460" s="353"/>
    </row>
    <row r="461" spans="1:26" customFormat="1" ht="12.75" x14ac:dyDescent="0.2">
      <c r="A461" s="241"/>
      <c r="B461" s="611" t="s">
        <v>752</v>
      </c>
      <c r="C461" s="610"/>
      <c r="D461" s="610"/>
      <c r="E461" s="610"/>
      <c r="F461" s="610"/>
      <c r="G461" s="610"/>
      <c r="H461" s="610"/>
      <c r="I461" s="610"/>
      <c r="J461" s="610"/>
      <c r="K461" s="610"/>
      <c r="L461" s="3"/>
      <c r="M461" s="3"/>
      <c r="N461" s="3"/>
      <c r="O461" s="3"/>
      <c r="P461" s="3"/>
      <c r="Q461" s="3"/>
      <c r="R461" s="3"/>
      <c r="S461" s="3"/>
      <c r="T461" s="3"/>
      <c r="U461" s="3"/>
      <c r="V461" s="3"/>
      <c r="W461" s="3"/>
      <c r="X461" s="3"/>
      <c r="Y461" s="3"/>
      <c r="Z461" s="3"/>
    </row>
    <row r="462" spans="1:26" customFormat="1" ht="12.75" x14ac:dyDescent="0.2">
      <c r="A462" s="241"/>
      <c r="B462" s="358"/>
      <c r="C462" s="358"/>
      <c r="D462" s="358"/>
      <c r="E462" s="358"/>
      <c r="F462" s="358"/>
      <c r="G462" s="358"/>
      <c r="H462" s="358"/>
      <c r="I462" s="358"/>
      <c r="J462" s="358"/>
      <c r="K462" s="358"/>
      <c r="L462" s="3"/>
      <c r="M462" s="3"/>
      <c r="N462" s="3"/>
      <c r="O462" s="3"/>
      <c r="P462" s="3"/>
      <c r="Q462" s="3"/>
      <c r="R462" s="3"/>
      <c r="S462" s="3"/>
      <c r="T462" s="3"/>
      <c r="U462" s="3"/>
      <c r="V462" s="3"/>
      <c r="W462" s="3"/>
      <c r="X462" s="3"/>
      <c r="Y462" s="3"/>
      <c r="Z462" s="3"/>
    </row>
    <row r="463" spans="1:26" customFormat="1" ht="25.5" x14ac:dyDescent="0.2">
      <c r="A463" s="241"/>
      <c r="B463" s="358"/>
      <c r="C463" s="359" t="s">
        <v>753</v>
      </c>
      <c r="D463" s="360" t="s">
        <v>812</v>
      </c>
      <c r="E463" s="361" t="s">
        <v>813</v>
      </c>
      <c r="F463" s="361" t="s">
        <v>814</v>
      </c>
      <c r="G463" s="358"/>
      <c r="H463" s="359" t="s">
        <v>754</v>
      </c>
      <c r="I463" s="360" t="s">
        <v>812</v>
      </c>
      <c r="J463" s="361" t="s">
        <v>813</v>
      </c>
      <c r="K463" s="361" t="s">
        <v>814</v>
      </c>
      <c r="L463" s="3"/>
      <c r="M463" s="3"/>
      <c r="N463" s="3"/>
      <c r="O463" s="3"/>
      <c r="P463" s="3"/>
      <c r="Q463" s="3"/>
      <c r="R463" s="3"/>
      <c r="S463" s="3"/>
      <c r="T463" s="3"/>
      <c r="U463" s="3"/>
      <c r="V463" s="3"/>
      <c r="W463" s="3"/>
      <c r="X463" s="3"/>
      <c r="Y463" s="3"/>
      <c r="Z463" s="3"/>
    </row>
    <row r="464" spans="1:26" customFormat="1" ht="12.75" x14ac:dyDescent="0.2">
      <c r="A464" s="241"/>
      <c r="B464" s="358"/>
      <c r="C464" s="362"/>
      <c r="D464" s="363">
        <f>$F$328</f>
        <v>8464.5932287017076</v>
      </c>
      <c r="E464" s="364">
        <f>$F$456</f>
        <v>92082894.227609545</v>
      </c>
      <c r="F464" s="364">
        <f>$H$325*1000/$H$115</f>
        <v>1297.9812574330426</v>
      </c>
      <c r="G464" s="358"/>
      <c r="H464" s="362"/>
      <c r="I464" s="363">
        <f>$F$328</f>
        <v>8464.5932287017076</v>
      </c>
      <c r="J464" s="364">
        <f>$F$456</f>
        <v>92082894.227609545</v>
      </c>
      <c r="K464" s="364">
        <f>$H$325*1000/$H$115</f>
        <v>1297.9812574330426</v>
      </c>
      <c r="L464" s="3"/>
      <c r="M464" s="3"/>
      <c r="N464" s="3"/>
      <c r="O464" s="3"/>
      <c r="P464" s="3"/>
      <c r="Q464" s="3"/>
      <c r="R464" s="3"/>
      <c r="S464" s="3"/>
      <c r="T464" s="3"/>
      <c r="U464" s="3"/>
      <c r="V464" s="3"/>
      <c r="W464" s="3"/>
      <c r="X464" s="3"/>
      <c r="Y464" s="3"/>
      <c r="Z464" s="3"/>
    </row>
    <row r="465" spans="1:26" customFormat="1" ht="12.75" x14ac:dyDescent="0.2">
      <c r="A465" s="241"/>
      <c r="B465" s="358"/>
      <c r="C465" s="365">
        <v>0.03</v>
      </c>
      <c r="D465" s="621">
        <f t="dataTable" ref="D465:F470" dt2D="0" dtr="0" r1="F8" ca="1"/>
        <v>8464.5932287017004</v>
      </c>
      <c r="E465" s="622">
        <v>92082894.227609441</v>
      </c>
      <c r="F465" s="622">
        <v>1297.9812574330426</v>
      </c>
      <c r="G465" s="358"/>
      <c r="H465" s="365">
        <v>-0.01</v>
      </c>
      <c r="I465" s="621">
        <f t="dataTable" ref="I465:K470" dt2D="0" dtr="0" r1="F9" ca="1"/>
        <v>8464.5932287017076</v>
      </c>
      <c r="J465" s="622">
        <v>92082894.227609545</v>
      </c>
      <c r="K465" s="622">
        <v>1297.9812574330426</v>
      </c>
      <c r="L465" s="3"/>
      <c r="M465" s="3"/>
      <c r="N465" s="3"/>
      <c r="O465" s="3"/>
      <c r="P465" s="3"/>
      <c r="Q465" s="3"/>
      <c r="R465" s="3"/>
      <c r="S465" s="3"/>
      <c r="T465" s="3"/>
      <c r="U465" s="3"/>
      <c r="V465" s="3"/>
      <c r="W465" s="3"/>
      <c r="X465" s="3"/>
      <c r="Y465" s="3"/>
      <c r="Z465" s="3"/>
    </row>
    <row r="466" spans="1:26" customFormat="1" ht="12.75" x14ac:dyDescent="0.2">
      <c r="A466" s="241"/>
      <c r="B466" s="358"/>
      <c r="C466" s="368">
        <v>0.05</v>
      </c>
      <c r="D466" s="613">
        <v>8464.5932287017113</v>
      </c>
      <c r="E466" s="614">
        <v>92082894.227609634</v>
      </c>
      <c r="F466" s="614">
        <v>1297.9812574330399</v>
      </c>
      <c r="G466" s="358"/>
      <c r="H466" s="368">
        <v>0</v>
      </c>
      <c r="I466" s="613">
        <v>8464.5932287017076</v>
      </c>
      <c r="J466" s="614">
        <v>92082894.227609545</v>
      </c>
      <c r="K466" s="614">
        <v>1297.9812574330426</v>
      </c>
      <c r="L466" s="3"/>
      <c r="M466" s="3"/>
      <c r="N466" s="3"/>
      <c r="O466" s="3"/>
      <c r="P466" s="3"/>
      <c r="Q466" s="3"/>
      <c r="R466" s="3"/>
      <c r="S466" s="3"/>
      <c r="T466" s="3"/>
      <c r="U466" s="3"/>
      <c r="V466" s="3"/>
      <c r="W466" s="3"/>
      <c r="X466" s="3"/>
      <c r="Y466" s="3"/>
      <c r="Z466" s="3"/>
    </row>
    <row r="467" spans="1:26" customFormat="1" ht="12.75" x14ac:dyDescent="0.2">
      <c r="A467" s="241"/>
      <c r="B467" s="358"/>
      <c r="C467" s="371">
        <v>7.9000000000000001E-2</v>
      </c>
      <c r="D467" s="617">
        <v>8464.5932287017076</v>
      </c>
      <c r="E467" s="618">
        <v>92082894.227609545</v>
      </c>
      <c r="F467" s="618">
        <v>1297.9812574330426</v>
      </c>
      <c r="G467" s="358"/>
      <c r="H467" s="368">
        <v>0.01</v>
      </c>
      <c r="I467" s="613">
        <v>8464.5932287017076</v>
      </c>
      <c r="J467" s="614">
        <v>92082894.227609545</v>
      </c>
      <c r="K467" s="614">
        <v>1297.9812574330426</v>
      </c>
      <c r="L467" s="3"/>
      <c r="M467" s="3"/>
      <c r="N467" s="3"/>
      <c r="O467" s="3"/>
      <c r="P467" s="3"/>
      <c r="Q467" s="3"/>
      <c r="R467" s="3"/>
      <c r="S467" s="3"/>
      <c r="T467" s="3"/>
      <c r="U467" s="3"/>
      <c r="V467" s="3"/>
      <c r="W467" s="3"/>
      <c r="X467" s="3"/>
      <c r="Y467" s="3"/>
      <c r="Z467" s="3"/>
    </row>
    <row r="468" spans="1:26" customFormat="1" ht="12.75" x14ac:dyDescent="0.2">
      <c r="A468" s="241"/>
      <c r="B468" s="358"/>
      <c r="C468" s="368">
        <v>0.1</v>
      </c>
      <c r="D468" s="613">
        <v>8464.5932287017004</v>
      </c>
      <c r="E468" s="614">
        <v>92082894.227609396</v>
      </c>
      <c r="F468" s="614">
        <v>1297.9812574330399</v>
      </c>
      <c r="G468" s="358"/>
      <c r="H468" s="374">
        <v>2.5000000000000001E-2</v>
      </c>
      <c r="I468" s="617">
        <v>8464.5932287017076</v>
      </c>
      <c r="J468" s="618">
        <v>92082894.227609545</v>
      </c>
      <c r="K468" s="618">
        <v>1297.9812574330426</v>
      </c>
      <c r="L468" s="3"/>
      <c r="M468" s="3"/>
      <c r="N468" s="3"/>
      <c r="O468" s="3"/>
      <c r="P468" s="3"/>
      <c r="Q468" s="3"/>
      <c r="R468" s="3"/>
      <c r="S468" s="3"/>
      <c r="T468" s="3"/>
      <c r="U468" s="3"/>
      <c r="V468" s="3"/>
      <c r="W468" s="3"/>
      <c r="X468" s="3"/>
      <c r="Y468" s="3"/>
      <c r="Z468" s="3"/>
    </row>
    <row r="469" spans="1:26" customFormat="1" ht="12.75" x14ac:dyDescent="0.2">
      <c r="A469" s="241"/>
      <c r="B469" s="358"/>
      <c r="C469" s="368">
        <v>0.15</v>
      </c>
      <c r="D469" s="613">
        <v>8464.5932287017022</v>
      </c>
      <c r="E469" s="614">
        <v>92082894.22760953</v>
      </c>
      <c r="F469" s="614">
        <v>1297.9812574330426</v>
      </c>
      <c r="G469" s="358"/>
      <c r="H469" s="368">
        <v>0.04</v>
      </c>
      <c r="I469" s="613">
        <v>8464.5932287017076</v>
      </c>
      <c r="J469" s="614">
        <v>92082894.227609545</v>
      </c>
      <c r="K469" s="614">
        <v>1297.9812574330426</v>
      </c>
      <c r="L469" s="3"/>
      <c r="M469" s="3"/>
      <c r="N469" s="3"/>
      <c r="O469" s="3"/>
      <c r="P469" s="3"/>
      <c r="Q469" s="3"/>
      <c r="R469" s="3"/>
      <c r="S469" s="3"/>
      <c r="T469" s="3"/>
      <c r="U469" s="3"/>
      <c r="V469" s="3"/>
      <c r="W469" s="3"/>
      <c r="X469" s="3"/>
      <c r="Y469" s="3"/>
      <c r="Z469" s="3"/>
    </row>
    <row r="470" spans="1:26" customFormat="1" ht="12.75" x14ac:dyDescent="0.2">
      <c r="A470" s="241"/>
      <c r="B470" s="358"/>
      <c r="C470" s="375">
        <v>0.2</v>
      </c>
      <c r="D470" s="619">
        <v>8464.5932287017058</v>
      </c>
      <c r="E470" s="620">
        <v>92082894.227609545</v>
      </c>
      <c r="F470" s="620">
        <v>1297.9812574330399</v>
      </c>
      <c r="G470" s="358"/>
      <c r="H470" s="375">
        <v>0.06</v>
      </c>
      <c r="I470" s="619">
        <v>8464.5932287017076</v>
      </c>
      <c r="J470" s="620">
        <v>92082894.227609545</v>
      </c>
      <c r="K470" s="620">
        <v>1297.9812574330426</v>
      </c>
      <c r="L470" s="3"/>
      <c r="M470" s="3"/>
      <c r="N470" s="3"/>
      <c r="O470" s="3"/>
      <c r="P470" s="3"/>
      <c r="Q470" s="3"/>
      <c r="R470" s="3"/>
      <c r="S470" s="3"/>
      <c r="T470" s="3"/>
      <c r="U470" s="3"/>
      <c r="V470" s="3"/>
      <c r="W470" s="3"/>
      <c r="X470" s="3"/>
      <c r="Y470" s="3"/>
      <c r="Z470" s="3"/>
    </row>
    <row r="471" spans="1:26" customFormat="1" ht="12.75" x14ac:dyDescent="0.2">
      <c r="A471" s="241"/>
      <c r="B471" s="358"/>
      <c r="C471" s="358"/>
      <c r="D471" s="358"/>
      <c r="E471" s="358"/>
      <c r="F471" s="358"/>
      <c r="G471" s="358"/>
      <c r="H471" s="358"/>
      <c r="I471" s="358"/>
      <c r="J471" s="358"/>
      <c r="K471" s="358"/>
      <c r="L471" s="3"/>
      <c r="M471" s="3"/>
      <c r="N471" s="3"/>
      <c r="O471" s="3"/>
      <c r="P471" s="3"/>
      <c r="Q471" s="3"/>
      <c r="R471" s="3"/>
      <c r="S471" s="3"/>
      <c r="T471" s="3"/>
      <c r="U471" s="3"/>
      <c r="V471" s="3"/>
      <c r="W471" s="3"/>
      <c r="X471" s="3"/>
      <c r="Y471" s="3"/>
      <c r="Z471" s="3"/>
    </row>
    <row r="472" spans="1:26" customFormat="1" ht="38.25" x14ac:dyDescent="0.2">
      <c r="A472" s="241"/>
      <c r="B472" s="358"/>
      <c r="C472" s="359" t="s">
        <v>181</v>
      </c>
      <c r="D472" s="360" t="s">
        <v>812</v>
      </c>
      <c r="E472" s="361" t="s">
        <v>813</v>
      </c>
      <c r="F472" s="361" t="s">
        <v>814</v>
      </c>
      <c r="G472" s="358"/>
      <c r="H472" s="359" t="s">
        <v>755</v>
      </c>
      <c r="I472" s="360" t="s">
        <v>812</v>
      </c>
      <c r="J472" s="361" t="s">
        <v>813</v>
      </c>
      <c r="K472" s="361" t="s">
        <v>814</v>
      </c>
      <c r="L472" s="3"/>
      <c r="M472" s="3"/>
      <c r="N472" s="3"/>
      <c r="O472" s="3"/>
      <c r="P472" s="3"/>
      <c r="Q472" s="3"/>
      <c r="R472" s="3"/>
      <c r="S472" s="3"/>
      <c r="T472" s="3"/>
      <c r="U472" s="3"/>
      <c r="V472" s="3"/>
      <c r="W472" s="3"/>
      <c r="X472" s="3"/>
      <c r="Y472" s="3"/>
      <c r="Z472" s="3"/>
    </row>
    <row r="473" spans="1:26" customFormat="1" ht="12.75" x14ac:dyDescent="0.2">
      <c r="A473" s="241"/>
      <c r="B473" s="354"/>
      <c r="C473" s="362"/>
      <c r="D473" s="363">
        <f>$F$328</f>
        <v>8464.5932287017076</v>
      </c>
      <c r="E473" s="364">
        <f>$F$456</f>
        <v>92082894.227609545</v>
      </c>
      <c r="F473" s="364">
        <f>$H$325*1000/$H$115</f>
        <v>1297.9812574330426</v>
      </c>
      <c r="G473" s="358"/>
      <c r="H473" s="362"/>
      <c r="I473" s="363">
        <f>$F$328</f>
        <v>8464.5932287017076</v>
      </c>
      <c r="J473" s="364">
        <f>$F$456</f>
        <v>92082894.227609545</v>
      </c>
      <c r="K473" s="364">
        <f>$H$325*1000/$H$115</f>
        <v>1297.9812574330426</v>
      </c>
      <c r="L473" s="3"/>
      <c r="M473" s="3"/>
      <c r="N473" s="3"/>
      <c r="O473" s="3"/>
      <c r="P473" s="3"/>
      <c r="Q473" s="3"/>
      <c r="R473" s="3"/>
      <c r="S473" s="3"/>
      <c r="T473" s="3"/>
      <c r="U473" s="3"/>
      <c r="V473" s="3"/>
      <c r="W473" s="3"/>
      <c r="X473" s="3"/>
      <c r="Y473" s="3"/>
      <c r="Z473" s="3"/>
    </row>
    <row r="474" spans="1:26" customFormat="1" ht="12.75" x14ac:dyDescent="0.2">
      <c r="A474" s="241"/>
      <c r="B474" s="354"/>
      <c r="C474" s="378">
        <v>140</v>
      </c>
      <c r="D474" s="621">
        <f t="dataTable" ref="D474:F479" dt2D="0" dtr="0" r1="F10" ca="1"/>
        <v>9525.0858374976197</v>
      </c>
      <c r="E474" s="622">
        <v>103853063.8758889</v>
      </c>
      <c r="F474" s="622">
        <v>1460.5997664000108</v>
      </c>
      <c r="G474" s="358"/>
      <c r="H474" s="365">
        <v>-0.1</v>
      </c>
      <c r="I474" s="621">
        <f t="dataTable" ref="I474:K479" dt2D="0" dtr="0" r1="F11" ca="1"/>
        <v>8464.5932287017076</v>
      </c>
      <c r="J474" s="622">
        <v>92577911.157322749</v>
      </c>
      <c r="K474" s="622">
        <v>1602.4459968309168</v>
      </c>
      <c r="L474" s="3"/>
      <c r="M474" s="3"/>
      <c r="N474" s="3"/>
      <c r="O474" s="3"/>
      <c r="P474" s="3"/>
      <c r="Q474" s="3"/>
      <c r="R474" s="3"/>
      <c r="S474" s="3"/>
      <c r="T474" s="3"/>
      <c r="U474" s="3"/>
      <c r="V474" s="3"/>
      <c r="W474" s="3"/>
      <c r="X474" s="3"/>
      <c r="Y474" s="3"/>
      <c r="Z474" s="3"/>
    </row>
    <row r="475" spans="1:26" customFormat="1" ht="12.75" x14ac:dyDescent="0.2">
      <c r="A475" s="241"/>
      <c r="B475" s="354"/>
      <c r="C475" s="379">
        <v>150</v>
      </c>
      <c r="D475" s="613">
        <v>8890.0801149977779</v>
      </c>
      <c r="E475" s="614">
        <v>96805277.762662247</v>
      </c>
      <c r="F475" s="614">
        <v>1363.2264486400102</v>
      </c>
      <c r="G475" s="358"/>
      <c r="H475" s="368">
        <v>-0.05</v>
      </c>
      <c r="I475" s="613">
        <v>8464.5932287017076</v>
      </c>
      <c r="J475" s="614">
        <v>92345298.829640314</v>
      </c>
      <c r="K475" s="614">
        <v>1438.2063794271942</v>
      </c>
      <c r="L475" s="3"/>
      <c r="M475" s="3"/>
      <c r="N475" s="3"/>
      <c r="O475" s="3"/>
      <c r="P475" s="3"/>
      <c r="Q475" s="3"/>
      <c r="R475" s="3"/>
      <c r="S475" s="3"/>
      <c r="T475" s="3"/>
      <c r="U475" s="3"/>
      <c r="V475" s="3"/>
      <c r="W475" s="3"/>
      <c r="X475" s="3"/>
      <c r="Y475" s="3"/>
      <c r="Z475" s="3"/>
    </row>
    <row r="476" spans="1:26" customFormat="1" ht="12.75" x14ac:dyDescent="0.2">
      <c r="A476" s="241"/>
      <c r="B476" s="354"/>
      <c r="C476" s="380">
        <v>157.54</v>
      </c>
      <c r="D476" s="617">
        <v>8464.5932287017076</v>
      </c>
      <c r="E476" s="618">
        <v>92082894.227609545</v>
      </c>
      <c r="F476" s="618">
        <v>1297.9812574330426</v>
      </c>
      <c r="G476" s="358"/>
      <c r="H476" s="371">
        <v>0</v>
      </c>
      <c r="I476" s="617">
        <v>8464.5932287017076</v>
      </c>
      <c r="J476" s="618">
        <v>92082894.227609545</v>
      </c>
      <c r="K476" s="618">
        <v>1297.9812574330426</v>
      </c>
      <c r="L476" s="3"/>
      <c r="M476" s="3"/>
      <c r="N476" s="3"/>
      <c r="O476" s="3"/>
      <c r="P476" s="3"/>
      <c r="Q476" s="3"/>
      <c r="R476" s="3"/>
      <c r="S476" s="3"/>
      <c r="T476" s="3"/>
      <c r="U476" s="3"/>
      <c r="V476" s="3"/>
      <c r="W476" s="3"/>
      <c r="X476" s="3"/>
      <c r="Y476" s="3"/>
      <c r="Z476" s="3"/>
    </row>
    <row r="477" spans="1:26" customFormat="1" ht="12.75" x14ac:dyDescent="0.2">
      <c r="A477" s="241"/>
      <c r="B477" s="354"/>
      <c r="C477" s="379">
        <v>165</v>
      </c>
      <c r="D477" s="613">
        <v>8081.8910136343438</v>
      </c>
      <c r="E477" s="614">
        <v>87835368.164010167</v>
      </c>
      <c r="F477" s="614">
        <v>1239.2967714909184</v>
      </c>
      <c r="G477" s="358"/>
      <c r="H477" s="597">
        <v>0.05</v>
      </c>
      <c r="I477" s="615">
        <v>8464.5932287017076</v>
      </c>
      <c r="J477" s="616">
        <v>91788135.860574871</v>
      </c>
      <c r="K477" s="616">
        <v>1177.3072629778164</v>
      </c>
      <c r="L477" s="3"/>
      <c r="M477" s="3"/>
      <c r="N477" s="3"/>
      <c r="O477" s="3"/>
      <c r="P477" s="3"/>
      <c r="Q477" s="3"/>
      <c r="R477" s="3"/>
      <c r="S477" s="3"/>
      <c r="T477" s="3"/>
      <c r="U477" s="3"/>
      <c r="V477" s="3"/>
      <c r="W477" s="3"/>
      <c r="X477" s="3"/>
      <c r="Y477" s="3"/>
      <c r="Z477" s="3"/>
    </row>
    <row r="478" spans="1:26" customFormat="1" ht="12.75" x14ac:dyDescent="0.2">
      <c r="A478" s="241"/>
      <c r="B478" s="354"/>
      <c r="C478" s="379">
        <v>175</v>
      </c>
      <c r="D478" s="613">
        <v>7620.0686699980961</v>
      </c>
      <c r="E478" s="614">
        <v>82709705.536208943</v>
      </c>
      <c r="F478" s="614">
        <v>1168.4798131200087</v>
      </c>
      <c r="G478" s="358"/>
      <c r="H478" s="368">
        <v>0.1</v>
      </c>
      <c r="I478" s="613">
        <v>8464.5932287017076</v>
      </c>
      <c r="J478" s="614">
        <v>91458354.64699696</v>
      </c>
      <c r="K478" s="614">
        <v>1072.7117830025143</v>
      </c>
      <c r="L478" s="3"/>
      <c r="M478" s="3"/>
      <c r="N478" s="3"/>
      <c r="O478" s="3"/>
      <c r="P478" s="3"/>
      <c r="Q478" s="3"/>
      <c r="R478" s="3"/>
      <c r="S478" s="3"/>
      <c r="T478" s="3"/>
      <c r="U478" s="3"/>
      <c r="V478" s="3"/>
      <c r="W478" s="3"/>
      <c r="X478" s="3"/>
      <c r="Y478" s="3"/>
      <c r="Z478" s="3"/>
    </row>
    <row r="479" spans="1:26" customFormat="1" ht="12.75" x14ac:dyDescent="0.2">
      <c r="A479" s="241"/>
      <c r="B479" s="354"/>
      <c r="C479" s="381">
        <v>185</v>
      </c>
      <c r="D479" s="619">
        <v>7208.1730662144146</v>
      </c>
      <c r="E479" s="620">
        <v>78138168.59789978</v>
      </c>
      <c r="F479" s="620">
        <v>1105.3187421405489</v>
      </c>
      <c r="G479" s="358"/>
      <c r="H479" s="375">
        <v>0.15</v>
      </c>
      <c r="I479" s="619">
        <v>8464.5932287017076</v>
      </c>
      <c r="J479" s="620">
        <v>91090773.914452747</v>
      </c>
      <c r="K479" s="620">
        <v>981.46030807791522</v>
      </c>
      <c r="L479" s="3"/>
      <c r="M479" s="3"/>
      <c r="N479" s="3"/>
      <c r="O479" s="3"/>
      <c r="P479" s="3"/>
      <c r="Q479" s="3"/>
      <c r="R479" s="3"/>
      <c r="S479" s="3"/>
      <c r="T479" s="3"/>
      <c r="U479" s="3"/>
      <c r="V479" s="3"/>
      <c r="W479" s="3"/>
      <c r="X479" s="3"/>
      <c r="Y479" s="3"/>
      <c r="Z479" s="3"/>
    </row>
    <row r="480" spans="1:26" customFormat="1" ht="12.75" x14ac:dyDescent="0.2">
      <c r="A480" s="241"/>
      <c r="B480" s="354"/>
      <c r="C480" s="354"/>
      <c r="D480" s="354"/>
      <c r="E480" s="354"/>
      <c r="F480" s="354"/>
      <c r="G480" s="354"/>
      <c r="H480" s="354"/>
      <c r="I480" s="354"/>
      <c r="J480" s="354"/>
      <c r="K480" s="354"/>
      <c r="L480" s="3"/>
      <c r="M480" s="3"/>
      <c r="N480" s="3"/>
      <c r="O480" s="3"/>
      <c r="P480" s="3"/>
      <c r="Q480" s="3"/>
      <c r="R480" s="3"/>
      <c r="S480" s="3"/>
      <c r="T480" s="3"/>
      <c r="U480" s="3"/>
      <c r="V480" s="3"/>
      <c r="W480" s="3"/>
      <c r="X480" s="3"/>
      <c r="Y480" s="3"/>
      <c r="Z480" s="3"/>
    </row>
    <row r="481" spans="1:26" customFormat="1" ht="25.5" x14ac:dyDescent="0.2">
      <c r="A481" s="241"/>
      <c r="B481" s="354"/>
      <c r="C481" s="359" t="s">
        <v>21</v>
      </c>
      <c r="D481" s="360" t="s">
        <v>812</v>
      </c>
      <c r="E481" s="657" t="s">
        <v>813</v>
      </c>
      <c r="F481" s="361" t="s">
        <v>814</v>
      </c>
      <c r="G481" s="358"/>
      <c r="H481" s="359" t="s">
        <v>23</v>
      </c>
      <c r="I481" s="662" t="s">
        <v>812</v>
      </c>
      <c r="J481" s="361" t="s">
        <v>813</v>
      </c>
      <c r="K481" s="657" t="s">
        <v>814</v>
      </c>
      <c r="L481" s="3"/>
      <c r="M481" s="3"/>
      <c r="N481" s="3"/>
      <c r="O481" s="3"/>
      <c r="P481" s="3"/>
      <c r="Q481" s="3"/>
      <c r="R481" s="3"/>
      <c r="S481" s="3"/>
      <c r="T481" s="3"/>
      <c r="U481" s="3"/>
      <c r="V481" s="3"/>
      <c r="W481" s="3"/>
      <c r="X481" s="3"/>
      <c r="Y481" s="3"/>
      <c r="Z481" s="3"/>
    </row>
    <row r="482" spans="1:26" customFormat="1" ht="12.75" x14ac:dyDescent="0.2">
      <c r="A482" s="241"/>
      <c r="B482" s="354"/>
      <c r="C482" s="362"/>
      <c r="D482" s="363">
        <f>F$328</f>
        <v>8464.5932287017076</v>
      </c>
      <c r="E482" s="364">
        <f>$F$456</f>
        <v>92082894.227609545</v>
      </c>
      <c r="F482" s="364">
        <f>$H$325*1000/$H$115</f>
        <v>1297.9812574330426</v>
      </c>
      <c r="G482" s="358"/>
      <c r="H482" s="362"/>
      <c r="I482" s="363">
        <f>$F$328</f>
        <v>8464.5932287017076</v>
      </c>
      <c r="J482" s="364">
        <f>$F$456</f>
        <v>92082894.227609545</v>
      </c>
      <c r="K482" s="364">
        <f>$H$325*1000/$H$115</f>
        <v>1297.9812574330426</v>
      </c>
      <c r="L482" s="3"/>
      <c r="M482" s="3"/>
      <c r="N482" s="3"/>
      <c r="O482" s="3"/>
      <c r="P482" s="3"/>
      <c r="Q482" s="3"/>
      <c r="R482" s="3"/>
      <c r="S482" s="3"/>
      <c r="T482" s="3"/>
      <c r="U482" s="3"/>
      <c r="V482" s="3"/>
      <c r="W482" s="3"/>
      <c r="X482" s="3"/>
      <c r="Y482" s="3"/>
      <c r="Z482" s="3"/>
    </row>
    <row r="483" spans="1:26" customFormat="1" ht="12.75" x14ac:dyDescent="0.2">
      <c r="A483" s="241"/>
      <c r="B483" s="354"/>
      <c r="C483" s="382">
        <v>7.0000000000000007E-2</v>
      </c>
      <c r="D483" s="621">
        <f t="dataTable" ref="D483:F488" dt2D="0" dtr="0" r1="F20" ca="1"/>
        <v>12261.650901880615</v>
      </c>
      <c r="E483" s="668">
        <v>92082894.227609545</v>
      </c>
      <c r="F483" s="622">
        <v>1297.9812574330426</v>
      </c>
      <c r="G483" s="358"/>
      <c r="H483" s="365">
        <v>0.06</v>
      </c>
      <c r="I483" s="667">
        <f t="dataTable" ref="I483:K488" dt2D="0" dtr="0" r1="F21" ca="1"/>
        <v>8464.5932287017076</v>
      </c>
      <c r="J483" s="622">
        <v>140496299.15351936</v>
      </c>
      <c r="K483" s="668">
        <v>1297.9812574330426</v>
      </c>
      <c r="L483" s="3"/>
      <c r="M483" s="3"/>
      <c r="N483" s="3"/>
      <c r="O483" s="3"/>
      <c r="P483" s="3"/>
      <c r="Q483" s="3"/>
      <c r="R483" s="3"/>
      <c r="S483" s="3"/>
      <c r="T483" s="3"/>
      <c r="U483" s="3"/>
      <c r="V483" s="3"/>
      <c r="W483" s="3"/>
      <c r="X483" s="3"/>
      <c r="Y483" s="3"/>
      <c r="Z483" s="3"/>
    </row>
    <row r="484" spans="1:26" customFormat="1" ht="12.75" x14ac:dyDescent="0.2">
      <c r="A484" s="241"/>
      <c r="B484" s="354"/>
      <c r="C484" s="383">
        <v>0.1</v>
      </c>
      <c r="D484" s="613">
        <v>10836.7281979538</v>
      </c>
      <c r="E484" s="658">
        <v>92082894.227609545</v>
      </c>
      <c r="F484" s="614">
        <v>1297.9812574330426</v>
      </c>
      <c r="G484" s="358"/>
      <c r="H484" s="368">
        <v>0.08</v>
      </c>
      <c r="I484" s="663">
        <v>8464.5932287017076</v>
      </c>
      <c r="J484" s="614">
        <v>121357321.99768496</v>
      </c>
      <c r="K484" s="658">
        <v>1297.9812574330426</v>
      </c>
      <c r="L484" s="3"/>
      <c r="M484" s="3"/>
      <c r="N484" s="3"/>
      <c r="O484" s="3"/>
      <c r="P484" s="3"/>
      <c r="Q484" s="3"/>
      <c r="R484" s="3"/>
      <c r="S484" s="3"/>
      <c r="T484" s="3"/>
      <c r="U484" s="3"/>
      <c r="V484" s="3"/>
      <c r="W484" s="3"/>
      <c r="X484" s="3"/>
      <c r="Y484" s="3"/>
      <c r="Z484" s="3"/>
    </row>
    <row r="485" spans="1:26" customFormat="1" ht="12.75" x14ac:dyDescent="0.2">
      <c r="A485" s="241"/>
      <c r="B485" s="354"/>
      <c r="C485" s="384">
        <v>0.12</v>
      </c>
      <c r="D485" s="615">
        <v>10031.486154073787</v>
      </c>
      <c r="E485" s="659">
        <v>92082894.227609545</v>
      </c>
      <c r="F485" s="616">
        <v>1297.9812574330426</v>
      </c>
      <c r="G485" s="358"/>
      <c r="H485" s="368">
        <v>0.1</v>
      </c>
      <c r="I485" s="663">
        <v>8464.5932287017076</v>
      </c>
      <c r="J485" s="614">
        <v>105423853.73910873</v>
      </c>
      <c r="K485" s="658">
        <v>1297.9812574330426</v>
      </c>
      <c r="L485" s="3"/>
      <c r="M485" s="3"/>
      <c r="N485" s="3"/>
      <c r="O485" s="3"/>
      <c r="P485" s="3"/>
      <c r="Q485" s="3"/>
      <c r="R485" s="3"/>
      <c r="S485" s="3"/>
      <c r="T485" s="3"/>
      <c r="U485" s="3"/>
      <c r="V485" s="3"/>
      <c r="W485" s="3"/>
      <c r="X485" s="3"/>
      <c r="Y485" s="3"/>
      <c r="Z485" s="3"/>
    </row>
    <row r="486" spans="1:26" customFormat="1" ht="12.75" x14ac:dyDescent="0.2">
      <c r="A486" s="241"/>
      <c r="B486" s="354"/>
      <c r="C486" s="387">
        <v>0.16800000000000001</v>
      </c>
      <c r="D486" s="617">
        <v>8464.5932287017076</v>
      </c>
      <c r="E486" s="660">
        <v>92082894.227609545</v>
      </c>
      <c r="F486" s="618">
        <v>1297.9812574330426</v>
      </c>
      <c r="G486" s="358"/>
      <c r="H486" s="371">
        <v>0.12</v>
      </c>
      <c r="I486" s="665">
        <v>8464.5932287017076</v>
      </c>
      <c r="J486" s="618">
        <v>92082894.227609545</v>
      </c>
      <c r="K486" s="660">
        <v>1297.9812574330426</v>
      </c>
      <c r="L486" s="3"/>
      <c r="M486" s="3"/>
      <c r="N486" s="3"/>
      <c r="O486" s="3"/>
      <c r="P486" s="3"/>
      <c r="Q486" s="3"/>
      <c r="R486" s="3"/>
      <c r="S486" s="3"/>
      <c r="T486" s="3"/>
      <c r="U486" s="3"/>
      <c r="V486" s="3"/>
      <c r="W486" s="3"/>
      <c r="X486" s="3"/>
      <c r="Y486" s="3"/>
      <c r="Z486" s="3"/>
    </row>
    <row r="487" spans="1:26" customFormat="1" ht="12.75" x14ac:dyDescent="0.2">
      <c r="A487" s="241"/>
      <c r="B487" s="354"/>
      <c r="C487" s="383">
        <v>0.2</v>
      </c>
      <c r="D487" s="613">
        <v>7643.0413472774035</v>
      </c>
      <c r="E487" s="658">
        <v>92082894.227609545</v>
      </c>
      <c r="F487" s="614">
        <v>1297.9812574330426</v>
      </c>
      <c r="G487" s="358"/>
      <c r="H487" s="368">
        <v>0.14000000000000001</v>
      </c>
      <c r="I487" s="663">
        <v>8464.5932287017076</v>
      </c>
      <c r="J487" s="614">
        <v>80850788.373640478</v>
      </c>
      <c r="K487" s="658">
        <v>1297.9812574330426</v>
      </c>
      <c r="L487" s="3"/>
      <c r="M487" s="3"/>
      <c r="N487" s="3"/>
      <c r="O487" s="3"/>
      <c r="P487" s="3"/>
      <c r="Q487" s="3"/>
      <c r="R487" s="3"/>
      <c r="S487" s="3"/>
      <c r="T487" s="3"/>
      <c r="U487" s="3"/>
      <c r="V487" s="3"/>
      <c r="W487" s="3"/>
      <c r="X487" s="3"/>
      <c r="Y487" s="3"/>
      <c r="Z487" s="3"/>
    </row>
    <row r="488" spans="1:26" customFormat="1" ht="12.75" x14ac:dyDescent="0.2">
      <c r="A488" s="241"/>
      <c r="B488" s="354"/>
      <c r="C488" s="388">
        <v>0.25</v>
      </c>
      <c r="D488" s="619">
        <v>6620.1973221097387</v>
      </c>
      <c r="E488" s="661">
        <v>92082894.227609545</v>
      </c>
      <c r="F488" s="620">
        <v>1297.9812574330426</v>
      </c>
      <c r="G488" s="358"/>
      <c r="H488" s="375">
        <v>0.25</v>
      </c>
      <c r="I488" s="666">
        <v>8464.5932287017076</v>
      </c>
      <c r="J488" s="620">
        <v>42970468.776260726</v>
      </c>
      <c r="K488" s="661">
        <v>1297.9812574330426</v>
      </c>
      <c r="L488" s="3"/>
      <c r="M488" s="3"/>
      <c r="N488" s="3"/>
      <c r="O488" s="3"/>
      <c r="P488" s="3"/>
      <c r="Q488" s="3"/>
      <c r="R488" s="3"/>
      <c r="S488" s="3"/>
      <c r="T488" s="3"/>
      <c r="U488" s="3"/>
      <c r="V488" s="3"/>
      <c r="W488" s="3"/>
      <c r="X488" s="3"/>
      <c r="Y488" s="3"/>
      <c r="Z488" s="3"/>
    </row>
    <row r="489" spans="1:26" customFormat="1" ht="12.75" x14ac:dyDescent="0.2">
      <c r="A489" s="246"/>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customFormat="1" ht="38.25" x14ac:dyDescent="0.2">
      <c r="A490" s="246"/>
      <c r="B490" s="3"/>
      <c r="C490" s="359" t="s">
        <v>950</v>
      </c>
      <c r="D490" s="360" t="s">
        <v>812</v>
      </c>
      <c r="E490" s="361" t="s">
        <v>813</v>
      </c>
      <c r="F490" s="361" t="s">
        <v>814</v>
      </c>
      <c r="G490" s="3"/>
      <c r="H490" s="359" t="s">
        <v>911</v>
      </c>
      <c r="I490" s="360" t="s">
        <v>812</v>
      </c>
      <c r="J490" s="361" t="s">
        <v>813</v>
      </c>
      <c r="K490" s="361" t="s">
        <v>814</v>
      </c>
      <c r="L490" s="3"/>
      <c r="M490" s="3"/>
      <c r="N490" s="3"/>
      <c r="O490" s="3"/>
      <c r="P490" s="3"/>
      <c r="Q490" s="3"/>
      <c r="R490" s="3"/>
      <c r="S490" s="3"/>
      <c r="T490" s="3"/>
      <c r="U490" s="3"/>
      <c r="V490" s="3"/>
      <c r="W490" s="3"/>
      <c r="X490" s="3"/>
      <c r="Y490" s="3"/>
      <c r="Z490" s="3"/>
    </row>
    <row r="491" spans="1:26" customFormat="1" ht="12.75" x14ac:dyDescent="0.2">
      <c r="A491" s="246"/>
      <c r="B491" s="3"/>
      <c r="C491" s="362"/>
      <c r="D491" s="363">
        <f>F$328</f>
        <v>8464.5932287017076</v>
      </c>
      <c r="E491" s="364">
        <f>$F$456</f>
        <v>92082894.227609545</v>
      </c>
      <c r="F491" s="364">
        <f>$H$325*1000/$H$115</f>
        <v>1297.9812574330426</v>
      </c>
      <c r="G491" s="3"/>
      <c r="H491" s="362"/>
      <c r="I491" s="363">
        <f>$F$328</f>
        <v>8464.5932287017076</v>
      </c>
      <c r="J491" s="364">
        <f>$F$456</f>
        <v>92082894.227609545</v>
      </c>
      <c r="K491" s="364">
        <f>$H$325*1000/$H$115</f>
        <v>1297.9812574330426</v>
      </c>
      <c r="L491" s="3"/>
      <c r="M491" s="3"/>
      <c r="N491" s="3"/>
      <c r="O491" s="3"/>
      <c r="P491" s="3"/>
      <c r="Q491" s="3"/>
      <c r="R491" s="3"/>
      <c r="S491" s="3"/>
      <c r="T491" s="3"/>
      <c r="U491" s="3"/>
      <c r="V491" s="3"/>
      <c r="W491" s="3"/>
      <c r="X491" s="3"/>
      <c r="Y491" s="3"/>
      <c r="Z491" s="3"/>
    </row>
    <row r="492" spans="1:26" customFormat="1" ht="12.75" x14ac:dyDescent="0.2">
      <c r="A492" s="246"/>
      <c r="B492" s="3"/>
      <c r="C492" s="382">
        <v>-0.03</v>
      </c>
      <c r="D492" s="621">
        <f t="dataTable" ref="D492:F499" dt2D="0" dtr="0" r1="J56" ca="1"/>
        <v>8511.0183013365568</v>
      </c>
      <c r="E492" s="622">
        <v>92926499.357965231</v>
      </c>
      <c r="F492" s="622">
        <v>1319.9946381617458</v>
      </c>
      <c r="G492" s="3"/>
      <c r="H492" s="382">
        <v>-0.1</v>
      </c>
      <c r="I492" s="621">
        <f t="dataTable" ref="I492:K499" dt2D="0" dtr="0" r1="J75" ca="1"/>
        <v>9953.548306291661</v>
      </c>
      <c r="J492" s="622">
        <v>120646942.89601295</v>
      </c>
      <c r="K492" s="622">
        <v>1566.0272786492387</v>
      </c>
      <c r="L492" s="3"/>
      <c r="M492" s="3"/>
      <c r="N492" s="3"/>
      <c r="O492" s="3"/>
      <c r="P492" s="3"/>
      <c r="Q492" s="3"/>
      <c r="R492" s="3"/>
      <c r="S492" s="3"/>
      <c r="T492" s="3"/>
      <c r="U492" s="3"/>
      <c r="V492" s="3"/>
      <c r="W492" s="3"/>
      <c r="X492" s="3"/>
      <c r="Y492" s="3"/>
      <c r="Z492" s="3"/>
    </row>
    <row r="493" spans="1:26" customFormat="1" ht="12.75" x14ac:dyDescent="0.2">
      <c r="A493" s="246"/>
      <c r="B493" s="3"/>
      <c r="C493" s="383">
        <v>-0.02</v>
      </c>
      <c r="D493" s="613">
        <v>8495.7440381896922</v>
      </c>
      <c r="E493" s="614">
        <v>92648954.406745419</v>
      </c>
      <c r="F493" s="614">
        <v>1312.7313399517673</v>
      </c>
      <c r="G493" s="3"/>
      <c r="H493" s="383">
        <v>-0.05</v>
      </c>
      <c r="I493" s="613">
        <v>9209.0707674966743</v>
      </c>
      <c r="J493" s="614">
        <v>106364918.56181106</v>
      </c>
      <c r="K493" s="614">
        <v>1432.0042680411393</v>
      </c>
      <c r="L493" s="3"/>
      <c r="M493" s="3"/>
      <c r="N493" s="3"/>
      <c r="O493" s="3"/>
      <c r="P493" s="3"/>
      <c r="Q493" s="3"/>
      <c r="R493" s="3"/>
      <c r="S493" s="3"/>
      <c r="T493" s="3"/>
      <c r="U493" s="3"/>
      <c r="V493" s="3"/>
      <c r="W493" s="3"/>
      <c r="X493" s="3"/>
      <c r="Y493" s="3"/>
      <c r="Z493" s="3"/>
    </row>
    <row r="494" spans="1:26" customFormat="1" ht="12.75" x14ac:dyDescent="0.2">
      <c r="A494" s="246"/>
      <c r="B494" s="3"/>
      <c r="C494" s="384">
        <v>-0.01</v>
      </c>
      <c r="D494" s="615">
        <v>8480.2696788362864</v>
      </c>
      <c r="E494" s="616">
        <v>92367765.580516741</v>
      </c>
      <c r="F494" s="616">
        <v>1305.3935463755329</v>
      </c>
      <c r="G494" s="3"/>
      <c r="H494" s="384">
        <v>-0.01</v>
      </c>
      <c r="I494" s="615">
        <v>8613.488736460693</v>
      </c>
      <c r="J494" s="616">
        <v>94939299.094449729</v>
      </c>
      <c r="K494" s="616">
        <v>1324.7858595546586</v>
      </c>
      <c r="L494" s="3"/>
      <c r="M494" s="3"/>
      <c r="N494" s="3"/>
      <c r="O494" s="3"/>
      <c r="P494" s="3"/>
      <c r="Q494" s="3"/>
      <c r="R494" s="3"/>
      <c r="S494" s="3"/>
      <c r="T494" s="3"/>
      <c r="U494" s="3"/>
      <c r="V494" s="3"/>
      <c r="W494" s="3"/>
      <c r="X494" s="3"/>
      <c r="Y494" s="3"/>
      <c r="Z494" s="3"/>
    </row>
    <row r="495" spans="1:26" customFormat="1" ht="12.75" x14ac:dyDescent="0.2">
      <c r="A495" s="246"/>
      <c r="B495" s="3"/>
      <c r="C495" s="602">
        <v>0</v>
      </c>
      <c r="D495" s="617">
        <v>8464.5932287017076</v>
      </c>
      <c r="E495" s="618">
        <v>92082894.227609545</v>
      </c>
      <c r="F495" s="618">
        <v>1297.9812574330426</v>
      </c>
      <c r="G495" s="3"/>
      <c r="H495" s="602">
        <v>0</v>
      </c>
      <c r="I495" s="617">
        <v>8464.5932287017076</v>
      </c>
      <c r="J495" s="618">
        <v>92082894.227609545</v>
      </c>
      <c r="K495" s="618">
        <v>1297.9812574330426</v>
      </c>
      <c r="L495" s="3"/>
      <c r="M495" s="3"/>
      <c r="N495" s="3"/>
      <c r="O495" s="3"/>
      <c r="P495" s="3"/>
      <c r="Q495" s="3"/>
      <c r="R495" s="3"/>
      <c r="S495" s="3"/>
      <c r="T495" s="3"/>
      <c r="U495" s="3"/>
      <c r="V495" s="3"/>
      <c r="W495" s="3"/>
      <c r="X495" s="3"/>
      <c r="Y495" s="3"/>
      <c r="Z495" s="3"/>
    </row>
    <row r="496" spans="1:26" customFormat="1" ht="12.75" x14ac:dyDescent="0.2">
      <c r="A496" s="246"/>
      <c r="B496" s="3"/>
      <c r="C496" s="383">
        <v>0.01</v>
      </c>
      <c r="D496" s="613">
        <v>8448.7126562267295</v>
      </c>
      <c r="E496" s="614">
        <v>91794300.862392157</v>
      </c>
      <c r="F496" s="614">
        <v>1290.494473124294</v>
      </c>
      <c r="G496" s="3"/>
      <c r="H496" s="383">
        <v>0.01</v>
      </c>
      <c r="I496" s="613">
        <v>8315.6977209426896</v>
      </c>
      <c r="J496" s="614">
        <v>89226489.36076878</v>
      </c>
      <c r="K496" s="614">
        <v>1271.176655311421</v>
      </c>
      <c r="L496" s="3"/>
      <c r="M496" s="3"/>
      <c r="N496" s="3"/>
      <c r="O496" s="3"/>
      <c r="P496" s="3"/>
      <c r="Q496" s="3"/>
      <c r="R496" s="3"/>
      <c r="S496" s="3"/>
      <c r="T496" s="3"/>
      <c r="U496" s="3"/>
      <c r="V496" s="3"/>
      <c r="W496" s="3"/>
      <c r="X496" s="3"/>
      <c r="Y496" s="3"/>
      <c r="Z496" s="3"/>
    </row>
    <row r="497" spans="1:26" customFormat="1" ht="12.75" x14ac:dyDescent="0.2">
      <c r="A497" s="246"/>
      <c r="B497" s="3"/>
      <c r="C497" s="383">
        <v>0.02</v>
      </c>
      <c r="D497" s="613">
        <v>8432.6258909617954</v>
      </c>
      <c r="E497" s="614">
        <v>91501945.122298405</v>
      </c>
      <c r="F497" s="614">
        <v>1282.9331934492895</v>
      </c>
      <c r="G497" s="3"/>
      <c r="H497" s="702">
        <v>2.5000000000000001E-2</v>
      </c>
      <c r="I497" s="613">
        <v>8092.354459304207</v>
      </c>
      <c r="J497" s="614">
        <v>84941882.060508475</v>
      </c>
      <c r="K497" s="614">
        <v>1230.9697521289916</v>
      </c>
      <c r="L497" s="3"/>
      <c r="M497" s="3"/>
      <c r="N497" s="3"/>
      <c r="O497" s="3"/>
      <c r="P497" s="3"/>
      <c r="Q497" s="3"/>
      <c r="R497" s="3"/>
      <c r="S497" s="3"/>
      <c r="T497" s="3"/>
      <c r="U497" s="3"/>
      <c r="V497" s="3"/>
      <c r="W497" s="3"/>
      <c r="X497" s="3"/>
      <c r="Y497" s="3"/>
      <c r="Z497" s="3"/>
    </row>
    <row r="498" spans="1:26" customFormat="1" ht="12.75" x14ac:dyDescent="0.2">
      <c r="A498" s="246"/>
      <c r="B498" s="3"/>
      <c r="C498" s="383">
        <v>0.03</v>
      </c>
      <c r="D498" s="613">
        <v>8416.3308215834313</v>
      </c>
      <c r="E498" s="614">
        <v>91205785.72310032</v>
      </c>
      <c r="F498" s="614">
        <v>1275.2974184080294</v>
      </c>
      <c r="G498" s="3"/>
      <c r="H498" s="383">
        <v>0.05</v>
      </c>
      <c r="I498" s="613">
        <v>7720.1156899066964</v>
      </c>
      <c r="J498" s="614">
        <v>77800869.893407241</v>
      </c>
      <c r="K498" s="614">
        <v>1163.9582468249403</v>
      </c>
      <c r="L498" s="3"/>
      <c r="M498" s="3"/>
      <c r="N498" s="3"/>
      <c r="O498" s="3"/>
      <c r="P498" s="3"/>
      <c r="Q498" s="3"/>
      <c r="R498" s="3"/>
      <c r="S498" s="3"/>
      <c r="T498" s="3"/>
      <c r="U498" s="3"/>
      <c r="V498" s="3"/>
      <c r="W498" s="3"/>
      <c r="X498" s="3"/>
      <c r="Y498" s="3"/>
      <c r="Z498" s="3"/>
    </row>
    <row r="499" spans="1:26" customFormat="1" ht="12.75" x14ac:dyDescent="0.2">
      <c r="A499" s="246"/>
      <c r="B499" s="3"/>
      <c r="C499" s="388">
        <v>0.04</v>
      </c>
      <c r="D499" s="619">
        <v>8399.8252938306232</v>
      </c>
      <c r="E499" s="620">
        <v>90905780.41237554</v>
      </c>
      <c r="F499" s="620">
        <v>1267.5871480005164</v>
      </c>
      <c r="G499" s="3"/>
      <c r="H499" s="388">
        <v>0.1</v>
      </c>
      <c r="I499" s="619">
        <v>6975.638151111727</v>
      </c>
      <c r="J499" s="620">
        <v>63518845.559205748</v>
      </c>
      <c r="K499" s="620">
        <v>1029.9352362168408</v>
      </c>
      <c r="L499" s="3"/>
      <c r="M499" s="3"/>
      <c r="N499" s="3"/>
      <c r="O499" s="3"/>
      <c r="P499" s="3"/>
      <c r="Q499" s="3"/>
      <c r="R499" s="3"/>
      <c r="S499" s="3"/>
      <c r="T499" s="3"/>
      <c r="U499" s="3"/>
      <c r="V499" s="3"/>
      <c r="W499" s="3"/>
      <c r="X499" s="3"/>
      <c r="Y499" s="3"/>
      <c r="Z499" s="3"/>
    </row>
    <row r="500" spans="1:26" customFormat="1" ht="12.75" x14ac:dyDescent="0.2">
      <c r="A500" s="246"/>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customFormat="1" ht="38.25" x14ac:dyDescent="0.2">
      <c r="A501" s="246"/>
      <c r="B501" s="3"/>
      <c r="C501" s="359" t="s">
        <v>990</v>
      </c>
      <c r="D501" s="360" t="s">
        <v>812</v>
      </c>
      <c r="E501" s="361" t="s">
        <v>813</v>
      </c>
      <c r="F501" s="361" t="s">
        <v>814</v>
      </c>
      <c r="G501" s="3"/>
      <c r="H501" s="3"/>
      <c r="I501" s="3"/>
      <c r="J501" s="3"/>
      <c r="K501" s="3"/>
      <c r="L501" s="3"/>
      <c r="M501" s="3"/>
      <c r="N501" s="3"/>
      <c r="O501" s="3"/>
      <c r="P501" s="3"/>
      <c r="Q501" s="3"/>
      <c r="R501" s="3"/>
      <c r="S501" s="3"/>
      <c r="T501" s="3"/>
      <c r="U501" s="3"/>
      <c r="V501" s="3"/>
      <c r="W501" s="3"/>
      <c r="X501" s="3"/>
      <c r="Y501" s="3"/>
      <c r="Z501" s="3"/>
    </row>
    <row r="502" spans="1:26" customFormat="1" ht="12.75" x14ac:dyDescent="0.2">
      <c r="A502" s="246"/>
      <c r="B502" s="3"/>
      <c r="C502" s="362"/>
      <c r="D502" s="363">
        <f>$F$328</f>
        <v>8464.5932287017076</v>
      </c>
      <c r="E502" s="364">
        <f>$F$456</f>
        <v>92082894.227609545</v>
      </c>
      <c r="F502" s="364">
        <f>$H$325*1000/$H$115</f>
        <v>1297.9812574330426</v>
      </c>
      <c r="G502" s="3"/>
      <c r="H502" s="3"/>
      <c r="I502" s="3"/>
      <c r="J502" s="3"/>
      <c r="K502" s="3"/>
      <c r="L502" s="3"/>
      <c r="M502" s="3"/>
      <c r="N502" s="3"/>
      <c r="O502" s="3"/>
      <c r="P502" s="3"/>
      <c r="Q502" s="3"/>
      <c r="R502" s="3"/>
      <c r="S502" s="3"/>
      <c r="T502" s="3"/>
      <c r="U502" s="3"/>
      <c r="V502" s="3"/>
      <c r="W502" s="3"/>
      <c r="X502" s="3"/>
      <c r="Y502" s="3"/>
      <c r="Z502" s="3"/>
    </row>
    <row r="503" spans="1:26" customFormat="1" ht="12.75" x14ac:dyDescent="0.2">
      <c r="A503" s="246"/>
      <c r="B503" s="3"/>
      <c r="C503" s="382">
        <v>-0.1</v>
      </c>
      <c r="D503" s="621">
        <f t="dataTable" ref="D503:F510" dt2D="0" dtr="0" r1="J85" ca="1"/>
        <v>5961.0102672750081</v>
      </c>
      <c r="E503" s="622">
        <v>50930692.985985495</v>
      </c>
      <c r="F503" s="622">
        <v>854.18996633237111</v>
      </c>
      <c r="G503" s="3"/>
      <c r="H503" s="3"/>
      <c r="I503" s="3"/>
      <c r="J503" s="3"/>
      <c r="K503" s="3"/>
      <c r="L503" s="3"/>
      <c r="M503" s="3"/>
      <c r="N503" s="3"/>
      <c r="O503" s="3"/>
      <c r="P503" s="3"/>
      <c r="Q503" s="3"/>
      <c r="R503" s="3"/>
      <c r="S503" s="3"/>
      <c r="T503" s="3"/>
      <c r="U503" s="3"/>
      <c r="V503" s="3"/>
      <c r="W503" s="3"/>
      <c r="X503" s="3"/>
      <c r="Y503" s="3"/>
      <c r="Z503" s="3"/>
    </row>
    <row r="504" spans="1:26" customFormat="1" ht="12.75" x14ac:dyDescent="0.2">
      <c r="A504" s="246"/>
      <c r="B504" s="3"/>
      <c r="C504" s="383">
        <v>-0.05</v>
      </c>
      <c r="D504" s="613">
        <v>7212.8017479883429</v>
      </c>
      <c r="E504" s="614">
        <v>71506793.606797442</v>
      </c>
      <c r="F504" s="614">
        <v>1076.0856118826969</v>
      </c>
      <c r="G504" s="3"/>
      <c r="H504" s="3"/>
      <c r="I504" s="3"/>
      <c r="J504" s="3"/>
      <c r="K504" s="3"/>
      <c r="L504" s="3"/>
      <c r="M504" s="3"/>
      <c r="N504" s="3"/>
      <c r="O504" s="3"/>
      <c r="P504" s="3"/>
      <c r="Q504" s="3"/>
      <c r="R504" s="3"/>
      <c r="S504" s="3"/>
      <c r="T504" s="3"/>
      <c r="U504" s="3"/>
      <c r="V504" s="3"/>
      <c r="W504" s="3"/>
      <c r="X504" s="3"/>
      <c r="Y504" s="3"/>
      <c r="Z504" s="3"/>
    </row>
    <row r="505" spans="1:26" customFormat="1" ht="12.75" x14ac:dyDescent="0.2">
      <c r="A505" s="246"/>
      <c r="B505" s="3"/>
      <c r="C505" s="703">
        <v>-2.5000000000000001E-2</v>
      </c>
      <c r="D505" s="615">
        <v>7838.6974883450284</v>
      </c>
      <c r="E505" s="616">
        <v>81794843.917203516</v>
      </c>
      <c r="F505" s="616">
        <v>1187.0334346578684</v>
      </c>
      <c r="G505" s="3"/>
      <c r="H505" s="3"/>
      <c r="I505" s="3"/>
      <c r="J505" s="3"/>
      <c r="K505" s="3"/>
      <c r="L505" s="3"/>
      <c r="M505" s="3"/>
      <c r="N505" s="3"/>
      <c r="O505" s="3"/>
      <c r="P505" s="3"/>
      <c r="Q505" s="3"/>
      <c r="R505" s="3"/>
      <c r="S505" s="3"/>
      <c r="T505" s="3"/>
      <c r="U505" s="3"/>
      <c r="V505" s="3"/>
      <c r="W505" s="3"/>
      <c r="X505" s="3"/>
      <c r="Y505" s="3"/>
      <c r="Z505" s="3"/>
    </row>
    <row r="506" spans="1:26" customFormat="1" ht="12.75" x14ac:dyDescent="0.2">
      <c r="A506" s="246"/>
      <c r="B506" s="3"/>
      <c r="C506" s="602">
        <v>0</v>
      </c>
      <c r="D506" s="617">
        <v>8464.5932287017076</v>
      </c>
      <c r="E506" s="618">
        <v>92082894.227609545</v>
      </c>
      <c r="F506" s="618">
        <v>1297.9812574330426</v>
      </c>
      <c r="G506" s="3"/>
      <c r="H506" s="3"/>
      <c r="I506" s="3"/>
      <c r="J506" s="3"/>
      <c r="K506" s="3"/>
      <c r="L506" s="3"/>
      <c r="M506" s="3"/>
      <c r="N506" s="3"/>
      <c r="O506" s="3"/>
      <c r="P506" s="3"/>
      <c r="Q506" s="3"/>
      <c r="R506" s="3"/>
      <c r="S506" s="3"/>
      <c r="T506" s="3"/>
      <c r="U506" s="3"/>
      <c r="V506" s="3"/>
      <c r="W506" s="3"/>
      <c r="X506" s="3"/>
      <c r="Y506" s="3"/>
      <c r="Z506" s="3"/>
    </row>
    <row r="507" spans="1:26" customFormat="1" ht="12.75" x14ac:dyDescent="0.2">
      <c r="A507" s="246"/>
      <c r="B507" s="3"/>
      <c r="C507" s="383">
        <v>0.01</v>
      </c>
      <c r="D507" s="613">
        <v>8714.9515248443822</v>
      </c>
      <c r="E507" s="614">
        <v>96198114.351771921</v>
      </c>
      <c r="F507" s="614">
        <v>1342.3603865431078</v>
      </c>
      <c r="G507" s="3"/>
      <c r="H507" s="3"/>
      <c r="I507" s="3"/>
      <c r="J507" s="3"/>
      <c r="K507" s="3"/>
      <c r="L507" s="3"/>
      <c r="M507" s="3"/>
      <c r="N507" s="3"/>
      <c r="O507" s="3"/>
      <c r="P507" s="3"/>
      <c r="Q507" s="3"/>
      <c r="R507" s="3"/>
      <c r="S507" s="3"/>
      <c r="T507" s="3"/>
      <c r="U507" s="3"/>
      <c r="V507" s="3"/>
      <c r="W507" s="3"/>
      <c r="X507" s="3"/>
      <c r="Y507" s="3"/>
      <c r="Z507" s="3"/>
    </row>
    <row r="508" spans="1:26" customFormat="1" ht="12.75" x14ac:dyDescent="0.2">
      <c r="A508" s="246"/>
      <c r="B508" s="3"/>
      <c r="C508" s="383">
        <v>2.5000000000000001E-2</v>
      </c>
      <c r="D508" s="613">
        <v>9090.4889690583714</v>
      </c>
      <c r="E508" s="614">
        <v>102370944.53801547</v>
      </c>
      <c r="F508" s="614">
        <v>1408.9290802082085</v>
      </c>
      <c r="G508" s="3"/>
      <c r="H508" s="3"/>
      <c r="I508" s="3"/>
      <c r="J508" s="3"/>
      <c r="K508" s="3"/>
      <c r="L508" s="3"/>
      <c r="M508" s="3"/>
      <c r="N508" s="3"/>
      <c r="O508" s="3"/>
      <c r="P508" s="3"/>
      <c r="Q508" s="3"/>
      <c r="R508" s="3"/>
      <c r="S508" s="3"/>
      <c r="T508" s="3"/>
      <c r="U508" s="3"/>
      <c r="V508" s="3"/>
      <c r="W508" s="3"/>
      <c r="X508" s="3"/>
      <c r="Y508" s="3"/>
      <c r="Z508" s="3"/>
    </row>
    <row r="509" spans="1:26" customFormat="1" ht="12.75" x14ac:dyDescent="0.2">
      <c r="A509" s="246"/>
      <c r="B509" s="3"/>
      <c r="C509" s="383">
        <v>0.05</v>
      </c>
      <c r="D509" s="613">
        <v>9716.3847094150406</v>
      </c>
      <c r="E509" s="614">
        <v>112658994.8484215</v>
      </c>
      <c r="F509" s="614">
        <v>1519.8769029833713</v>
      </c>
      <c r="G509" s="3"/>
      <c r="H509" s="3"/>
      <c r="I509" s="3"/>
      <c r="J509" s="3"/>
      <c r="K509" s="3"/>
      <c r="L509" s="3"/>
      <c r="M509" s="3"/>
      <c r="N509" s="3"/>
      <c r="O509" s="3"/>
      <c r="P509" s="3"/>
      <c r="Q509" s="3"/>
      <c r="R509" s="3"/>
      <c r="S509" s="3"/>
      <c r="T509" s="3"/>
      <c r="U509" s="3"/>
      <c r="V509" s="3"/>
      <c r="W509" s="3"/>
      <c r="X509" s="3"/>
      <c r="Y509" s="3"/>
      <c r="Z509" s="3"/>
    </row>
    <row r="510" spans="1:26" customFormat="1" ht="12.75" x14ac:dyDescent="0.2">
      <c r="A510" s="246"/>
      <c r="B510" s="3"/>
      <c r="C510" s="388">
        <v>0.1</v>
      </c>
      <c r="D510" s="619">
        <v>10968.176190128386</v>
      </c>
      <c r="E510" s="620">
        <v>133235095.46923299</v>
      </c>
      <c r="F510" s="620">
        <v>1741.7725485337116</v>
      </c>
      <c r="G510" s="3"/>
      <c r="H510" s="3"/>
      <c r="I510" s="3"/>
      <c r="J510" s="3"/>
      <c r="K510" s="3"/>
      <c r="L510" s="3"/>
      <c r="M510" s="3"/>
      <c r="N510" s="3"/>
      <c r="O510" s="3"/>
      <c r="P510" s="3"/>
      <c r="Q510" s="3"/>
      <c r="R510" s="3"/>
      <c r="S510" s="3"/>
      <c r="T510" s="3"/>
      <c r="U510" s="3"/>
      <c r="V510" s="3"/>
      <c r="W510" s="3"/>
      <c r="X510" s="3"/>
      <c r="Y510" s="3"/>
      <c r="Z510" s="3"/>
    </row>
    <row r="511" spans="1:26" customFormat="1" ht="12.75" x14ac:dyDescent="0.2">
      <c r="A511" s="246"/>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customFormat="1" ht="63.75" x14ac:dyDescent="0.2">
      <c r="A512" s="246"/>
      <c r="B512" s="3"/>
      <c r="C512" s="841" t="s">
        <v>996</v>
      </c>
      <c r="D512" s="360" t="s">
        <v>812</v>
      </c>
      <c r="E512" s="361" t="s">
        <v>813</v>
      </c>
      <c r="F512" s="361" t="s">
        <v>814</v>
      </c>
      <c r="G512" s="3"/>
      <c r="H512" s="359" t="s">
        <v>991</v>
      </c>
      <c r="I512" s="360" t="s">
        <v>812</v>
      </c>
      <c r="J512" s="361" t="s">
        <v>813</v>
      </c>
      <c r="K512" s="361" t="s">
        <v>814</v>
      </c>
      <c r="L512" s="3"/>
      <c r="M512" s="3"/>
      <c r="N512" s="3"/>
      <c r="O512" s="3"/>
      <c r="P512" s="3"/>
      <c r="Q512" s="3"/>
      <c r="R512" s="3"/>
      <c r="S512" s="3"/>
      <c r="T512" s="3"/>
      <c r="U512" s="3"/>
      <c r="V512" s="3"/>
      <c r="W512" s="3"/>
      <c r="X512" s="3"/>
      <c r="Y512" s="3"/>
      <c r="Z512" s="3"/>
    </row>
    <row r="513" spans="1:26" customFormat="1" ht="12.75" x14ac:dyDescent="0.2">
      <c r="A513" s="246"/>
      <c r="B513" s="3"/>
      <c r="C513" s="362"/>
      <c r="D513" s="363">
        <f>$F$328</f>
        <v>8464.5932287017076</v>
      </c>
      <c r="E513" s="364">
        <f>$F$456</f>
        <v>92082894.227609545</v>
      </c>
      <c r="F513" s="364">
        <f>$H$325*1000/$H$115</f>
        <v>1297.9812574330426</v>
      </c>
      <c r="G513" s="3"/>
      <c r="H513" s="362"/>
      <c r="I513" s="363">
        <f>$F$328</f>
        <v>8464.5932287017076</v>
      </c>
      <c r="J513" s="364">
        <f>$F$456</f>
        <v>92082894.227609545</v>
      </c>
      <c r="K513" s="364">
        <f>$H$325*1000/$H$115</f>
        <v>1297.9812574330426</v>
      </c>
      <c r="L513" s="3"/>
      <c r="M513" s="3"/>
      <c r="N513" s="3"/>
      <c r="O513" s="3"/>
      <c r="P513" s="3"/>
      <c r="Q513" s="3"/>
      <c r="R513" s="3"/>
      <c r="S513" s="3"/>
      <c r="T513" s="3"/>
      <c r="U513" s="3"/>
      <c r="V513" s="3"/>
      <c r="W513" s="3"/>
      <c r="X513" s="3"/>
      <c r="Y513" s="3"/>
      <c r="Z513" s="3"/>
    </row>
    <row r="514" spans="1:26" customFormat="1" ht="12.75" x14ac:dyDescent="0.2">
      <c r="A514" s="246"/>
      <c r="B514" s="3"/>
      <c r="C514" s="382">
        <v>-0.02</v>
      </c>
      <c r="D514" s="621">
        <f t="dataTable" ref="D514:F520" dt2D="0" dtr="0" r1="F36" ca="1"/>
        <v>10029.378471480395</v>
      </c>
      <c r="E514" s="622">
        <v>81749636.864241078</v>
      </c>
      <c r="F514" s="622">
        <v>1473.1351281960176</v>
      </c>
      <c r="G514" s="3"/>
      <c r="H514" s="755">
        <v>-0.02</v>
      </c>
      <c r="I514" s="621">
        <f t="dataTable" ref="I514:K520" dt2D="0" dtr="0" r1="J36" ca="1"/>
        <v>4553.1207568040318</v>
      </c>
      <c r="J514" s="622">
        <v>64827815.345799416</v>
      </c>
      <c r="K514" s="622">
        <v>861.86801635141467</v>
      </c>
      <c r="L514" s="3"/>
      <c r="M514" s="3"/>
      <c r="N514" s="3"/>
      <c r="O514" s="3"/>
      <c r="P514" s="3"/>
      <c r="Q514" s="3"/>
      <c r="R514" s="3"/>
      <c r="S514" s="3"/>
      <c r="T514" s="3"/>
      <c r="U514" s="3"/>
      <c r="V514" s="3"/>
      <c r="W514" s="3"/>
      <c r="X514" s="3"/>
      <c r="Y514" s="3"/>
      <c r="Z514" s="3"/>
    </row>
    <row r="515" spans="1:26" customFormat="1" ht="12.75" x14ac:dyDescent="0.2">
      <c r="A515" s="246"/>
      <c r="B515" s="3"/>
      <c r="C515" s="383">
        <v>-0.01</v>
      </c>
      <c r="D515" s="613">
        <v>9662.7889868871844</v>
      </c>
      <c r="E515" s="614">
        <v>84165039.201106608</v>
      </c>
      <c r="F515" s="614">
        <v>1430.0034875206327</v>
      </c>
      <c r="G515" s="3"/>
      <c r="H515" s="756">
        <v>-0.01</v>
      </c>
      <c r="I515" s="613">
        <v>5465.8869296323364</v>
      </c>
      <c r="J515" s="614">
        <v>71170319.831256211</v>
      </c>
      <c r="K515" s="614">
        <v>969.26090196775772</v>
      </c>
      <c r="L515" s="3"/>
      <c r="M515" s="3"/>
      <c r="N515" s="3"/>
      <c r="O515" s="3"/>
      <c r="P515" s="3"/>
      <c r="Q515" s="3"/>
      <c r="R515" s="3"/>
      <c r="S515" s="3"/>
      <c r="T515" s="3"/>
      <c r="U515" s="3"/>
      <c r="V515" s="3"/>
      <c r="W515" s="3"/>
      <c r="X515" s="3"/>
      <c r="Y515" s="3"/>
      <c r="Z515" s="3"/>
    </row>
    <row r="516" spans="1:26" customFormat="1" ht="12.75" x14ac:dyDescent="0.2">
      <c r="A516" s="246"/>
      <c r="B516" s="3"/>
      <c r="C516" s="384">
        <v>0</v>
      </c>
      <c r="D516" s="615">
        <v>9279.3228021876821</v>
      </c>
      <c r="E516" s="616">
        <v>86696174.620958775</v>
      </c>
      <c r="F516" s="616">
        <v>1386.4339621683409</v>
      </c>
      <c r="G516" s="3"/>
      <c r="H516" s="757">
        <v>0</v>
      </c>
      <c r="I516" s="615">
        <v>6420.6741685670022</v>
      </c>
      <c r="J516" s="616">
        <v>77816723.003385529</v>
      </c>
      <c r="K516" s="616">
        <v>1077.7440706868194</v>
      </c>
      <c r="L516" s="3"/>
      <c r="M516" s="3"/>
      <c r="N516" s="3"/>
      <c r="O516" s="3"/>
      <c r="P516" s="3"/>
      <c r="Q516" s="3"/>
      <c r="R516" s="3"/>
      <c r="S516" s="3"/>
      <c r="T516" s="3"/>
      <c r="U516" s="3"/>
      <c r="V516" s="3"/>
      <c r="W516" s="3"/>
      <c r="X516" s="3"/>
      <c r="Y516" s="3"/>
      <c r="Z516" s="3"/>
    </row>
    <row r="517" spans="1:26" customFormat="1" ht="12.75" x14ac:dyDescent="0.2">
      <c r="A517" s="246"/>
      <c r="B517" s="3"/>
      <c r="C517" s="602">
        <v>0.01</v>
      </c>
      <c r="D517" s="617">
        <v>8878.1578627018589</v>
      </c>
      <c r="E517" s="618">
        <v>89348846.397482321</v>
      </c>
      <c r="F517" s="618">
        <v>1342.4265521391453</v>
      </c>
      <c r="G517" s="3"/>
      <c r="H517" s="762">
        <v>0.01</v>
      </c>
      <c r="I517" s="617">
        <v>7419.5292963776374</v>
      </c>
      <c r="J517" s="618">
        <v>84782263.437066734</v>
      </c>
      <c r="K517" s="618">
        <v>1187.317522508579</v>
      </c>
      <c r="L517" s="3"/>
      <c r="M517" s="3"/>
      <c r="N517" s="3"/>
      <c r="O517" s="3"/>
      <c r="P517" s="3"/>
      <c r="Q517" s="3"/>
      <c r="R517" s="3"/>
      <c r="S517" s="3"/>
      <c r="T517" s="3"/>
      <c r="U517" s="3"/>
      <c r="V517" s="3"/>
      <c r="W517" s="3"/>
      <c r="X517" s="3"/>
      <c r="Y517" s="3"/>
      <c r="Z517" s="3"/>
    </row>
    <row r="518" spans="1:26" customFormat="1" ht="12.75" x14ac:dyDescent="0.2">
      <c r="A518" s="246"/>
      <c r="B518" s="3"/>
      <c r="C518" s="383">
        <v>0.02</v>
      </c>
      <c r="D518" s="613">
        <v>8464.5932287017076</v>
      </c>
      <c r="E518" s="614">
        <v>92082894.227609545</v>
      </c>
      <c r="F518" s="614">
        <v>1297.9812574330426</v>
      </c>
      <c r="G518" s="3"/>
      <c r="H518" s="756">
        <v>0.02</v>
      </c>
      <c r="I518" s="613">
        <v>8464.5932287017076</v>
      </c>
      <c r="J518" s="614">
        <v>92082894.227609545</v>
      </c>
      <c r="K518" s="614">
        <v>1297.9812574330426</v>
      </c>
      <c r="L518" s="3"/>
      <c r="M518" s="3"/>
      <c r="N518" s="3"/>
      <c r="O518" s="3"/>
      <c r="P518" s="3"/>
      <c r="Q518" s="3"/>
      <c r="R518" s="3"/>
      <c r="S518" s="3"/>
      <c r="T518" s="3"/>
      <c r="U518" s="3"/>
      <c r="V518" s="3"/>
      <c r="W518" s="3"/>
      <c r="X518" s="3"/>
      <c r="Y518" s="3"/>
      <c r="Z518" s="3"/>
    </row>
    <row r="519" spans="1:26" customFormat="1" ht="12.75" x14ac:dyDescent="0.2">
      <c r="A519" s="246"/>
      <c r="B519" s="3"/>
      <c r="C519" s="383">
        <v>0.03</v>
      </c>
      <c r="D519" s="613">
        <v>8180.2679043910903</v>
      </c>
      <c r="E519" s="614">
        <v>93879336.606924221</v>
      </c>
      <c r="F519" s="614">
        <v>1253.0980780500302</v>
      </c>
      <c r="G519" s="3"/>
      <c r="H519" s="756">
        <v>0.03</v>
      </c>
      <c r="I519" s="613">
        <v>9558.1047800869455</v>
      </c>
      <c r="J519" s="614">
        <v>99735312.293651477</v>
      </c>
      <c r="K519" s="614">
        <v>1409.7352754602105</v>
      </c>
      <c r="L519" s="3"/>
      <c r="M519" s="3"/>
      <c r="N519" s="3"/>
      <c r="O519" s="3"/>
      <c r="P519" s="3"/>
      <c r="Q519" s="3"/>
      <c r="R519" s="3"/>
      <c r="S519" s="3"/>
      <c r="T519" s="3"/>
      <c r="U519" s="3"/>
      <c r="V519" s="3"/>
      <c r="W519" s="3"/>
      <c r="X519" s="3"/>
      <c r="Y519" s="3"/>
      <c r="Z519" s="3"/>
    </row>
    <row r="520" spans="1:26" customFormat="1" ht="12.75" x14ac:dyDescent="0.2">
      <c r="A520" s="246"/>
      <c r="B520" s="3"/>
      <c r="C520" s="388">
        <v>0.04</v>
      </c>
      <c r="D520" s="619">
        <v>8007.3565579578271</v>
      </c>
      <c r="E520" s="620">
        <v>94933473.810776949</v>
      </c>
      <c r="F520" s="620">
        <v>1207.7770139901022</v>
      </c>
      <c r="G520" s="3"/>
      <c r="H520" s="758">
        <v>0.04</v>
      </c>
      <c r="I520" s="619">
        <v>10702.404597283208</v>
      </c>
      <c r="J520" s="620">
        <v>107756988.66956045</v>
      </c>
      <c r="K520" s="620">
        <v>1522.5795765900821</v>
      </c>
      <c r="L520" s="3"/>
      <c r="M520" s="3"/>
      <c r="N520" s="117"/>
      <c r="O520" s="3"/>
      <c r="P520" s="3"/>
      <c r="Q520" s="3"/>
      <c r="R520" s="3"/>
      <c r="S520" s="3"/>
      <c r="T520" s="3"/>
      <c r="U520" s="3"/>
      <c r="V520" s="3"/>
      <c r="W520" s="3"/>
      <c r="X520" s="3"/>
      <c r="Y520" s="3"/>
      <c r="Z520" s="3"/>
    </row>
    <row r="521" spans="1:26" customFormat="1" ht="12.75" x14ac:dyDescent="0.2">
      <c r="A521" s="246"/>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customFormat="1" ht="51" x14ac:dyDescent="0.2">
      <c r="A522" s="246"/>
      <c r="B522" s="3"/>
      <c r="C522" s="359" t="s">
        <v>935</v>
      </c>
      <c r="D522" s="360" t="s">
        <v>812</v>
      </c>
      <c r="E522" s="361" t="s">
        <v>813</v>
      </c>
      <c r="F522" s="361" t="s">
        <v>814</v>
      </c>
      <c r="G522" s="3"/>
      <c r="H522" s="359" t="s">
        <v>948</v>
      </c>
      <c r="I522" s="360" t="s">
        <v>812</v>
      </c>
      <c r="J522" s="361" t="s">
        <v>813</v>
      </c>
      <c r="K522" s="361" t="s">
        <v>814</v>
      </c>
      <c r="L522" s="3"/>
      <c r="M522" s="3"/>
      <c r="N522" s="3"/>
      <c r="O522" s="3"/>
      <c r="P522" s="3"/>
      <c r="Q522" s="3"/>
      <c r="R522" s="3"/>
      <c r="S522" s="3"/>
      <c r="T522" s="3"/>
      <c r="U522" s="3"/>
      <c r="V522" s="3"/>
      <c r="W522" s="3"/>
      <c r="X522" s="3"/>
      <c r="Y522" s="3"/>
      <c r="Z522" s="3"/>
    </row>
    <row r="523" spans="1:26" customFormat="1" ht="12.75" x14ac:dyDescent="0.2">
      <c r="A523" s="246"/>
      <c r="B523" s="3"/>
      <c r="C523" s="362"/>
      <c r="D523" s="363">
        <f>$F$328</f>
        <v>8464.5932287017076</v>
      </c>
      <c r="E523" s="364">
        <f>$F$456</f>
        <v>92082894.227609545</v>
      </c>
      <c r="F523" s="364">
        <f>$H$325*1000/$H$115</f>
        <v>1297.9812574330426</v>
      </c>
      <c r="G523" s="3"/>
      <c r="H523" s="362"/>
      <c r="I523" s="363">
        <f>$F$328</f>
        <v>8464.5932287017076</v>
      </c>
      <c r="J523" s="364">
        <f>$F$456</f>
        <v>92082894.227609545</v>
      </c>
      <c r="K523" s="364">
        <f>$H$325*1000/$H$115</f>
        <v>1297.9812574330426</v>
      </c>
      <c r="L523" s="3"/>
      <c r="M523" s="3"/>
      <c r="N523" s="3"/>
      <c r="O523" s="3"/>
      <c r="P523" s="3"/>
      <c r="Q523" s="3"/>
      <c r="R523" s="3"/>
      <c r="S523" s="3"/>
      <c r="T523" s="3"/>
      <c r="U523" s="3"/>
      <c r="V523" s="3"/>
      <c r="W523" s="3"/>
      <c r="X523" s="3"/>
      <c r="Y523" s="3"/>
      <c r="Z523" s="3"/>
    </row>
    <row r="524" spans="1:26" customFormat="1" ht="12.75" x14ac:dyDescent="0.2">
      <c r="A524" s="246"/>
      <c r="B524" s="3"/>
      <c r="C524" s="604">
        <v>3</v>
      </c>
      <c r="D524" s="613">
        <f t="dataTable" ref="D524:F529" dt2D="0" dtr="0" r1="J35" ca="1"/>
        <v>8464.5932287017076</v>
      </c>
      <c r="E524" s="614">
        <v>92082894.227609545</v>
      </c>
      <c r="F524" s="614">
        <v>1297.9812574330426</v>
      </c>
      <c r="G524" s="3"/>
      <c r="H524" s="706">
        <v>-0.4</v>
      </c>
      <c r="I524" s="613">
        <f t="dataTable" ref="I524:K529" dt2D="0" dtr="0" r1="J104" ca="1"/>
        <v>8464.5932287017076</v>
      </c>
      <c r="J524" s="614">
        <v>54504245.407561399</v>
      </c>
      <c r="K524" s="614">
        <v>1297.9812574330426</v>
      </c>
      <c r="L524" s="3"/>
      <c r="M524" s="3"/>
      <c r="N524" s="3"/>
      <c r="O524" s="3"/>
      <c r="P524" s="3"/>
      <c r="Q524" s="3"/>
      <c r="R524" s="3"/>
      <c r="S524" s="3"/>
      <c r="T524" s="3"/>
      <c r="U524" s="3"/>
      <c r="V524" s="3"/>
      <c r="W524" s="3"/>
      <c r="X524" s="3"/>
      <c r="Y524" s="3"/>
      <c r="Z524" s="3"/>
    </row>
    <row r="525" spans="1:26" customFormat="1" ht="12.75" x14ac:dyDescent="0.2">
      <c r="A525" s="246"/>
      <c r="B525" s="3"/>
      <c r="C525" s="604">
        <v>3.5</v>
      </c>
      <c r="D525" s="613">
        <v>8464.5932287017076</v>
      </c>
      <c r="E525" s="614">
        <v>92082894.227609545</v>
      </c>
      <c r="F525" s="614">
        <v>1297.9812574330426</v>
      </c>
      <c r="G525" s="3"/>
      <c r="H525" s="706">
        <v>-0.2</v>
      </c>
      <c r="I525" s="613">
        <v>8464.5932287017076</v>
      </c>
      <c r="J525" s="614">
        <v>73293569.817585483</v>
      </c>
      <c r="K525" s="614">
        <v>1297.9812574330426</v>
      </c>
      <c r="L525" s="3"/>
      <c r="M525" s="3"/>
      <c r="N525" s="3"/>
      <c r="O525" s="3"/>
      <c r="P525" s="3"/>
      <c r="Q525" s="3"/>
      <c r="R525" s="3"/>
      <c r="S525" s="3"/>
      <c r="T525" s="3"/>
      <c r="U525" s="3"/>
      <c r="V525" s="3"/>
      <c r="W525" s="3"/>
      <c r="X525" s="3"/>
      <c r="Y525" s="3"/>
      <c r="Z525" s="3"/>
    </row>
    <row r="526" spans="1:26" customFormat="1" ht="12.75" x14ac:dyDescent="0.2">
      <c r="A526" s="246"/>
      <c r="B526" s="3"/>
      <c r="C526" s="605">
        <v>4</v>
      </c>
      <c r="D526" s="615">
        <v>8464.5932287017076</v>
      </c>
      <c r="E526" s="616">
        <v>92082894.227609545</v>
      </c>
      <c r="F526" s="616">
        <v>1297.9812574330426</v>
      </c>
      <c r="G526" s="3"/>
      <c r="H526" s="705">
        <v>-0.1</v>
      </c>
      <c r="I526" s="615">
        <v>8464.5932287017076</v>
      </c>
      <c r="J526" s="616">
        <v>82688232.022597507</v>
      </c>
      <c r="K526" s="616">
        <v>1297.9812574330426</v>
      </c>
      <c r="L526" s="3"/>
      <c r="M526" s="3"/>
      <c r="N526" s="3"/>
      <c r="O526" s="3"/>
      <c r="P526" s="3"/>
      <c r="Q526" s="3"/>
      <c r="R526" s="3"/>
      <c r="S526" s="3"/>
      <c r="T526" s="3"/>
      <c r="U526" s="3"/>
      <c r="V526" s="3"/>
      <c r="W526" s="3"/>
      <c r="X526" s="3"/>
      <c r="Y526" s="3"/>
      <c r="Z526" s="3"/>
    </row>
    <row r="527" spans="1:26" customFormat="1" ht="12.75" x14ac:dyDescent="0.2">
      <c r="A527" s="246"/>
      <c r="B527" s="3"/>
      <c r="C527" s="606">
        <v>4.5</v>
      </c>
      <c r="D527" s="617">
        <v>8464.5932287017076</v>
      </c>
      <c r="E527" s="618">
        <v>92082894.227609545</v>
      </c>
      <c r="F527" s="618">
        <v>1297.9812574330426</v>
      </c>
      <c r="G527" s="3"/>
      <c r="H527" s="704">
        <v>0</v>
      </c>
      <c r="I527" s="617">
        <v>8464.5932287017076</v>
      </c>
      <c r="J527" s="618">
        <v>92082894.227609545</v>
      </c>
      <c r="K527" s="618">
        <v>1297.9812574330426</v>
      </c>
      <c r="L527" s="3"/>
      <c r="M527" s="3"/>
      <c r="N527" s="3"/>
      <c r="O527" s="3"/>
      <c r="P527" s="3"/>
      <c r="Q527" s="3"/>
      <c r="R527" s="3"/>
      <c r="S527" s="3"/>
      <c r="T527" s="3"/>
      <c r="U527" s="3"/>
      <c r="V527" s="3"/>
      <c r="W527" s="3"/>
      <c r="X527" s="3"/>
      <c r="Y527" s="3"/>
      <c r="Z527" s="3"/>
    </row>
    <row r="528" spans="1:26" customFormat="1" ht="12.75" x14ac:dyDescent="0.2">
      <c r="A528" s="246"/>
      <c r="B528" s="3"/>
      <c r="C528" s="604">
        <v>6</v>
      </c>
      <c r="D528" s="613">
        <v>8464.5932287017076</v>
      </c>
      <c r="E528" s="614">
        <v>92082894.227609545</v>
      </c>
      <c r="F528" s="614">
        <v>1297.9812574330426</v>
      </c>
      <c r="G528" s="3"/>
      <c r="H528" s="706">
        <v>0.1</v>
      </c>
      <c r="I528" s="613">
        <v>8464.5932287017076</v>
      </c>
      <c r="J528" s="614">
        <v>101477556.4326216</v>
      </c>
      <c r="K528" s="614">
        <v>1297.9812574330426</v>
      </c>
      <c r="L528" s="3"/>
      <c r="M528" s="3"/>
      <c r="N528" s="3"/>
      <c r="O528" s="3"/>
      <c r="P528" s="3"/>
      <c r="Q528" s="3"/>
      <c r="R528" s="3"/>
      <c r="S528" s="3"/>
      <c r="T528" s="3"/>
      <c r="U528" s="3"/>
      <c r="V528" s="3"/>
      <c r="W528" s="3"/>
      <c r="X528" s="3"/>
      <c r="Y528" s="3"/>
      <c r="Z528" s="3"/>
    </row>
    <row r="529" spans="1:26" customFormat="1" ht="12.75" x14ac:dyDescent="0.2">
      <c r="A529" s="246"/>
      <c r="B529" s="3"/>
      <c r="C529" s="607">
        <v>8</v>
      </c>
      <c r="D529" s="619">
        <v>8464.5932287017076</v>
      </c>
      <c r="E529" s="620">
        <v>92082894.227609545</v>
      </c>
      <c r="F529" s="620">
        <v>1297.9812574330426</v>
      </c>
      <c r="G529" s="3"/>
      <c r="H529" s="707">
        <v>0.2</v>
      </c>
      <c r="I529" s="619">
        <v>8464.5932287017076</v>
      </c>
      <c r="J529" s="620">
        <v>110872218.63763362</v>
      </c>
      <c r="K529" s="620">
        <v>1297.9812574330426</v>
      </c>
      <c r="L529" s="3"/>
      <c r="M529" s="3"/>
      <c r="N529" s="3"/>
      <c r="O529" s="3"/>
      <c r="P529" s="3"/>
      <c r="Q529" s="3"/>
      <c r="R529" s="3"/>
      <c r="S529" s="3"/>
      <c r="T529" s="3"/>
      <c r="U529" s="3"/>
      <c r="V529" s="3"/>
      <c r="W529" s="3"/>
      <c r="X529" s="3"/>
      <c r="Y529" s="3"/>
      <c r="Z529" s="3"/>
    </row>
    <row r="530" spans="1:26" customFormat="1" ht="12.75" x14ac:dyDescent="0.2">
      <c r="A530" s="246"/>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customFormat="1" ht="51" x14ac:dyDescent="0.2">
      <c r="A531" s="246"/>
      <c r="B531" s="3"/>
      <c r="C531" s="359" t="s">
        <v>171</v>
      </c>
      <c r="D531" s="662" t="s">
        <v>812</v>
      </c>
      <c r="E531" s="361" t="s">
        <v>813</v>
      </c>
      <c r="F531" s="657" t="s">
        <v>814</v>
      </c>
      <c r="G531" s="3"/>
      <c r="H531" s="359" t="s">
        <v>939</v>
      </c>
      <c r="I531" s="662" t="s">
        <v>812</v>
      </c>
      <c r="J531" s="361" t="s">
        <v>813</v>
      </c>
      <c r="K531" s="657" t="s">
        <v>814</v>
      </c>
      <c r="L531" s="3"/>
      <c r="M531" s="3"/>
      <c r="N531" s="3"/>
      <c r="O531" s="3"/>
      <c r="P531" s="3"/>
      <c r="Q531" s="3"/>
      <c r="R531" s="3"/>
      <c r="S531" s="3"/>
      <c r="T531" s="3"/>
      <c r="U531" s="3"/>
      <c r="V531" s="3"/>
      <c r="W531" s="3"/>
      <c r="X531" s="3"/>
      <c r="Y531" s="3"/>
      <c r="Z531" s="3"/>
    </row>
    <row r="532" spans="1:26" customFormat="1" ht="12.75" x14ac:dyDescent="0.2">
      <c r="A532" s="246"/>
      <c r="B532" s="3"/>
      <c r="C532" s="362"/>
      <c r="D532" s="363">
        <f>$F$328</f>
        <v>8464.5932287017076</v>
      </c>
      <c r="E532" s="364">
        <f>$F$456</f>
        <v>92082894.227609545</v>
      </c>
      <c r="F532" s="364">
        <f>$H$325*1000/$H$115</f>
        <v>1297.9812574330426</v>
      </c>
      <c r="G532" s="3"/>
      <c r="H532" s="362"/>
      <c r="I532" s="363">
        <f>$F$328</f>
        <v>8464.5932287017076</v>
      </c>
      <c r="J532" s="364">
        <f>$F$456</f>
        <v>92082894.227609545</v>
      </c>
      <c r="K532" s="364">
        <f>$H$325*1000/$H$115</f>
        <v>1297.9812574330426</v>
      </c>
      <c r="L532" s="3"/>
      <c r="M532" s="3"/>
      <c r="N532" s="3"/>
      <c r="O532" s="3"/>
      <c r="P532" s="3"/>
      <c r="Q532" s="3"/>
      <c r="R532" s="3"/>
      <c r="S532" s="3"/>
      <c r="T532" s="3"/>
      <c r="U532" s="3"/>
      <c r="V532" s="3"/>
      <c r="W532" s="3"/>
      <c r="X532" s="3"/>
      <c r="Y532" s="3"/>
      <c r="Z532" s="3"/>
    </row>
    <row r="533" spans="1:26" customFormat="1" ht="12.75" x14ac:dyDescent="0.2">
      <c r="A533" s="246"/>
      <c r="B533" s="3"/>
      <c r="C533" s="383">
        <v>0.5</v>
      </c>
      <c r="D533" s="663">
        <f t="dataTable" ref="D533:F538" dt2D="0" dtr="0" r1="J97" ca="1"/>
        <v>8464.5932287017076</v>
      </c>
      <c r="E533" s="614">
        <v>50328839.983111598</v>
      </c>
      <c r="F533" s="658">
        <v>1297.9812574330426</v>
      </c>
      <c r="G533" s="3"/>
      <c r="H533" s="383">
        <v>-0.3</v>
      </c>
      <c r="I533" s="663">
        <f t="dataTable" ref="I533:K539" dt2D="0" dtr="0" r1="J101" ca="1"/>
        <v>8464.5932287017076</v>
      </c>
      <c r="J533" s="614">
        <v>92642012.574362785</v>
      </c>
      <c r="K533" s="658">
        <v>1297.9812574330426</v>
      </c>
      <c r="L533" s="3"/>
      <c r="M533" s="3"/>
      <c r="N533" s="3"/>
      <c r="O533" s="3"/>
      <c r="P533" s="3"/>
      <c r="Q533" s="3"/>
      <c r="R533" s="3"/>
      <c r="S533" s="3"/>
      <c r="T533" s="3"/>
      <c r="U533" s="3"/>
      <c r="V533" s="3"/>
      <c r="W533" s="3"/>
      <c r="X533" s="3"/>
      <c r="Y533" s="3"/>
      <c r="Z533" s="3"/>
    </row>
    <row r="534" spans="1:26" customFormat="1" ht="12.75" x14ac:dyDescent="0.2">
      <c r="A534" s="246"/>
      <c r="B534" s="3"/>
      <c r="C534" s="383">
        <v>0.6</v>
      </c>
      <c r="D534" s="663">
        <v>8464.5932287017076</v>
      </c>
      <c r="E534" s="614">
        <v>60767353.544236086</v>
      </c>
      <c r="F534" s="658">
        <v>1297.9812574330426</v>
      </c>
      <c r="G534" s="3"/>
      <c r="H534" s="383">
        <v>-0.2</v>
      </c>
      <c r="I534" s="663">
        <v>8464.5932287017076</v>
      </c>
      <c r="J534" s="614">
        <v>92455639.792111695</v>
      </c>
      <c r="K534" s="658">
        <v>1297.9812574330426</v>
      </c>
      <c r="L534" s="3"/>
      <c r="M534" s="3"/>
      <c r="N534" s="3"/>
      <c r="O534" s="3"/>
      <c r="P534" s="3"/>
      <c r="Q534" s="3"/>
      <c r="R534" s="3"/>
      <c r="S534" s="3"/>
      <c r="T534" s="3"/>
      <c r="U534" s="3"/>
      <c r="V534" s="3"/>
      <c r="W534" s="3"/>
      <c r="X534" s="3"/>
      <c r="Y534" s="3"/>
      <c r="Z534" s="3"/>
    </row>
    <row r="535" spans="1:26" customFormat="1" ht="12.75" x14ac:dyDescent="0.2">
      <c r="A535" s="246"/>
      <c r="B535" s="3"/>
      <c r="C535" s="383">
        <v>0.7</v>
      </c>
      <c r="D535" s="664">
        <v>8464.5932287017076</v>
      </c>
      <c r="E535" s="616">
        <v>71205867.105360582</v>
      </c>
      <c r="F535" s="659">
        <v>1297.9812574330426</v>
      </c>
      <c r="G535" s="3"/>
      <c r="H535" s="384">
        <v>-0.1</v>
      </c>
      <c r="I535" s="664">
        <v>8464.5932287017076</v>
      </c>
      <c r="J535" s="616">
        <v>92269267.00986062</v>
      </c>
      <c r="K535" s="659">
        <v>1297.9812574330426</v>
      </c>
      <c r="L535" s="3"/>
      <c r="M535" s="3"/>
      <c r="N535" s="3"/>
      <c r="O535" s="3"/>
      <c r="P535" s="3"/>
      <c r="Q535" s="3"/>
      <c r="R535" s="3"/>
      <c r="S535" s="3"/>
      <c r="T535" s="3"/>
      <c r="U535" s="3"/>
      <c r="V535" s="3"/>
      <c r="W535" s="3"/>
      <c r="X535" s="3"/>
      <c r="Y535" s="3"/>
      <c r="Z535" s="3"/>
    </row>
    <row r="536" spans="1:26" customFormat="1" ht="12.75" x14ac:dyDescent="0.2">
      <c r="A536" s="246"/>
      <c r="B536" s="3"/>
      <c r="C536" s="384">
        <v>0.8</v>
      </c>
      <c r="D536" s="663">
        <v>8464.5932287017076</v>
      </c>
      <c r="E536" s="614">
        <v>81644380.666485056</v>
      </c>
      <c r="F536" s="658">
        <v>1297.9812574330426</v>
      </c>
      <c r="G536" s="3"/>
      <c r="H536" s="608">
        <v>0</v>
      </c>
      <c r="I536" s="665">
        <v>8464.5932287017076</v>
      </c>
      <c r="J536" s="618">
        <v>92082894.227609545</v>
      </c>
      <c r="K536" s="660">
        <v>1297.9812574330426</v>
      </c>
      <c r="L536" s="3"/>
      <c r="M536" s="3"/>
      <c r="N536" s="3"/>
      <c r="O536" s="3"/>
      <c r="P536" s="3"/>
      <c r="Q536" s="3"/>
      <c r="R536" s="3"/>
      <c r="S536" s="3"/>
      <c r="T536" s="3"/>
      <c r="U536" s="3"/>
      <c r="V536" s="3"/>
      <c r="W536" s="3"/>
      <c r="X536" s="3"/>
      <c r="Y536" s="3"/>
      <c r="Z536" s="3"/>
    </row>
    <row r="537" spans="1:26" customFormat="1" ht="12.75" x14ac:dyDescent="0.2">
      <c r="A537" s="246"/>
      <c r="B537" s="3"/>
      <c r="C537" s="608">
        <v>0.9</v>
      </c>
      <c r="D537" s="665">
        <v>8464.5932287017076</v>
      </c>
      <c r="E537" s="618">
        <v>92082894.227609545</v>
      </c>
      <c r="F537" s="660">
        <v>1297.9812574330426</v>
      </c>
      <c r="G537" s="3"/>
      <c r="H537" s="383">
        <v>0.05</v>
      </c>
      <c r="I537" s="663">
        <v>8464.5932287017076</v>
      </c>
      <c r="J537" s="614">
        <v>91989707.836484</v>
      </c>
      <c r="K537" s="658">
        <v>1297.9812574330426</v>
      </c>
      <c r="L537" s="3"/>
      <c r="M537" s="3"/>
      <c r="N537" s="3"/>
      <c r="O537" s="3"/>
      <c r="P537" s="3"/>
      <c r="Q537" s="3"/>
      <c r="R537" s="3"/>
      <c r="S537" s="3"/>
      <c r="T537" s="3"/>
      <c r="U537" s="3"/>
      <c r="V537" s="3"/>
      <c r="W537" s="3"/>
      <c r="X537" s="3"/>
      <c r="Y537" s="3"/>
      <c r="Z537" s="3"/>
    </row>
    <row r="538" spans="1:26" customFormat="1" ht="12.75" x14ac:dyDescent="0.2">
      <c r="A538" s="246"/>
      <c r="B538" s="3"/>
      <c r="C538" s="609">
        <v>0.95</v>
      </c>
      <c r="D538" s="666">
        <v>8464.5932287017076</v>
      </c>
      <c r="E538" s="620">
        <v>97302151.008171782</v>
      </c>
      <c r="F538" s="661">
        <v>1297.9812574330426</v>
      </c>
      <c r="G538" s="3"/>
      <c r="H538" s="383">
        <v>0.1</v>
      </c>
      <c r="I538" s="663">
        <v>8464.5932287017076</v>
      </c>
      <c r="J538" s="614">
        <v>91896521.44535847</v>
      </c>
      <c r="K538" s="658">
        <v>1297.9812574330426</v>
      </c>
      <c r="L538" s="3"/>
      <c r="M538" s="3"/>
      <c r="N538" s="3"/>
      <c r="O538" s="3"/>
      <c r="P538" s="3"/>
      <c r="Q538" s="3"/>
      <c r="R538" s="3"/>
      <c r="S538" s="3"/>
      <c r="T538" s="3"/>
      <c r="U538" s="3"/>
      <c r="V538" s="3"/>
      <c r="W538" s="3"/>
      <c r="X538" s="3"/>
      <c r="Y538" s="3"/>
      <c r="Z538" s="3"/>
    </row>
    <row r="539" spans="1:26" customFormat="1" ht="12.75" x14ac:dyDescent="0.2">
      <c r="A539" s="246"/>
      <c r="B539" s="3"/>
      <c r="C539" s="3"/>
      <c r="D539" s="3"/>
      <c r="E539" s="3"/>
      <c r="F539" s="3"/>
      <c r="G539" s="3"/>
      <c r="H539" s="388">
        <v>0.15</v>
      </c>
      <c r="I539" s="666">
        <v>8464.5932287017076</v>
      </c>
      <c r="J539" s="620">
        <v>91803335.05423291</v>
      </c>
      <c r="K539" s="661">
        <v>1297.9812574330426</v>
      </c>
      <c r="L539" s="3"/>
      <c r="M539" s="3"/>
      <c r="N539" s="3"/>
      <c r="O539" s="3"/>
      <c r="P539" s="3"/>
      <c r="Q539" s="3"/>
      <c r="R539" s="3"/>
      <c r="S539" s="3"/>
      <c r="T539" s="3"/>
      <c r="U539" s="3"/>
      <c r="V539" s="3"/>
      <c r="W539" s="3"/>
      <c r="X539" s="3"/>
      <c r="Y539" s="3"/>
      <c r="Z539" s="3"/>
    </row>
    <row r="540" spans="1:26" customFormat="1" ht="12.75" x14ac:dyDescent="0.2">
      <c r="A540" s="246"/>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customFormat="1" ht="51" x14ac:dyDescent="0.2">
      <c r="A541" s="246"/>
      <c r="B541" s="3"/>
      <c r="C541" s="359" t="s">
        <v>983</v>
      </c>
      <c r="D541" s="662" t="s">
        <v>812</v>
      </c>
      <c r="E541" s="361" t="s">
        <v>813</v>
      </c>
      <c r="F541" s="657" t="s">
        <v>814</v>
      </c>
      <c r="G541" s="3"/>
      <c r="H541" s="359" t="s">
        <v>444</v>
      </c>
      <c r="I541" s="662" t="s">
        <v>812</v>
      </c>
      <c r="J541" s="361" t="s">
        <v>813</v>
      </c>
      <c r="K541" s="657" t="s">
        <v>814</v>
      </c>
      <c r="L541" s="3"/>
      <c r="M541" s="3"/>
      <c r="N541" s="3"/>
      <c r="O541" s="3"/>
      <c r="P541" s="3"/>
      <c r="Q541" s="3"/>
      <c r="R541" s="3"/>
      <c r="S541" s="3"/>
      <c r="T541" s="3"/>
      <c r="U541" s="3"/>
      <c r="V541" s="3"/>
      <c r="W541" s="3"/>
      <c r="X541" s="3"/>
      <c r="Y541" s="3"/>
      <c r="Z541" s="3"/>
    </row>
    <row r="542" spans="1:26" customFormat="1" ht="12.75" x14ac:dyDescent="0.2">
      <c r="A542" s="246"/>
      <c r="B542" s="3"/>
      <c r="C542" s="362"/>
      <c r="D542" s="363">
        <f>$F$328</f>
        <v>8464.5932287017076</v>
      </c>
      <c r="E542" s="364">
        <f>$F$456</f>
        <v>92082894.227609545</v>
      </c>
      <c r="F542" s="364">
        <f>$H$325*1000/$H$115</f>
        <v>1297.9812574330426</v>
      </c>
      <c r="G542" s="3"/>
      <c r="H542" s="362"/>
      <c r="I542" s="363">
        <f>$F$328</f>
        <v>8464.5932287017076</v>
      </c>
      <c r="J542" s="364">
        <f>$F$456</f>
        <v>92082894.227609545</v>
      </c>
      <c r="K542" s="364">
        <f>$H$325*1000/$H$115</f>
        <v>1297.9812574330426</v>
      </c>
      <c r="L542" s="3"/>
      <c r="M542" s="3"/>
      <c r="N542" s="3"/>
      <c r="O542" s="3"/>
      <c r="P542" s="3"/>
      <c r="Q542" s="3"/>
      <c r="R542" s="3"/>
      <c r="S542" s="3"/>
      <c r="T542" s="3"/>
      <c r="U542" s="3"/>
      <c r="V542" s="3"/>
      <c r="W542" s="3"/>
      <c r="X542" s="3"/>
      <c r="Y542" s="3"/>
      <c r="Z542" s="3"/>
    </row>
    <row r="543" spans="1:26" customFormat="1" ht="12.75" x14ac:dyDescent="0.2">
      <c r="A543" s="246"/>
      <c r="B543" s="3"/>
      <c r="C543" s="384">
        <v>-0.1</v>
      </c>
      <c r="D543" s="664">
        <f t="dataTable" ref="D543:F548" dt2D="0" dtr="0" r1="F17" ca="1"/>
        <v>8464.5932287017076</v>
      </c>
      <c r="E543" s="616">
        <v>92082894.227609545</v>
      </c>
      <c r="F543" s="659">
        <v>1297.9812574330426</v>
      </c>
      <c r="G543" s="3"/>
      <c r="H543" s="605">
        <v>0.8</v>
      </c>
      <c r="I543" s="664">
        <f t="dataTable" ref="I543:K548" dt2D="0" dtr="0" r1="J38" ca="1"/>
        <v>44149.253187725597</v>
      </c>
      <c r="J543" s="616">
        <v>777282500.45313978</v>
      </c>
      <c r="K543" s="659">
        <v>7637.8568445855071</v>
      </c>
      <c r="L543" s="3"/>
      <c r="M543" s="3"/>
      <c r="N543" s="3"/>
      <c r="O543" s="3"/>
      <c r="P543" s="3"/>
      <c r="Q543" s="3"/>
      <c r="R543" s="3"/>
      <c r="S543" s="3"/>
      <c r="T543" s="3"/>
      <c r="U543" s="3"/>
      <c r="V543" s="3"/>
      <c r="W543" s="3"/>
      <c r="X543" s="3"/>
      <c r="Y543" s="3"/>
      <c r="Z543" s="3"/>
    </row>
    <row r="544" spans="1:26" customFormat="1" ht="12.75" x14ac:dyDescent="0.2">
      <c r="A544" s="246"/>
      <c r="B544" s="3"/>
      <c r="C544" s="383">
        <v>0</v>
      </c>
      <c r="D544" s="663">
        <v>8464.5932287017076</v>
      </c>
      <c r="E544" s="614">
        <v>92082894.227609545</v>
      </c>
      <c r="F544" s="658">
        <v>1297.9812574330426</v>
      </c>
      <c r="G544" s="3"/>
      <c r="H544" s="604">
        <v>0.9</v>
      </c>
      <c r="I544" s="663">
        <v>35228.088197969613</v>
      </c>
      <c r="J544" s="614">
        <v>605982598.89675701</v>
      </c>
      <c r="K544" s="658">
        <v>6052.8879477973869</v>
      </c>
      <c r="L544" s="3"/>
      <c r="M544" s="3"/>
      <c r="N544" s="3"/>
      <c r="O544" s="3"/>
      <c r="P544" s="3"/>
      <c r="Q544" s="3"/>
      <c r="R544" s="3"/>
      <c r="S544" s="3"/>
      <c r="T544" s="3"/>
      <c r="U544" s="3"/>
      <c r="V544" s="3"/>
      <c r="W544" s="3"/>
      <c r="X544" s="3"/>
      <c r="Y544" s="3"/>
      <c r="Z544" s="3"/>
    </row>
    <row r="545" spans="1:26" customFormat="1" ht="12.75" x14ac:dyDescent="0.2">
      <c r="A545" s="246"/>
      <c r="B545" s="3"/>
      <c r="C545" s="383">
        <v>0.1</v>
      </c>
      <c r="D545" s="663">
        <v>8464.5932287017076</v>
      </c>
      <c r="E545" s="614">
        <v>92082894.227609545</v>
      </c>
      <c r="F545" s="658">
        <v>1297.9812574330426</v>
      </c>
      <c r="G545" s="3"/>
      <c r="H545" s="604">
        <v>1</v>
      </c>
      <c r="I545" s="663">
        <v>26306.923208213659</v>
      </c>
      <c r="J545" s="614">
        <v>434682697.34037459</v>
      </c>
      <c r="K545" s="658">
        <v>4467.9190510092767</v>
      </c>
      <c r="L545" s="3"/>
      <c r="M545" s="3"/>
      <c r="N545" s="3"/>
      <c r="O545" s="3"/>
      <c r="P545" s="3"/>
      <c r="Q545" s="3"/>
      <c r="R545" s="3"/>
      <c r="S545" s="3"/>
      <c r="T545" s="3"/>
      <c r="U545" s="3"/>
      <c r="V545" s="3"/>
      <c r="W545" s="3"/>
      <c r="X545" s="3"/>
      <c r="Y545" s="3"/>
      <c r="Z545" s="3"/>
    </row>
    <row r="546" spans="1:26" customFormat="1" ht="12.75" x14ac:dyDescent="0.2">
      <c r="A546" s="246"/>
      <c r="B546" s="3"/>
      <c r="C546" s="383">
        <v>0.2</v>
      </c>
      <c r="D546" s="663">
        <v>8464.5932287017076</v>
      </c>
      <c r="E546" s="614">
        <v>92082894.227609545</v>
      </c>
      <c r="F546" s="658">
        <v>1297.9812574330426</v>
      </c>
      <c r="G546" s="3"/>
      <c r="H546" s="604">
        <v>1.1000000000000001</v>
      </c>
      <c r="I546" s="663">
        <v>17385.75821845766</v>
      </c>
      <c r="J546" s="614">
        <v>263382795.78399175</v>
      </c>
      <c r="K546" s="658">
        <v>2882.9501542211538</v>
      </c>
      <c r="L546" s="3"/>
      <c r="M546" s="3"/>
      <c r="N546" s="3"/>
      <c r="O546" s="3"/>
      <c r="P546" s="3"/>
      <c r="Q546" s="3"/>
      <c r="R546" s="3"/>
      <c r="S546" s="3"/>
      <c r="T546" s="3"/>
      <c r="U546" s="3"/>
      <c r="V546" s="3"/>
      <c r="W546" s="3"/>
      <c r="X546" s="3"/>
      <c r="Y546" s="3"/>
      <c r="Z546" s="3"/>
    </row>
    <row r="547" spans="1:26" customFormat="1" ht="12.75" x14ac:dyDescent="0.2">
      <c r="A547" s="246"/>
      <c r="B547" s="3"/>
      <c r="C547" s="608">
        <v>0.5</v>
      </c>
      <c r="D547" s="665">
        <v>8464.5932287017076</v>
      </c>
      <c r="E547" s="618">
        <v>92082894.227609545</v>
      </c>
      <c r="F547" s="660">
        <v>1297.9812574330426</v>
      </c>
      <c r="G547" s="3"/>
      <c r="H547" s="606">
        <v>1.2</v>
      </c>
      <c r="I547" s="665">
        <v>8464.5932287017076</v>
      </c>
      <c r="J547" s="618">
        <v>92082894.227609545</v>
      </c>
      <c r="K547" s="660">
        <v>1297.9812574330426</v>
      </c>
      <c r="L547" s="3"/>
      <c r="M547" s="3"/>
      <c r="N547" s="3"/>
      <c r="O547" s="3"/>
      <c r="P547" s="3"/>
      <c r="Q547" s="3"/>
      <c r="R547" s="3"/>
      <c r="S547" s="3"/>
      <c r="T547" s="3"/>
      <c r="U547" s="3"/>
      <c r="V547" s="3"/>
      <c r="W547" s="3"/>
      <c r="X547" s="3"/>
      <c r="Y547" s="3"/>
      <c r="Z547" s="3"/>
    </row>
    <row r="548" spans="1:26" customFormat="1" ht="12.75" x14ac:dyDescent="0.2">
      <c r="A548" s="246"/>
      <c r="B548" s="3"/>
      <c r="C548" s="388">
        <v>1</v>
      </c>
      <c r="D548" s="666">
        <v>8464.5932287017076</v>
      </c>
      <c r="E548" s="620">
        <v>92082894.227609545</v>
      </c>
      <c r="F548" s="661">
        <v>1297.9812574330426</v>
      </c>
      <c r="G548" s="3"/>
      <c r="H548" s="607">
        <v>1.3</v>
      </c>
      <c r="I548" s="666">
        <v>-456.57176105429483</v>
      </c>
      <c r="J548" s="620">
        <v>-79217007.328773484</v>
      </c>
      <c r="K548" s="661">
        <v>-286.98763935507992</v>
      </c>
      <c r="L548" s="3"/>
      <c r="M548" s="3"/>
      <c r="N548" s="3"/>
      <c r="O548" s="3"/>
      <c r="P548" s="3"/>
      <c r="Q548" s="3"/>
      <c r="R548" s="3"/>
      <c r="S548" s="3"/>
      <c r="T548" s="3"/>
      <c r="U548" s="3"/>
      <c r="V548" s="3"/>
      <c r="W548" s="3"/>
      <c r="X548" s="3"/>
      <c r="Y548" s="3"/>
      <c r="Z548" s="3"/>
    </row>
    <row r="549" spans="1:26" customFormat="1" ht="12.75" x14ac:dyDescent="0.2">
      <c r="A549" s="246"/>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customFormat="1" ht="25.5" x14ac:dyDescent="0.2">
      <c r="A550" s="246"/>
      <c r="B550" s="3"/>
      <c r="C550" s="359" t="s">
        <v>988</v>
      </c>
      <c r="D550" s="662" t="s">
        <v>812</v>
      </c>
      <c r="E550" s="361" t="s">
        <v>813</v>
      </c>
      <c r="F550" s="657" t="s">
        <v>814</v>
      </c>
      <c r="G550" s="3"/>
      <c r="H550" s="359" t="s">
        <v>986</v>
      </c>
      <c r="I550" s="662" t="s">
        <v>812</v>
      </c>
      <c r="J550" s="361" t="s">
        <v>813</v>
      </c>
      <c r="K550" s="657" t="s">
        <v>814</v>
      </c>
      <c r="L550" s="3"/>
      <c r="M550" s="3"/>
      <c r="N550" s="3"/>
      <c r="O550" s="3"/>
      <c r="P550" s="3"/>
      <c r="Q550" s="3"/>
      <c r="R550" s="3"/>
      <c r="S550" s="3"/>
      <c r="T550" s="3"/>
      <c r="U550" s="3"/>
      <c r="V550" s="3"/>
      <c r="W550" s="3"/>
      <c r="X550" s="3"/>
      <c r="Y550" s="3"/>
      <c r="Z550" s="3"/>
    </row>
    <row r="551" spans="1:26" customFormat="1" ht="12.75" x14ac:dyDescent="0.2">
      <c r="A551" s="246"/>
      <c r="B551" s="3"/>
      <c r="C551" s="362"/>
      <c r="D551" s="363">
        <f>$F$328</f>
        <v>8464.5932287017076</v>
      </c>
      <c r="E551" s="364">
        <f>$F$456</f>
        <v>92082894.227609545</v>
      </c>
      <c r="F551" s="364">
        <f>$H$325*1000/$H$115</f>
        <v>1297.9812574330426</v>
      </c>
      <c r="G551" s="3"/>
      <c r="H551" s="362"/>
      <c r="I551" s="363">
        <f>$F$328</f>
        <v>8464.5932287017076</v>
      </c>
      <c r="J551" s="364">
        <f>$F$456</f>
        <v>92082894.227609545</v>
      </c>
      <c r="K551" s="364">
        <f>$H$325*1000/$H$115</f>
        <v>1297.9812574330426</v>
      </c>
      <c r="L551" s="3"/>
      <c r="M551" s="3"/>
      <c r="N551" s="3"/>
      <c r="O551" s="3"/>
      <c r="P551" s="3"/>
      <c r="Q551" s="3"/>
      <c r="R551" s="3"/>
      <c r="S551" s="3"/>
      <c r="T551" s="3"/>
      <c r="U551" s="3"/>
      <c r="V551" s="3"/>
      <c r="W551" s="3"/>
      <c r="X551" s="3"/>
      <c r="Y551" s="3"/>
      <c r="Z551" s="3"/>
    </row>
    <row r="552" spans="1:26" customFormat="1" ht="12.75" x14ac:dyDescent="0.2">
      <c r="A552" s="246"/>
      <c r="B552" s="3"/>
      <c r="C552" s="708">
        <v>235</v>
      </c>
      <c r="D552" s="664">
        <f t="dataTable" ref="D552:F558" dt2D="0" dtr="0" r1="J72" ca="1"/>
        <v>18073.258257297322</v>
      </c>
      <c r="E552" s="616">
        <v>276586752.00652128</v>
      </c>
      <c r="F552" s="659">
        <v>3004.9395043189079</v>
      </c>
      <c r="G552" s="3"/>
      <c r="H552" s="605">
        <v>0.4</v>
      </c>
      <c r="I552" s="664">
        <f t="dataTable" ref="I552:K558" dt2D="0" dtr="0" r1="J67" ca="1"/>
        <v>17028.91161886742</v>
      </c>
      <c r="J552" s="616">
        <v>256530799.72173634</v>
      </c>
      <c r="K552" s="659">
        <v>2819.5513983496307</v>
      </c>
      <c r="L552" s="3"/>
      <c r="M552" s="3"/>
      <c r="N552" s="3"/>
      <c r="O552" s="3"/>
      <c r="P552" s="3"/>
      <c r="Q552" s="3"/>
      <c r="R552" s="3"/>
      <c r="S552" s="3"/>
      <c r="T552" s="3"/>
      <c r="U552" s="3"/>
      <c r="V552" s="3"/>
      <c r="W552" s="3"/>
      <c r="X552" s="3"/>
      <c r="Y552" s="3"/>
      <c r="Z552" s="3"/>
    </row>
    <row r="553" spans="1:26" customFormat="1" ht="12.75" x14ac:dyDescent="0.2">
      <c r="A553" s="246"/>
      <c r="B553" s="3"/>
      <c r="C553" s="709">
        <v>250</v>
      </c>
      <c r="D553" s="663">
        <v>14470.008871573958</v>
      </c>
      <c r="E553" s="614">
        <v>207397805.33942926</v>
      </c>
      <c r="F553" s="658">
        <v>2364.8301617367051</v>
      </c>
      <c r="G553" s="3"/>
      <c r="H553" s="604">
        <v>0.5</v>
      </c>
      <c r="I553" s="663">
        <v>13817.292222555267</v>
      </c>
      <c r="J553" s="614">
        <v>194862835.16143861</v>
      </c>
      <c r="K553" s="658">
        <v>2248.9625955059064</v>
      </c>
      <c r="L553" s="3"/>
      <c r="M553" s="3"/>
      <c r="N553" s="3"/>
      <c r="O553" s="3"/>
      <c r="P553" s="3"/>
      <c r="Q553" s="3"/>
      <c r="R553" s="3"/>
      <c r="S553" s="3"/>
      <c r="T553" s="3"/>
      <c r="U553" s="3"/>
      <c r="V553" s="3"/>
      <c r="W553" s="3"/>
      <c r="X553" s="3"/>
      <c r="Y553" s="3"/>
      <c r="Z553" s="3"/>
    </row>
    <row r="554" spans="1:26" customFormat="1" ht="12.75" x14ac:dyDescent="0.2">
      <c r="A554" s="246"/>
      <c r="B554" s="3"/>
      <c r="C554" s="709">
        <v>275</v>
      </c>
      <c r="D554" s="663">
        <v>8464.5932287017076</v>
      </c>
      <c r="E554" s="614">
        <v>92082894.227609545</v>
      </c>
      <c r="F554" s="658">
        <v>1297.9812574330426</v>
      </c>
      <c r="G554" s="3"/>
      <c r="H554" s="604">
        <v>0.6</v>
      </c>
      <c r="I554" s="663">
        <v>10605.672826243126</v>
      </c>
      <c r="J554" s="614">
        <v>133194870.6011411</v>
      </c>
      <c r="K554" s="658">
        <v>1678.3737926621884</v>
      </c>
      <c r="L554" s="3"/>
      <c r="M554" s="3"/>
      <c r="N554" s="3"/>
      <c r="O554" s="3"/>
      <c r="P554" s="3"/>
      <c r="Q554" s="3"/>
      <c r="R554" s="3"/>
      <c r="S554" s="3"/>
      <c r="T554" s="3"/>
      <c r="U554" s="3"/>
      <c r="V554" s="3"/>
      <c r="W554" s="3"/>
      <c r="X554" s="3"/>
      <c r="Y554" s="3"/>
      <c r="Z554" s="3"/>
    </row>
    <row r="555" spans="1:26" customFormat="1" ht="12.75" x14ac:dyDescent="0.2">
      <c r="A555" s="246"/>
      <c r="B555" s="3"/>
      <c r="C555" s="710">
        <v>300</v>
      </c>
      <c r="D555" s="665">
        <v>2459.1775858294263</v>
      </c>
      <c r="E555" s="618">
        <v>-23232016.884210687</v>
      </c>
      <c r="F555" s="660">
        <v>231.13235312937147</v>
      </c>
      <c r="G555" s="3"/>
      <c r="H555" s="606">
        <v>0.66666666666666663</v>
      </c>
      <c r="I555" s="665">
        <v>8464.5932287017076</v>
      </c>
      <c r="J555" s="618">
        <v>92082894.227609545</v>
      </c>
      <c r="K555" s="660">
        <v>1297.9812574330426</v>
      </c>
      <c r="L555" s="3"/>
      <c r="M555" s="3"/>
      <c r="N555" s="3"/>
      <c r="O555" s="3"/>
      <c r="P555" s="3"/>
      <c r="Q555" s="3"/>
      <c r="R555" s="3"/>
      <c r="S555" s="3"/>
      <c r="T555" s="3"/>
      <c r="U555" s="3"/>
      <c r="V555" s="3"/>
      <c r="W555" s="3"/>
      <c r="X555" s="3"/>
      <c r="Y555" s="3"/>
      <c r="Z555" s="3"/>
    </row>
    <row r="556" spans="1:26" customFormat="1" ht="12.75" x14ac:dyDescent="0.2">
      <c r="A556" s="246"/>
      <c r="B556" s="3"/>
      <c r="C556" s="709">
        <v>350</v>
      </c>
      <c r="D556" s="663">
        <v>-9551.6536999151067</v>
      </c>
      <c r="E556" s="614">
        <v>-253861839.10785055</v>
      </c>
      <c r="F556" s="658">
        <v>-1902.5654554779653</v>
      </c>
      <c r="G556" s="3"/>
      <c r="H556" s="604">
        <v>0.7</v>
      </c>
      <c r="I556" s="663">
        <v>7394.0534299309584</v>
      </c>
      <c r="J556" s="614">
        <v>71526906.04084304</v>
      </c>
      <c r="K556" s="658">
        <v>1107.7849898184613</v>
      </c>
      <c r="L556" s="3"/>
      <c r="M556" s="3"/>
      <c r="N556" s="3"/>
      <c r="O556" s="3"/>
      <c r="P556" s="3"/>
      <c r="Q556" s="3"/>
      <c r="R556" s="3"/>
      <c r="S556" s="3"/>
      <c r="T556" s="3"/>
      <c r="U556" s="3"/>
      <c r="V556" s="3"/>
      <c r="W556" s="3"/>
      <c r="X556" s="3"/>
      <c r="Y556" s="3"/>
      <c r="Z556" s="3"/>
    </row>
    <row r="557" spans="1:26" customFormat="1" ht="12.75" x14ac:dyDescent="0.2">
      <c r="A557" s="246"/>
      <c r="B557" s="3"/>
      <c r="C557" s="709">
        <v>400</v>
      </c>
      <c r="D557" s="663">
        <v>-21562.484985659656</v>
      </c>
      <c r="E557" s="614">
        <v>-484491661.33149081</v>
      </c>
      <c r="F557" s="658">
        <v>-4036.2632640853049</v>
      </c>
      <c r="G557" s="3"/>
      <c r="H557" s="604">
        <v>0.75</v>
      </c>
      <c r="I557" s="663">
        <v>5788.2437317749109</v>
      </c>
      <c r="J557" s="614">
        <v>40692923.760694683</v>
      </c>
      <c r="K557" s="658">
        <v>822.49058839660654</v>
      </c>
      <c r="L557" s="3"/>
      <c r="M557" s="3"/>
      <c r="N557" s="3"/>
      <c r="O557" s="3"/>
      <c r="P557" s="3"/>
      <c r="Q557" s="3"/>
      <c r="R557" s="3"/>
      <c r="S557" s="3"/>
      <c r="T557" s="3"/>
      <c r="U557" s="3"/>
      <c r="V557" s="3"/>
      <c r="W557" s="3"/>
      <c r="X557" s="3"/>
      <c r="Y557" s="3"/>
      <c r="Z557" s="3"/>
    </row>
    <row r="558" spans="1:26" customFormat="1" ht="12.75" x14ac:dyDescent="0.2">
      <c r="A558" s="246"/>
      <c r="B558" s="3"/>
      <c r="C558" s="711">
        <v>450</v>
      </c>
      <c r="D558" s="666">
        <v>-33573.316271404212</v>
      </c>
      <c r="E558" s="620">
        <v>-715121483.55513084</v>
      </c>
      <c r="F558" s="661">
        <v>-6169.9610726926412</v>
      </c>
      <c r="G558" s="3"/>
      <c r="H558" s="607">
        <v>0.8</v>
      </c>
      <c r="I558" s="666">
        <v>4182.434033618817</v>
      </c>
      <c r="J558" s="620">
        <v>9858941.4805454575</v>
      </c>
      <c r="K558" s="661">
        <v>537.19618697474311</v>
      </c>
      <c r="L558" s="3"/>
      <c r="M558" s="3"/>
      <c r="N558" s="3"/>
      <c r="O558" s="3"/>
      <c r="P558" s="3"/>
      <c r="Q558" s="3"/>
      <c r="R558" s="3"/>
      <c r="S558" s="3"/>
      <c r="T558" s="3"/>
      <c r="U558" s="3"/>
      <c r="V558" s="3"/>
      <c r="W558" s="3"/>
      <c r="X558" s="3"/>
      <c r="Y558" s="3"/>
      <c r="Z558" s="3"/>
    </row>
    <row r="559" spans="1:26" customFormat="1" ht="12.75" x14ac:dyDescent="0.2">
      <c r="A559" s="246"/>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customFormat="1" ht="12.75" x14ac:dyDescent="0.2">
      <c r="A560" s="246"/>
      <c r="B560" s="611" t="s">
        <v>943</v>
      </c>
      <c r="C560" s="610"/>
      <c r="D560" s="610"/>
      <c r="E560" s="610"/>
      <c r="F560" s="610"/>
      <c r="G560" s="610"/>
      <c r="H560" s="610"/>
      <c r="I560" s="610"/>
      <c r="J560" s="610"/>
      <c r="K560" s="610"/>
      <c r="L560" s="610"/>
      <c r="M560" s="610"/>
      <c r="N560" s="3"/>
      <c r="O560" s="3"/>
      <c r="P560" s="3"/>
      <c r="Q560" s="3"/>
      <c r="R560" s="3"/>
      <c r="S560" s="3"/>
      <c r="T560" s="3"/>
      <c r="U560" s="3"/>
      <c r="V560" s="3"/>
      <c r="W560" s="3"/>
      <c r="X560" s="3"/>
      <c r="Y560" s="3"/>
      <c r="Z560" s="3"/>
    </row>
    <row r="561" spans="1:26" customFormat="1" ht="12.75" x14ac:dyDescent="0.2">
      <c r="A561" s="246"/>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customFormat="1" ht="25.5" x14ac:dyDescent="0.2">
      <c r="A562" s="246"/>
      <c r="B562" s="3"/>
      <c r="C562" s="359"/>
      <c r="D562" s="359" t="s">
        <v>812</v>
      </c>
      <c r="E562" s="644" t="s">
        <v>947</v>
      </c>
      <c r="F562" s="639"/>
      <c r="G562" s="640"/>
      <c r="H562" s="643"/>
      <c r="I562" s="639"/>
      <c r="J562" s="639"/>
      <c r="K562" s="639"/>
      <c r="L562" s="639"/>
      <c r="M562" s="641"/>
      <c r="N562" s="3"/>
      <c r="O562" s="3"/>
      <c r="P562" s="3"/>
      <c r="Q562" s="3"/>
      <c r="R562" s="3"/>
      <c r="S562" s="3"/>
      <c r="T562" s="3"/>
      <c r="U562" s="3"/>
      <c r="V562" s="3"/>
      <c r="W562" s="3"/>
      <c r="X562" s="3"/>
      <c r="Y562" s="3"/>
      <c r="Z562" s="3"/>
    </row>
    <row r="563" spans="1:26" customFormat="1" ht="12.75" x14ac:dyDescent="0.2">
      <c r="A563" s="246"/>
      <c r="B563" s="3"/>
      <c r="C563" s="364"/>
      <c r="D563" s="363">
        <f>$F$456</f>
        <v>92082894.227609545</v>
      </c>
      <c r="E563" s="623">
        <v>-0.05</v>
      </c>
      <c r="F563" s="624">
        <v>-0.02</v>
      </c>
      <c r="G563" s="624">
        <v>-0.01</v>
      </c>
      <c r="H563" s="626">
        <v>0</v>
      </c>
      <c r="I563" s="624">
        <v>0.01</v>
      </c>
      <c r="J563" s="624">
        <v>0.02</v>
      </c>
      <c r="K563" s="624">
        <v>0.03</v>
      </c>
      <c r="L563" s="624">
        <v>0.04</v>
      </c>
      <c r="M563" s="625">
        <v>0.05</v>
      </c>
      <c r="N563" s="3"/>
      <c r="O563" s="3"/>
      <c r="P563" s="3"/>
      <c r="Q563" s="3"/>
      <c r="R563" s="3"/>
      <c r="S563" s="3"/>
      <c r="T563" s="3"/>
      <c r="U563" s="3"/>
      <c r="V563" s="3"/>
      <c r="W563" s="3"/>
      <c r="X563" s="3"/>
      <c r="Y563" s="3"/>
      <c r="Z563" s="3"/>
    </row>
    <row r="564" spans="1:26" customFormat="1" ht="12.75" x14ac:dyDescent="0.2">
      <c r="A564" s="246"/>
      <c r="B564" s="3"/>
      <c r="C564" s="857"/>
      <c r="D564" s="382">
        <v>-0.05</v>
      </c>
      <c r="E564" s="627">
        <f t="dataTable" ref="E564:M572" dt2D="1" dtr="1" r1="J75" r2="J56" ca="1"/>
        <v>107752832.65242618</v>
      </c>
      <c r="F564" s="628">
        <v>99183618.051905096</v>
      </c>
      <c r="G564" s="628">
        <v>96327213.185064822</v>
      </c>
      <c r="H564" s="629">
        <v>93470808.318224683</v>
      </c>
      <c r="I564" s="628">
        <v>90614403.451383963</v>
      </c>
      <c r="J564" s="628">
        <v>87757998.584543586</v>
      </c>
      <c r="K564" s="628">
        <v>84901593.717703432</v>
      </c>
      <c r="L564" s="628">
        <v>82045188.850862935</v>
      </c>
      <c r="M564" s="621">
        <v>79188783.984022394</v>
      </c>
      <c r="N564" s="3"/>
      <c r="O564" s="3"/>
      <c r="P564" s="3"/>
      <c r="Q564" s="3"/>
      <c r="R564" s="3"/>
      <c r="S564" s="3"/>
      <c r="T564" s="3"/>
      <c r="U564" s="3"/>
      <c r="V564" s="3"/>
      <c r="W564" s="3"/>
      <c r="X564" s="3"/>
      <c r="Y564" s="3"/>
      <c r="Z564" s="3"/>
    </row>
    <row r="565" spans="1:26" customFormat="1" ht="12.75" x14ac:dyDescent="0.2">
      <c r="A565" s="246"/>
      <c r="B565" s="3"/>
      <c r="C565" s="802"/>
      <c r="D565" s="383">
        <v>-0.02</v>
      </c>
      <c r="E565" s="630">
        <v>106930978.74094689</v>
      </c>
      <c r="F565" s="631">
        <v>98361764.140425727</v>
      </c>
      <c r="G565" s="631">
        <v>95505359.273585528</v>
      </c>
      <c r="H565" s="632">
        <v>92648954.406745419</v>
      </c>
      <c r="I565" s="631">
        <v>89792549.539904609</v>
      </c>
      <c r="J565" s="631">
        <v>86936144.673064277</v>
      </c>
      <c r="K565" s="631">
        <v>84079739.806224108</v>
      </c>
      <c r="L565" s="631">
        <v>81223334.939383671</v>
      </c>
      <c r="M565" s="613">
        <v>78366930.072543174</v>
      </c>
      <c r="N565" s="3"/>
      <c r="O565" s="3"/>
      <c r="P565" s="3"/>
      <c r="Q565" s="3"/>
      <c r="R565" s="3"/>
      <c r="S565" s="3"/>
      <c r="T565" s="3"/>
      <c r="U565" s="3"/>
      <c r="V565" s="3"/>
      <c r="W565" s="3"/>
      <c r="X565" s="3"/>
      <c r="Y565" s="3"/>
      <c r="Z565" s="3"/>
    </row>
    <row r="566" spans="1:26" customFormat="1" ht="12.75" x14ac:dyDescent="0.2">
      <c r="A566" s="246"/>
      <c r="B566" s="3"/>
      <c r="C566" s="802"/>
      <c r="D566" s="384">
        <v>-0.01</v>
      </c>
      <c r="E566" s="633">
        <v>106649789.9147182</v>
      </c>
      <c r="F566" s="634">
        <v>98080575.314197049</v>
      </c>
      <c r="G566" s="634">
        <v>95224170.44735688</v>
      </c>
      <c r="H566" s="632">
        <v>92367765.580516741</v>
      </c>
      <c r="I566" s="634">
        <v>89511360.713675946</v>
      </c>
      <c r="J566" s="634">
        <v>86654955.846835583</v>
      </c>
      <c r="K566" s="634">
        <v>83798550.979995459</v>
      </c>
      <c r="L566" s="634">
        <v>80942146.113155007</v>
      </c>
      <c r="M566" s="615">
        <v>78085741.246314436</v>
      </c>
      <c r="N566" s="3"/>
      <c r="O566" s="3"/>
      <c r="P566" s="3"/>
      <c r="Q566" s="3"/>
      <c r="R566" s="3"/>
      <c r="S566" s="3"/>
      <c r="T566" s="3"/>
      <c r="U566" s="3"/>
      <c r="V566" s="3"/>
      <c r="W566" s="3"/>
      <c r="X566" s="3"/>
      <c r="Y566" s="3"/>
      <c r="Z566" s="3"/>
    </row>
    <row r="567" spans="1:26" customFormat="1" ht="12.75" x14ac:dyDescent="0.2">
      <c r="A567" s="246"/>
      <c r="B567" s="3"/>
      <c r="C567" s="802"/>
      <c r="D567" s="608">
        <v>0</v>
      </c>
      <c r="E567" s="635">
        <v>106364918.56181106</v>
      </c>
      <c r="F567" s="632">
        <v>97795703.961289898</v>
      </c>
      <c r="G567" s="632">
        <v>94939299.094449729</v>
      </c>
      <c r="H567" s="632">
        <v>92082894.227609545</v>
      </c>
      <c r="I567" s="632">
        <v>89226489.36076878</v>
      </c>
      <c r="J567" s="632">
        <v>86370084.493928343</v>
      </c>
      <c r="K567" s="632">
        <v>83513679.627088204</v>
      </c>
      <c r="L567" s="632">
        <v>80657274.760247797</v>
      </c>
      <c r="M567" s="617">
        <v>77800869.893407241</v>
      </c>
      <c r="N567" s="3"/>
      <c r="O567" s="3"/>
      <c r="P567" s="3"/>
      <c r="Q567" s="3"/>
      <c r="R567" s="3"/>
      <c r="S567" s="3"/>
      <c r="T567" s="3"/>
      <c r="U567" s="3"/>
      <c r="V567" s="3"/>
      <c r="W567" s="3"/>
      <c r="X567" s="3"/>
      <c r="Y567" s="3"/>
      <c r="Z567" s="3"/>
    </row>
    <row r="568" spans="1:26" customFormat="1" ht="25.5" customHeight="1" x14ac:dyDescent="0.2">
      <c r="A568" s="246"/>
      <c r="B568" s="3"/>
      <c r="C568" s="858" t="s">
        <v>945</v>
      </c>
      <c r="D568" s="383">
        <v>0.01</v>
      </c>
      <c r="E568" s="630">
        <v>106076325.19659369</v>
      </c>
      <c r="F568" s="631">
        <v>97507110.596072614</v>
      </c>
      <c r="G568" s="631">
        <v>94650705.729232371</v>
      </c>
      <c r="H568" s="632">
        <v>91794300.862392157</v>
      </c>
      <c r="I568" s="631">
        <v>88937895.995551437</v>
      </c>
      <c r="J568" s="631">
        <v>86081491.128711134</v>
      </c>
      <c r="K568" s="631">
        <v>83225086.26187095</v>
      </c>
      <c r="L568" s="631">
        <v>80368681.395030558</v>
      </c>
      <c r="M568" s="613">
        <v>77512276.528189898</v>
      </c>
      <c r="N568" s="3"/>
      <c r="O568" s="3"/>
      <c r="P568" s="3"/>
      <c r="Q568" s="3"/>
      <c r="R568" s="3"/>
      <c r="S568" s="3"/>
      <c r="T568" s="3"/>
      <c r="U568" s="3"/>
      <c r="V568" s="3"/>
      <c r="W568" s="3"/>
      <c r="X568" s="3"/>
      <c r="Y568" s="3"/>
      <c r="Z568" s="3"/>
    </row>
    <row r="569" spans="1:26" customFormat="1" ht="12.75" x14ac:dyDescent="0.2">
      <c r="A569" s="246"/>
      <c r="B569" s="3"/>
      <c r="C569" s="859" t="s">
        <v>944</v>
      </c>
      <c r="D569" s="383">
        <v>0.02</v>
      </c>
      <c r="E569" s="630">
        <v>105783969.4564999</v>
      </c>
      <c r="F569" s="631">
        <v>97214754.855978891</v>
      </c>
      <c r="G569" s="631">
        <v>94358349.989138573</v>
      </c>
      <c r="H569" s="632">
        <v>91501945.122298405</v>
      </c>
      <c r="I569" s="631">
        <v>88645540.255457669</v>
      </c>
      <c r="J569" s="631">
        <v>85789135.388617307</v>
      </c>
      <c r="K569" s="631">
        <v>82932730.521777168</v>
      </c>
      <c r="L569" s="631">
        <v>80076325.654936776</v>
      </c>
      <c r="M569" s="613">
        <v>77219920.788096234</v>
      </c>
      <c r="N569" s="3"/>
      <c r="O569" s="3"/>
      <c r="P569" s="3"/>
      <c r="Q569" s="3"/>
      <c r="R569" s="3"/>
      <c r="S569" s="3"/>
      <c r="T569" s="3"/>
      <c r="U569" s="3"/>
      <c r="V569" s="3"/>
      <c r="W569" s="3"/>
      <c r="X569" s="3"/>
      <c r="Y569" s="3"/>
      <c r="Z569" s="3"/>
    </row>
    <row r="570" spans="1:26" customFormat="1" ht="12.75" x14ac:dyDescent="0.2">
      <c r="A570" s="246"/>
      <c r="B570" s="3"/>
      <c r="C570" s="808"/>
      <c r="D570" s="383">
        <v>0.03</v>
      </c>
      <c r="E570" s="630">
        <v>105487810.05730185</v>
      </c>
      <c r="F570" s="631">
        <v>96918595.456780717</v>
      </c>
      <c r="G570" s="631">
        <v>94062190.589940444</v>
      </c>
      <c r="H570" s="632">
        <v>91205785.72310032</v>
      </c>
      <c r="I570" s="631">
        <v>88349380.856259555</v>
      </c>
      <c r="J570" s="631">
        <v>85492975.989419162</v>
      </c>
      <c r="K570" s="631">
        <v>82636571.122579053</v>
      </c>
      <c r="L570" s="631">
        <v>79780166.255738601</v>
      </c>
      <c r="M570" s="613">
        <v>76923761.388898149</v>
      </c>
      <c r="N570" s="3"/>
      <c r="O570" s="3"/>
      <c r="P570" s="3"/>
      <c r="Q570" s="3"/>
      <c r="R570" s="3"/>
      <c r="S570" s="3"/>
      <c r="T570" s="3"/>
      <c r="U570" s="3"/>
      <c r="V570" s="3"/>
      <c r="W570" s="3"/>
      <c r="X570" s="3"/>
      <c r="Y570" s="3"/>
      <c r="Z570" s="3"/>
    </row>
    <row r="571" spans="1:26" customFormat="1" ht="12.75" x14ac:dyDescent="0.2">
      <c r="A571" s="246"/>
      <c r="B571" s="3"/>
      <c r="C571" s="802"/>
      <c r="D571" s="383">
        <v>0.04</v>
      </c>
      <c r="E571" s="630">
        <v>105187804.74657705</v>
      </c>
      <c r="F571" s="631">
        <v>96618590.146055907</v>
      </c>
      <c r="G571" s="631">
        <v>93762185.279215649</v>
      </c>
      <c r="H571" s="632">
        <v>90905780.41237554</v>
      </c>
      <c r="I571" s="631">
        <v>88049375.54553476</v>
      </c>
      <c r="J571" s="631">
        <v>85192970.678694412</v>
      </c>
      <c r="K571" s="631">
        <v>82336565.811854243</v>
      </c>
      <c r="L571" s="631">
        <v>79480160.945013717</v>
      </c>
      <c r="M571" s="613">
        <v>76623756.07817331</v>
      </c>
      <c r="N571" s="3"/>
      <c r="O571" s="3"/>
      <c r="P571" s="3"/>
      <c r="Q571" s="3"/>
      <c r="R571" s="3"/>
      <c r="S571" s="3"/>
      <c r="T571" s="3"/>
      <c r="U571" s="3"/>
      <c r="V571" s="3"/>
      <c r="W571" s="3"/>
      <c r="X571" s="3"/>
      <c r="Y571" s="3"/>
      <c r="Z571" s="3"/>
    </row>
    <row r="572" spans="1:26" customFormat="1" ht="12.75" x14ac:dyDescent="0.2">
      <c r="A572" s="246"/>
      <c r="B572" s="3"/>
      <c r="C572" s="860"/>
      <c r="D572" s="388">
        <v>0.05</v>
      </c>
      <c r="E572" s="636">
        <v>104883910.25531483</v>
      </c>
      <c r="F572" s="637">
        <v>96314695.654793695</v>
      </c>
      <c r="G572" s="637">
        <v>93458290.787953526</v>
      </c>
      <c r="H572" s="638">
        <v>90601885.921113253</v>
      </c>
      <c r="I572" s="637">
        <v>87745481.054272577</v>
      </c>
      <c r="J572" s="637">
        <v>84889076.18743217</v>
      </c>
      <c r="K572" s="637">
        <v>82032671.320592076</v>
      </c>
      <c r="L572" s="637">
        <v>79176266.453751609</v>
      </c>
      <c r="M572" s="619">
        <v>76319861.586911112</v>
      </c>
      <c r="N572" s="3"/>
      <c r="O572" s="3"/>
      <c r="P572" s="3"/>
      <c r="Q572" s="3"/>
      <c r="R572" s="3"/>
      <c r="S572" s="3"/>
      <c r="T572" s="3"/>
      <c r="U572" s="3"/>
      <c r="V572" s="3"/>
      <c r="W572" s="3"/>
      <c r="X572" s="3"/>
      <c r="Y572" s="3"/>
      <c r="Z572" s="3"/>
    </row>
    <row r="573" spans="1:26" customFormat="1" ht="12.75" x14ac:dyDescent="0.2">
      <c r="A573" s="246"/>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customFormat="1" ht="25.5" x14ac:dyDescent="0.2">
      <c r="A574" s="246"/>
      <c r="B574" s="3"/>
      <c r="C574" s="359"/>
      <c r="D574" s="359" t="s">
        <v>812</v>
      </c>
      <c r="E574" s="644" t="s">
        <v>947</v>
      </c>
      <c r="F574" s="639"/>
      <c r="G574" s="640"/>
      <c r="H574" s="643"/>
      <c r="I574" s="639"/>
      <c r="J574" s="639"/>
      <c r="K574" s="639"/>
      <c r="L574" s="639"/>
      <c r="M574" s="641"/>
      <c r="N574" s="3"/>
      <c r="O574" s="3"/>
      <c r="P574" s="3"/>
      <c r="Q574" s="3"/>
      <c r="R574" s="3"/>
      <c r="S574" s="3"/>
      <c r="T574" s="3"/>
      <c r="U574" s="3"/>
      <c r="V574" s="3"/>
      <c r="W574" s="3"/>
      <c r="X574" s="3"/>
      <c r="Y574" s="3"/>
      <c r="Z574" s="3"/>
    </row>
    <row r="575" spans="1:26" customFormat="1" ht="12.75" x14ac:dyDescent="0.2">
      <c r="A575" s="246"/>
      <c r="B575" s="3"/>
      <c r="C575" s="364"/>
      <c r="D575" s="363">
        <f>$F$456</f>
        <v>92082894.227609545</v>
      </c>
      <c r="E575" s="623">
        <v>-0.05</v>
      </c>
      <c r="F575" s="624">
        <v>-0.02</v>
      </c>
      <c r="G575" s="624">
        <v>-0.01</v>
      </c>
      <c r="H575" s="626">
        <v>0</v>
      </c>
      <c r="I575" s="624">
        <v>0.01</v>
      </c>
      <c r="J575" s="624">
        <v>0.02</v>
      </c>
      <c r="K575" s="624">
        <v>0.03</v>
      </c>
      <c r="L575" s="624">
        <v>0.04</v>
      </c>
      <c r="M575" s="625">
        <v>0.05</v>
      </c>
      <c r="N575" s="3"/>
      <c r="O575" s="3"/>
      <c r="P575" s="3"/>
      <c r="Q575" s="3"/>
      <c r="R575" s="3"/>
      <c r="S575" s="3"/>
      <c r="T575" s="3"/>
      <c r="U575" s="3"/>
      <c r="V575" s="3"/>
      <c r="W575" s="3"/>
      <c r="X575" s="3"/>
      <c r="Y575" s="3"/>
      <c r="Z575" s="3"/>
    </row>
    <row r="576" spans="1:26" customFormat="1" ht="12.75" x14ac:dyDescent="0.2">
      <c r="A576" s="246"/>
      <c r="B576" s="3"/>
      <c r="C576" s="857"/>
      <c r="D576" s="382">
        <v>-0.15</v>
      </c>
      <c r="E576" s="627">
        <f t="dataTable" ref="E576:M584" dt2D="1" dtr="1" r1="J75" r2="J85" ca="1"/>
        <v>44636616.699375175</v>
      </c>
      <c r="F576" s="628">
        <v>36067402.098853998</v>
      </c>
      <c r="G576" s="628">
        <v>33210997.232013833</v>
      </c>
      <c r="H576" s="629">
        <v>30354592.365173645</v>
      </c>
      <c r="I576" s="628">
        <v>27498187.498332895</v>
      </c>
      <c r="J576" s="628">
        <v>24641782.631492447</v>
      </c>
      <c r="K576" s="628">
        <v>21785377.764652304</v>
      </c>
      <c r="L576" s="628">
        <v>18928972.89781189</v>
      </c>
      <c r="M576" s="621">
        <v>16072568.030971348</v>
      </c>
      <c r="N576" s="3"/>
      <c r="O576" s="3"/>
      <c r="P576" s="3"/>
      <c r="Q576" s="3"/>
      <c r="R576" s="3"/>
      <c r="S576" s="3"/>
      <c r="T576" s="3"/>
      <c r="U576" s="3"/>
      <c r="V576" s="3"/>
      <c r="W576" s="3"/>
      <c r="X576" s="3"/>
      <c r="Y576" s="3"/>
      <c r="Z576" s="3"/>
    </row>
    <row r="577" spans="1:26" customFormat="1" ht="12.75" x14ac:dyDescent="0.2">
      <c r="A577" s="246"/>
      <c r="B577" s="3"/>
      <c r="C577" s="802"/>
      <c r="D577" s="383">
        <v>-0.1</v>
      </c>
      <c r="E577" s="630">
        <v>65212717.320187017</v>
      </c>
      <c r="F577" s="631">
        <v>56643502.71966584</v>
      </c>
      <c r="G577" s="631">
        <v>53787097.852825664</v>
      </c>
      <c r="H577" s="632">
        <v>50930692.985985495</v>
      </c>
      <c r="I577" s="631">
        <v>48074288.11914473</v>
      </c>
      <c r="J577" s="631">
        <v>45217883.252304286</v>
      </c>
      <c r="K577" s="631">
        <v>42361478.385464147</v>
      </c>
      <c r="L577" s="631">
        <v>39505073.518623732</v>
      </c>
      <c r="M577" s="613">
        <v>36648668.651783183</v>
      </c>
      <c r="N577" s="3"/>
      <c r="O577" s="3"/>
      <c r="P577" s="3"/>
      <c r="Q577" s="3"/>
      <c r="R577" s="3"/>
      <c r="S577" s="3"/>
      <c r="T577" s="3"/>
      <c r="U577" s="3"/>
      <c r="V577" s="3"/>
      <c r="W577" s="3"/>
      <c r="X577" s="3"/>
      <c r="Y577" s="3"/>
      <c r="Z577" s="3"/>
    </row>
    <row r="578" spans="1:26" customFormat="1" ht="12.75" x14ac:dyDescent="0.2">
      <c r="A578" s="246"/>
      <c r="B578" s="3"/>
      <c r="C578" s="802"/>
      <c r="D578" s="384">
        <v>-0.05</v>
      </c>
      <c r="E578" s="633">
        <v>85788817.940998957</v>
      </c>
      <c r="F578" s="634">
        <v>77219603.34047778</v>
      </c>
      <c r="G578" s="634">
        <v>74363198.473637611</v>
      </c>
      <c r="H578" s="632">
        <v>71506793.606797442</v>
      </c>
      <c r="I578" s="634">
        <v>68650388.739956692</v>
      </c>
      <c r="J578" s="634">
        <v>65793983.873116232</v>
      </c>
      <c r="K578" s="634">
        <v>62937579.006276093</v>
      </c>
      <c r="L578" s="634">
        <v>60081174.139435649</v>
      </c>
      <c r="M578" s="615">
        <v>57224769.272595145</v>
      </c>
      <c r="N578" s="3"/>
      <c r="O578" s="3"/>
      <c r="P578" s="3"/>
      <c r="Q578" s="3"/>
      <c r="R578" s="3"/>
      <c r="S578" s="3"/>
      <c r="T578" s="3"/>
      <c r="U578" s="3"/>
      <c r="V578" s="3"/>
      <c r="W578" s="3"/>
      <c r="X578" s="3"/>
      <c r="Y578" s="3"/>
      <c r="Z578" s="3"/>
    </row>
    <row r="579" spans="1:26" customFormat="1" ht="12.75" x14ac:dyDescent="0.2">
      <c r="A579" s="246"/>
      <c r="B579" s="3"/>
      <c r="C579" s="802"/>
      <c r="D579" s="608">
        <v>0</v>
      </c>
      <c r="E579" s="635">
        <v>106364918.56181106</v>
      </c>
      <c r="F579" s="632">
        <v>97795703.961289898</v>
      </c>
      <c r="G579" s="632">
        <v>94939299.094449729</v>
      </c>
      <c r="H579" s="632">
        <v>92082894.227609545</v>
      </c>
      <c r="I579" s="632">
        <v>89226489.36076878</v>
      </c>
      <c r="J579" s="632">
        <v>86370084.493928343</v>
      </c>
      <c r="K579" s="632">
        <v>83513679.627088204</v>
      </c>
      <c r="L579" s="632">
        <v>80657274.760247797</v>
      </c>
      <c r="M579" s="617">
        <v>77800869.893407241</v>
      </c>
      <c r="N579" s="3"/>
      <c r="O579" s="3"/>
      <c r="P579" s="3"/>
      <c r="Q579" s="3"/>
      <c r="R579" s="3"/>
      <c r="S579" s="3"/>
      <c r="T579" s="3"/>
      <c r="U579" s="3"/>
      <c r="V579" s="3"/>
      <c r="W579" s="3"/>
      <c r="X579" s="3"/>
      <c r="Y579" s="3"/>
      <c r="Z579" s="3"/>
    </row>
    <row r="580" spans="1:26" customFormat="1" ht="12.75" x14ac:dyDescent="0.2">
      <c r="A580" s="246"/>
      <c r="B580" s="3"/>
      <c r="C580" s="858" t="s">
        <v>992</v>
      </c>
      <c r="D580" s="383">
        <v>0.05</v>
      </c>
      <c r="E580" s="630">
        <v>126941019.18262304</v>
      </c>
      <c r="F580" s="631">
        <v>118371804.58210181</v>
      </c>
      <c r="G580" s="631">
        <v>115515399.71526168</v>
      </c>
      <c r="H580" s="632">
        <v>112658994.8484215</v>
      </c>
      <c r="I580" s="631">
        <v>109802589.98158075</v>
      </c>
      <c r="J580" s="631">
        <v>106946185.11474028</v>
      </c>
      <c r="K580" s="631">
        <v>104089780.24790014</v>
      </c>
      <c r="L580" s="631">
        <v>101233375.38105971</v>
      </c>
      <c r="M580" s="613">
        <v>98376970.514219195</v>
      </c>
      <c r="N580" s="3"/>
      <c r="O580" s="3"/>
      <c r="P580" s="3"/>
      <c r="Q580" s="3"/>
      <c r="R580" s="3"/>
      <c r="S580" s="3"/>
      <c r="T580" s="3"/>
      <c r="U580" s="3"/>
      <c r="V580" s="3"/>
      <c r="W580" s="3"/>
      <c r="X580" s="3"/>
      <c r="Y580" s="3"/>
      <c r="Z580" s="3"/>
    </row>
    <row r="581" spans="1:26" customFormat="1" ht="12.75" x14ac:dyDescent="0.2">
      <c r="A581" s="246"/>
      <c r="B581" s="3"/>
      <c r="C581" s="859" t="s">
        <v>944</v>
      </c>
      <c r="D581" s="383">
        <v>0.1</v>
      </c>
      <c r="E581" s="630">
        <v>147517119.80343449</v>
      </c>
      <c r="F581" s="631">
        <v>138947905.20291337</v>
      </c>
      <c r="G581" s="631">
        <v>136091500.33607313</v>
      </c>
      <c r="H581" s="632">
        <v>133235095.46923299</v>
      </c>
      <c r="I581" s="631">
        <v>130378690.60239227</v>
      </c>
      <c r="J581" s="631">
        <v>127522285.73555179</v>
      </c>
      <c r="K581" s="631">
        <v>124665880.86871167</v>
      </c>
      <c r="L581" s="631">
        <v>121809476.00187124</v>
      </c>
      <c r="M581" s="613">
        <v>118953071.13503075</v>
      </c>
      <c r="N581" s="3"/>
      <c r="O581" s="3"/>
      <c r="P581" s="3"/>
      <c r="Q581" s="3"/>
      <c r="R581" s="3"/>
      <c r="S581" s="3"/>
      <c r="T581" s="3"/>
      <c r="U581" s="3"/>
      <c r="V581" s="3"/>
      <c r="W581" s="3"/>
      <c r="X581" s="3"/>
      <c r="Y581" s="3"/>
      <c r="Z581" s="3"/>
    </row>
    <row r="582" spans="1:26" customFormat="1" ht="12.75" x14ac:dyDescent="0.2">
      <c r="A582" s="246"/>
      <c r="B582" s="3"/>
      <c r="C582" s="802"/>
      <c r="D582" s="383">
        <v>0.15</v>
      </c>
      <c r="E582" s="630">
        <v>168093220.4242467</v>
      </c>
      <c r="F582" s="631">
        <v>159524005.82372552</v>
      </c>
      <c r="G582" s="631">
        <v>156667600.9568854</v>
      </c>
      <c r="H582" s="632">
        <v>153811196.09004515</v>
      </c>
      <c r="I582" s="631">
        <v>150954791.2232044</v>
      </c>
      <c r="J582" s="631">
        <v>148098386.35636398</v>
      </c>
      <c r="K582" s="631">
        <v>145241981.48952383</v>
      </c>
      <c r="L582" s="631">
        <v>142385576.62268344</v>
      </c>
      <c r="M582" s="613">
        <v>139529171.75584289</v>
      </c>
      <c r="N582" s="3"/>
      <c r="O582" s="3"/>
      <c r="P582" s="3"/>
      <c r="Q582" s="3"/>
      <c r="R582" s="3"/>
      <c r="S582" s="3"/>
      <c r="T582" s="3"/>
      <c r="U582" s="3"/>
      <c r="V582" s="3"/>
      <c r="W582" s="3"/>
      <c r="X582" s="3"/>
      <c r="Y582" s="3"/>
      <c r="Z582" s="3"/>
    </row>
    <row r="583" spans="1:26" customFormat="1" ht="12.75" x14ac:dyDescent="0.2">
      <c r="A583" s="246"/>
      <c r="B583" s="3"/>
      <c r="C583" s="802"/>
      <c r="D583" s="383">
        <v>0.2</v>
      </c>
      <c r="E583" s="630">
        <v>188669321.04505861</v>
      </c>
      <c r="F583" s="631">
        <v>180100106.44453737</v>
      </c>
      <c r="G583" s="631">
        <v>177243701.57769722</v>
      </c>
      <c r="H583" s="632">
        <v>174387296.71085703</v>
      </c>
      <c r="I583" s="631">
        <v>171530891.84401625</v>
      </c>
      <c r="J583" s="631">
        <v>168674486.97717586</v>
      </c>
      <c r="K583" s="631">
        <v>165818082.11033571</v>
      </c>
      <c r="L583" s="631">
        <v>162961677.24349532</v>
      </c>
      <c r="M583" s="613">
        <v>160105272.37665474</v>
      </c>
      <c r="N583" s="3"/>
      <c r="O583" s="3"/>
      <c r="P583" s="3"/>
      <c r="Q583" s="3"/>
      <c r="R583" s="3"/>
      <c r="S583" s="3"/>
      <c r="T583" s="3"/>
      <c r="U583" s="3"/>
      <c r="V583" s="3"/>
      <c r="W583" s="3"/>
      <c r="X583" s="3"/>
      <c r="Y583" s="3"/>
      <c r="Z583" s="3"/>
    </row>
    <row r="584" spans="1:26" customFormat="1" ht="12.75" x14ac:dyDescent="0.2">
      <c r="A584" s="246"/>
      <c r="B584" s="3"/>
      <c r="C584" s="860"/>
      <c r="D584" s="388">
        <v>0.25</v>
      </c>
      <c r="E584" s="636">
        <v>209245421.66587055</v>
      </c>
      <c r="F584" s="637">
        <v>200676207.0653494</v>
      </c>
      <c r="G584" s="637">
        <v>197819802.19850928</v>
      </c>
      <c r="H584" s="638">
        <v>194963397.331669</v>
      </c>
      <c r="I584" s="637">
        <v>192106992.46482831</v>
      </c>
      <c r="J584" s="637">
        <v>189250587.59798786</v>
      </c>
      <c r="K584" s="637">
        <v>186394182.73114768</v>
      </c>
      <c r="L584" s="637">
        <v>183537777.86430725</v>
      </c>
      <c r="M584" s="619">
        <v>180681372.99746674</v>
      </c>
      <c r="N584" s="3"/>
      <c r="O584" s="3"/>
      <c r="P584" s="3"/>
      <c r="Q584" s="3"/>
      <c r="R584" s="3"/>
      <c r="S584" s="3"/>
      <c r="T584" s="3"/>
      <c r="U584" s="3"/>
      <c r="V584" s="3"/>
      <c r="W584" s="3"/>
      <c r="X584" s="3"/>
      <c r="Y584" s="3"/>
      <c r="Z584" s="3"/>
    </row>
    <row r="585" spans="1:26" customFormat="1" ht="12.75" x14ac:dyDescent="0.2">
      <c r="A585" s="246"/>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customFormat="1" ht="25.5" x14ac:dyDescent="0.2">
      <c r="A586" s="246"/>
      <c r="B586" s="3"/>
      <c r="C586" s="359"/>
      <c r="D586" s="359" t="s">
        <v>812</v>
      </c>
      <c r="E586" s="644" t="s">
        <v>993</v>
      </c>
      <c r="F586" s="639"/>
      <c r="G586" s="640"/>
      <c r="H586" s="643"/>
      <c r="I586" s="639"/>
      <c r="J586" s="639"/>
      <c r="K586" s="639"/>
      <c r="L586" s="639"/>
      <c r="M586" s="641"/>
      <c r="N586" s="3"/>
      <c r="O586" s="3"/>
      <c r="P586" s="3"/>
      <c r="Q586" s="3"/>
      <c r="R586" s="3"/>
      <c r="S586" s="3"/>
      <c r="T586" s="3"/>
      <c r="U586" s="3"/>
      <c r="V586" s="3"/>
      <c r="W586" s="3"/>
      <c r="X586" s="3"/>
      <c r="Y586" s="3"/>
      <c r="Z586" s="3"/>
    </row>
    <row r="587" spans="1:26" customFormat="1" ht="12.75" x14ac:dyDescent="0.2">
      <c r="A587" s="246"/>
      <c r="B587" s="3"/>
      <c r="C587" s="364"/>
      <c r="D587" s="363">
        <f>$F$456</f>
        <v>92082894.227609545</v>
      </c>
      <c r="E587" s="655">
        <v>1.5</v>
      </c>
      <c r="F587" s="652">
        <v>1.75</v>
      </c>
      <c r="G587" s="653">
        <v>2</v>
      </c>
      <c r="H587" s="654">
        <v>2.4</v>
      </c>
      <c r="I587" s="652">
        <v>2.75</v>
      </c>
      <c r="J587" s="652">
        <v>3</v>
      </c>
      <c r="K587" s="650">
        <v>3.5</v>
      </c>
      <c r="L587" s="650">
        <v>4</v>
      </c>
      <c r="M587" s="651">
        <v>5</v>
      </c>
      <c r="N587" s="3"/>
      <c r="O587" s="3"/>
      <c r="P587" s="3"/>
      <c r="Q587" s="3"/>
      <c r="R587" s="3"/>
      <c r="S587" s="3"/>
      <c r="T587" s="3"/>
      <c r="U587" s="3"/>
      <c r="V587" s="3"/>
      <c r="W587" s="3"/>
      <c r="X587" s="3"/>
      <c r="Y587" s="3"/>
      <c r="Z587" s="3"/>
    </row>
    <row r="588" spans="1:26" customFormat="1" ht="12.75" x14ac:dyDescent="0.2">
      <c r="A588" s="246"/>
      <c r="B588" s="3"/>
      <c r="C588" s="857"/>
      <c r="D588" s="382">
        <v>-0.15</v>
      </c>
      <c r="E588" s="627">
        <f t="dataTable" ref="E588:M596" dt2D="1" dtr="1" r1="J34" r2="J85" ca="1"/>
        <v>65065654.20337411</v>
      </c>
      <c r="F588" s="628">
        <v>54244263.146379322</v>
      </c>
      <c r="G588" s="628">
        <v>44511576.183482297</v>
      </c>
      <c r="H588" s="629">
        <v>30354592.365173645</v>
      </c>
      <c r="I588" s="628">
        <v>18876546.875473805</v>
      </c>
      <c r="J588" s="628">
        <v>11024348.802380886</v>
      </c>
      <c r="K588" s="628">
        <v>-4086208.7470229641</v>
      </c>
      <c r="L588" s="628">
        <v>-17296627.65699761</v>
      </c>
      <c r="M588" s="621">
        <v>-88727454.962590829</v>
      </c>
      <c r="N588" s="3"/>
      <c r="O588" s="3"/>
      <c r="P588" s="3"/>
      <c r="Q588" s="3"/>
      <c r="R588" s="3"/>
      <c r="S588" s="3"/>
      <c r="T588" s="3"/>
      <c r="U588" s="3"/>
      <c r="V588" s="3"/>
      <c r="W588" s="3"/>
      <c r="X588" s="3"/>
      <c r="Y588" s="3"/>
      <c r="Z588" s="3"/>
    </row>
    <row r="589" spans="1:26" customFormat="1" ht="12.75" x14ac:dyDescent="0.2">
      <c r="A589" s="246"/>
      <c r="B589" s="3"/>
      <c r="C589" s="802"/>
      <c r="D589" s="383">
        <v>-0.1</v>
      </c>
      <c r="E589" s="630">
        <v>41667055.521036223</v>
      </c>
      <c r="F589" s="631">
        <v>43060858.714916497</v>
      </c>
      <c r="G589" s="631">
        <v>45543366.00289423</v>
      </c>
      <c r="H589" s="632">
        <v>50930692.985985495</v>
      </c>
      <c r="I589" s="631">
        <v>56553919.447510839</v>
      </c>
      <c r="J589" s="631">
        <v>60916915.625292704</v>
      </c>
      <c r="K589" s="631">
        <v>70236746.577638924</v>
      </c>
      <c r="L589" s="631">
        <v>79967750.774241433</v>
      </c>
      <c r="M589" s="613">
        <v>19881760.793583721</v>
      </c>
      <c r="N589" s="3"/>
      <c r="O589" s="3"/>
      <c r="P589" s="3"/>
      <c r="Q589" s="3"/>
      <c r="R589" s="3"/>
      <c r="S589" s="3"/>
      <c r="T589" s="3"/>
      <c r="U589" s="3"/>
      <c r="V589" s="3"/>
      <c r="W589" s="3"/>
      <c r="X589" s="3"/>
      <c r="Y589" s="3"/>
      <c r="Z589" s="3"/>
    </row>
    <row r="590" spans="1:26" customFormat="1" ht="12.75" x14ac:dyDescent="0.2">
      <c r="A590" s="246"/>
      <c r="B590" s="3"/>
      <c r="C590" s="802"/>
      <c r="D590" s="384">
        <v>-0.05</v>
      </c>
      <c r="E590" s="633">
        <v>18268456.838698551</v>
      </c>
      <c r="F590" s="634">
        <v>31877454.283453535</v>
      </c>
      <c r="G590" s="634">
        <v>46575155.822306454</v>
      </c>
      <c r="H590" s="632">
        <v>71506793.606797442</v>
      </c>
      <c r="I590" s="634">
        <v>94231292.019547373</v>
      </c>
      <c r="J590" s="634">
        <v>110809482.44820467</v>
      </c>
      <c r="K590" s="634">
        <v>144559701.90230036</v>
      </c>
      <c r="L590" s="634">
        <v>177232129.20548087</v>
      </c>
      <c r="M590" s="615">
        <v>128490976.54975876</v>
      </c>
      <c r="N590" s="3"/>
      <c r="O590" s="3"/>
      <c r="P590" s="3"/>
      <c r="Q590" s="3"/>
      <c r="R590" s="3"/>
      <c r="S590" s="3"/>
      <c r="T590" s="3"/>
      <c r="U590" s="3"/>
      <c r="V590" s="3"/>
      <c r="W590" s="3"/>
      <c r="X590" s="3"/>
      <c r="Y590" s="3"/>
      <c r="Z590" s="3"/>
    </row>
    <row r="591" spans="1:26" customFormat="1" ht="12.75" x14ac:dyDescent="0.2">
      <c r="A591" s="246"/>
      <c r="B591" s="3"/>
      <c r="C591" s="802"/>
      <c r="D591" s="608">
        <v>0</v>
      </c>
      <c r="E591" s="635">
        <v>-5130141.8436394269</v>
      </c>
      <c r="F591" s="632">
        <v>20694049.851990562</v>
      </c>
      <c r="G591" s="632">
        <v>47606945.64171835</v>
      </c>
      <c r="H591" s="632">
        <v>92082894.227609545</v>
      </c>
      <c r="I591" s="632">
        <v>131908664.59158427</v>
      </c>
      <c r="J591" s="632">
        <v>160702049.27111629</v>
      </c>
      <c r="K591" s="632">
        <v>218882657.22696203</v>
      </c>
      <c r="L591" s="632">
        <v>274496507.63671994</v>
      </c>
      <c r="M591" s="617">
        <v>237100192.30593342</v>
      </c>
      <c r="N591" s="3"/>
      <c r="O591" s="3"/>
      <c r="P591" s="3"/>
      <c r="Q591" s="3"/>
      <c r="R591" s="3"/>
      <c r="S591" s="3"/>
      <c r="T591" s="3"/>
      <c r="U591" s="3"/>
      <c r="V591" s="3"/>
      <c r="W591" s="3"/>
      <c r="X591" s="3"/>
      <c r="Y591" s="3"/>
      <c r="Z591" s="3"/>
    </row>
    <row r="592" spans="1:26" customFormat="1" ht="12.75" x14ac:dyDescent="0.2">
      <c r="A592" s="246"/>
      <c r="B592" s="3"/>
      <c r="C592" s="858" t="s">
        <v>992</v>
      </c>
      <c r="D592" s="383">
        <v>0.05</v>
      </c>
      <c r="E592" s="630">
        <v>-28528740.525977246</v>
      </c>
      <c r="F592" s="631">
        <v>9510645.4205276947</v>
      </c>
      <c r="G592" s="631">
        <v>48638735.461130433</v>
      </c>
      <c r="H592" s="632">
        <v>112658994.8484215</v>
      </c>
      <c r="I592" s="631">
        <v>169586037.16362119</v>
      </c>
      <c r="J592" s="631">
        <v>210594616.09402826</v>
      </c>
      <c r="K592" s="631">
        <v>293205612.55162388</v>
      </c>
      <c r="L592" s="631">
        <v>371760886.06795955</v>
      </c>
      <c r="M592" s="613">
        <v>345709408.06210852</v>
      </c>
      <c r="N592" s="3"/>
      <c r="O592" s="3"/>
      <c r="P592" s="3"/>
      <c r="Q592" s="3"/>
      <c r="R592" s="3"/>
      <c r="S592" s="3"/>
      <c r="T592" s="3"/>
      <c r="U592" s="3"/>
      <c r="V592" s="3"/>
      <c r="W592" s="3"/>
      <c r="X592" s="3"/>
      <c r="Y592" s="3"/>
      <c r="Z592" s="3"/>
    </row>
    <row r="593" spans="1:26" customFormat="1" ht="12.75" x14ac:dyDescent="0.2">
      <c r="A593" s="246"/>
      <c r="B593" s="3"/>
      <c r="C593" s="859" t="s">
        <v>944</v>
      </c>
      <c r="D593" s="383">
        <v>0.1</v>
      </c>
      <c r="E593" s="630">
        <v>-51927339.208315291</v>
      </c>
      <c r="F593" s="631">
        <v>-1672759.0109352574</v>
      </c>
      <c r="G593" s="631">
        <v>49670525.280542269</v>
      </c>
      <c r="H593" s="632">
        <v>133235095.46923299</v>
      </c>
      <c r="I593" s="631">
        <v>207263409.73565793</v>
      </c>
      <c r="J593" s="631">
        <v>260487182.91693982</v>
      </c>
      <c r="K593" s="631">
        <v>367528567.87628555</v>
      </c>
      <c r="L593" s="631">
        <v>469025264.49919868</v>
      </c>
      <c r="M593" s="613">
        <v>454318623.81828332</v>
      </c>
      <c r="N593" s="3"/>
      <c r="O593" s="3"/>
      <c r="P593" s="3"/>
      <c r="Q593" s="3"/>
      <c r="R593" s="3"/>
      <c r="S593" s="3"/>
      <c r="T593" s="3"/>
      <c r="U593" s="3"/>
      <c r="V593" s="3"/>
      <c r="W593" s="3"/>
      <c r="X593" s="3"/>
      <c r="Y593" s="3"/>
      <c r="Z593" s="3"/>
    </row>
    <row r="594" spans="1:26" customFormat="1" ht="12.75" x14ac:dyDescent="0.2">
      <c r="A594" s="246"/>
      <c r="B594" s="3"/>
      <c r="C594" s="802"/>
      <c r="D594" s="383">
        <v>0.15</v>
      </c>
      <c r="E594" s="630">
        <v>-75325937.890652925</v>
      </c>
      <c r="F594" s="631">
        <v>-12856163.442398252</v>
      </c>
      <c r="G594" s="631">
        <v>50702315.099954419</v>
      </c>
      <c r="H594" s="632">
        <v>153811196.09004515</v>
      </c>
      <c r="I594" s="631">
        <v>244940782.30769458</v>
      </c>
      <c r="J594" s="631">
        <v>310379749.73985159</v>
      </c>
      <c r="K594" s="631">
        <v>441851523.20094675</v>
      </c>
      <c r="L594" s="631">
        <v>566289642.93043733</v>
      </c>
      <c r="M594" s="613">
        <v>562927839.57445681</v>
      </c>
      <c r="N594" s="3"/>
      <c r="O594" s="3"/>
      <c r="P594" s="3"/>
      <c r="Q594" s="3"/>
      <c r="R594" s="3"/>
      <c r="S594" s="3"/>
      <c r="T594" s="3"/>
      <c r="U594" s="3"/>
      <c r="V594" s="3"/>
      <c r="W594" s="3"/>
      <c r="X594" s="3"/>
      <c r="Y594" s="3"/>
      <c r="Z594" s="3"/>
    </row>
    <row r="595" spans="1:26" customFormat="1" ht="12.75" x14ac:dyDescent="0.2">
      <c r="A595" s="246"/>
      <c r="B595" s="3"/>
      <c r="C595" s="802"/>
      <c r="D595" s="383">
        <v>0.2</v>
      </c>
      <c r="E595" s="630">
        <v>-98724536.572990865</v>
      </c>
      <c r="F595" s="631">
        <v>-24039567.873861045</v>
      </c>
      <c r="G595" s="631">
        <v>51734104.919366561</v>
      </c>
      <c r="H595" s="632">
        <v>174387296.71085703</v>
      </c>
      <c r="I595" s="631">
        <v>282618154.87973148</v>
      </c>
      <c r="J595" s="631">
        <v>360272316.56276333</v>
      </c>
      <c r="K595" s="631">
        <v>516174478.52560872</v>
      </c>
      <c r="L595" s="631">
        <v>663554021.36167705</v>
      </c>
      <c r="M595" s="613">
        <v>671537055.33063233</v>
      </c>
      <c r="N595" s="3"/>
      <c r="O595" s="3"/>
      <c r="P595" s="3"/>
      <c r="Q595" s="3"/>
      <c r="R595" s="3"/>
      <c r="S595" s="3"/>
      <c r="T595" s="3"/>
      <c r="U595" s="3"/>
      <c r="V595" s="3"/>
      <c r="W595" s="3"/>
      <c r="X595" s="3"/>
      <c r="Y595" s="3"/>
      <c r="Z595" s="3"/>
    </row>
    <row r="596" spans="1:26" customFormat="1" ht="12.75" x14ac:dyDescent="0.2">
      <c r="A596" s="246"/>
      <c r="B596" s="3"/>
      <c r="C596" s="860"/>
      <c r="D596" s="388">
        <v>0.25</v>
      </c>
      <c r="E596" s="636">
        <v>-122123135.25532857</v>
      </c>
      <c r="F596" s="637">
        <v>-35222972.305323809</v>
      </c>
      <c r="G596" s="637">
        <v>52765894.738778621</v>
      </c>
      <c r="H596" s="638">
        <v>194963397.331669</v>
      </c>
      <c r="I596" s="637">
        <v>320295527.4517687</v>
      </c>
      <c r="J596" s="637">
        <v>410164883.38567531</v>
      </c>
      <c r="K596" s="637">
        <v>590497433.85027063</v>
      </c>
      <c r="L596" s="637">
        <v>760818399.79291642</v>
      </c>
      <c r="M596" s="619">
        <v>780146271.08680713</v>
      </c>
      <c r="N596" s="3"/>
      <c r="O596" s="3"/>
      <c r="P596" s="3"/>
      <c r="Q596" s="3"/>
      <c r="R596" s="3"/>
      <c r="S596" s="3"/>
      <c r="T596" s="3"/>
      <c r="U596" s="3"/>
      <c r="V596" s="3"/>
      <c r="W596" s="3"/>
      <c r="X596" s="3"/>
      <c r="Y596" s="3"/>
      <c r="Z596" s="3"/>
    </row>
    <row r="597" spans="1:26" ht="12.75" x14ac:dyDescent="0.2">
      <c r="A597" s="122"/>
      <c r="B597" s="122"/>
      <c r="C597" s="122"/>
      <c r="D597" s="122"/>
      <c r="E597" s="122"/>
      <c r="F597" s="122"/>
      <c r="G597" s="122"/>
      <c r="H597" s="122"/>
      <c r="I597" s="122"/>
      <c r="J597" s="122"/>
      <c r="K597" s="122"/>
      <c r="L597" s="122"/>
      <c r="M597" s="122"/>
      <c r="N597" s="122"/>
      <c r="O597" s="122"/>
      <c r="P597" s="122"/>
      <c r="Q597" s="122"/>
      <c r="R597" s="122"/>
      <c r="S597" s="122"/>
      <c r="T597" s="173"/>
      <c r="U597" s="173"/>
      <c r="V597" s="173"/>
      <c r="W597" s="173"/>
      <c r="X597" s="173"/>
      <c r="Y597" s="173"/>
      <c r="Z597" s="173"/>
    </row>
    <row r="598" spans="1:26" ht="25.5" x14ac:dyDescent="0.2">
      <c r="A598" s="122"/>
      <c r="B598" s="122"/>
      <c r="C598" s="359"/>
      <c r="D598" s="359" t="s">
        <v>812</v>
      </c>
      <c r="E598" s="644" t="s">
        <v>993</v>
      </c>
      <c r="F598" s="639"/>
      <c r="G598" s="640"/>
      <c r="H598" s="643"/>
      <c r="I598" s="639"/>
      <c r="J598" s="639"/>
      <c r="K598" s="639"/>
      <c r="L598" s="639"/>
      <c r="M598" s="641"/>
      <c r="N598" s="122"/>
      <c r="O598" s="122"/>
      <c r="P598" s="122"/>
      <c r="Q598" s="122"/>
      <c r="R598" s="122"/>
      <c r="S598" s="122"/>
      <c r="T598" s="173"/>
      <c r="U598" s="173"/>
      <c r="V598" s="173"/>
      <c r="W598" s="173"/>
      <c r="X598" s="173"/>
      <c r="Y598" s="173"/>
      <c r="Z598" s="173"/>
    </row>
    <row r="599" spans="1:26" ht="12.75" x14ac:dyDescent="0.2">
      <c r="A599" s="122"/>
      <c r="B599" s="122"/>
      <c r="C599" s="364"/>
      <c r="D599" s="363">
        <f>$F$456</f>
        <v>92082894.227609545</v>
      </c>
      <c r="E599" s="655">
        <v>1.5</v>
      </c>
      <c r="F599" s="652">
        <v>1.75</v>
      </c>
      <c r="G599" s="653">
        <v>2</v>
      </c>
      <c r="H599" s="654">
        <v>2.4</v>
      </c>
      <c r="I599" s="652">
        <v>2.75</v>
      </c>
      <c r="J599" s="652">
        <v>3</v>
      </c>
      <c r="K599" s="650">
        <v>3.5</v>
      </c>
      <c r="L599" s="650">
        <v>4</v>
      </c>
      <c r="M599" s="651">
        <v>5</v>
      </c>
      <c r="N599" s="122"/>
      <c r="O599" s="122"/>
      <c r="P599" s="122"/>
      <c r="Q599" s="122"/>
      <c r="R599" s="122"/>
      <c r="S599" s="122"/>
      <c r="T599" s="173"/>
      <c r="U599" s="173"/>
      <c r="V599" s="173"/>
      <c r="W599" s="173"/>
      <c r="X599" s="173"/>
      <c r="Y599" s="173"/>
      <c r="Z599" s="173"/>
    </row>
    <row r="600" spans="1:26" ht="12.75" x14ac:dyDescent="0.2">
      <c r="A600" s="122"/>
      <c r="B600" s="122"/>
      <c r="C600" s="857"/>
      <c r="D600" s="712">
        <v>0.9</v>
      </c>
      <c r="E600" s="627">
        <f t="dataTable" ref="E600:M605" dt2D="1" dtr="1" r1="J34" r2="J38" ca="1"/>
        <v>316057173.57457805</v>
      </c>
      <c r="F600" s="628">
        <v>395412584.50657767</v>
      </c>
      <c r="G600" s="628">
        <v>475856699.53267479</v>
      </c>
      <c r="H600" s="629">
        <v>605982598.89675701</v>
      </c>
      <c r="I600" s="628">
        <v>720752076.19164932</v>
      </c>
      <c r="J600" s="628">
        <v>803076680.10755134</v>
      </c>
      <c r="K600" s="628">
        <v>968319726.53613639</v>
      </c>
      <c r="L600" s="628">
        <v>1124470852.4644191</v>
      </c>
      <c r="M600" s="621">
        <v>1155187086.9956665</v>
      </c>
      <c r="N600" s="122"/>
      <c r="O600" s="122"/>
      <c r="P600" s="122"/>
      <c r="Q600" s="122"/>
      <c r="R600" s="122"/>
      <c r="S600" s="122"/>
      <c r="T600" s="173"/>
      <c r="U600" s="173"/>
      <c r="V600" s="173"/>
      <c r="W600" s="173"/>
      <c r="X600" s="173"/>
      <c r="Y600" s="173"/>
      <c r="Z600" s="173"/>
    </row>
    <row r="601" spans="1:26" ht="12.75" x14ac:dyDescent="0.2">
      <c r="A601" s="122"/>
      <c r="B601" s="122"/>
      <c r="C601" s="802"/>
      <c r="D601" s="713">
        <v>1</v>
      </c>
      <c r="E601" s="630">
        <v>208994735.10183892</v>
      </c>
      <c r="F601" s="631">
        <v>270506406.28838205</v>
      </c>
      <c r="G601" s="631">
        <v>333106781.56902266</v>
      </c>
      <c r="H601" s="632">
        <v>434682697.34037459</v>
      </c>
      <c r="I601" s="631">
        <v>524470938.99162775</v>
      </c>
      <c r="J601" s="631">
        <v>588951803.16207302</v>
      </c>
      <c r="K601" s="631">
        <v>718507370.09974504</v>
      </c>
      <c r="L601" s="631">
        <v>841146070.8551861</v>
      </c>
      <c r="M601" s="613">
        <v>849158122.09908879</v>
      </c>
      <c r="N601" s="122"/>
      <c r="O601" s="122"/>
      <c r="P601" s="122"/>
      <c r="Q601" s="122"/>
      <c r="R601" s="122"/>
      <c r="S601" s="122"/>
      <c r="T601" s="173"/>
      <c r="U601" s="173"/>
      <c r="V601" s="173"/>
      <c r="W601" s="173"/>
      <c r="X601" s="173"/>
      <c r="Y601" s="173"/>
      <c r="Z601" s="173"/>
    </row>
    <row r="602" spans="1:26" ht="12.75" x14ac:dyDescent="0.2">
      <c r="A602" s="122"/>
      <c r="B602" s="122"/>
      <c r="C602" s="802"/>
      <c r="D602" s="714">
        <v>1.1000000000000001</v>
      </c>
      <c r="E602" s="633">
        <v>101932296.62909962</v>
      </c>
      <c r="F602" s="634">
        <v>145600228.07018617</v>
      </c>
      <c r="G602" s="634">
        <v>190356863.60537022</v>
      </c>
      <c r="H602" s="632">
        <v>263382795.78399175</v>
      </c>
      <c r="I602" s="634">
        <v>328189801.79160607</v>
      </c>
      <c r="J602" s="634">
        <v>374826926.21659464</v>
      </c>
      <c r="K602" s="634">
        <v>468695013.6633532</v>
      </c>
      <c r="L602" s="634">
        <v>557821289.24595261</v>
      </c>
      <c r="M602" s="615">
        <v>543129157.20251071</v>
      </c>
      <c r="N602" s="122"/>
      <c r="O602" s="122"/>
      <c r="P602" s="122"/>
      <c r="Q602" s="122"/>
      <c r="R602" s="122"/>
      <c r="S602" s="122"/>
      <c r="T602" s="173"/>
      <c r="U602" s="173"/>
      <c r="V602" s="173"/>
      <c r="W602" s="173"/>
      <c r="X602" s="173"/>
      <c r="Y602" s="173"/>
      <c r="Z602" s="173"/>
    </row>
    <row r="603" spans="1:26" ht="12.75" x14ac:dyDescent="0.2">
      <c r="A603" s="122"/>
      <c r="B603" s="122"/>
      <c r="C603" s="802"/>
      <c r="D603" s="715">
        <v>1.2</v>
      </c>
      <c r="E603" s="635">
        <v>-5130141.8436394269</v>
      </c>
      <c r="F603" s="632">
        <v>20694049.851990562</v>
      </c>
      <c r="G603" s="632">
        <v>47606945.64171835</v>
      </c>
      <c r="H603" s="632">
        <v>92082894.227609545</v>
      </c>
      <c r="I603" s="632">
        <v>131908664.59158427</v>
      </c>
      <c r="J603" s="632">
        <v>160702049.27111629</v>
      </c>
      <c r="K603" s="632">
        <v>218882657.22696203</v>
      </c>
      <c r="L603" s="632">
        <v>274496507.63671994</v>
      </c>
      <c r="M603" s="617">
        <v>237100192.30593342</v>
      </c>
      <c r="N603" s="122"/>
      <c r="O603" s="122"/>
      <c r="P603" s="122"/>
      <c r="Q603" s="122"/>
      <c r="R603" s="122"/>
      <c r="S603" s="122"/>
      <c r="T603" s="173"/>
      <c r="U603" s="173"/>
      <c r="V603" s="173"/>
      <c r="W603" s="173"/>
      <c r="X603" s="173"/>
      <c r="Y603" s="173"/>
      <c r="Z603" s="173"/>
    </row>
    <row r="604" spans="1:26" ht="38.25" x14ac:dyDescent="0.2">
      <c r="A604" s="122"/>
      <c r="B604" s="122"/>
      <c r="C604" s="858" t="s">
        <v>994</v>
      </c>
      <c r="D604" s="713">
        <v>1.3</v>
      </c>
      <c r="E604" s="630">
        <v>-112192580.31637864</v>
      </c>
      <c r="F604" s="631">
        <v>-104212128.36620501</v>
      </c>
      <c r="G604" s="631">
        <v>-95142972.321934178</v>
      </c>
      <c r="H604" s="632">
        <v>-79217007.328773484</v>
      </c>
      <c r="I604" s="631">
        <v>-64372472.608438194</v>
      </c>
      <c r="J604" s="631">
        <v>-53422827.674361937</v>
      </c>
      <c r="K604" s="631">
        <v>-30929699.209429245</v>
      </c>
      <c r="L604" s="631">
        <v>-8828273.9725140445</v>
      </c>
      <c r="M604" s="613">
        <v>-68928772.590645522</v>
      </c>
      <c r="N604" s="122"/>
      <c r="O604" s="122"/>
      <c r="P604" s="122"/>
      <c r="Q604" s="122"/>
      <c r="R604" s="122"/>
      <c r="S604" s="122"/>
      <c r="T604" s="173"/>
      <c r="U604" s="173"/>
      <c r="V604" s="173"/>
      <c r="W604" s="173"/>
      <c r="X604" s="173"/>
      <c r="Y604" s="173"/>
      <c r="Z604" s="173"/>
    </row>
    <row r="605" spans="1:26" ht="12.75" x14ac:dyDescent="0.2">
      <c r="A605" s="122"/>
      <c r="B605" s="122"/>
      <c r="C605" s="869"/>
      <c r="D605" s="716">
        <v>1.4</v>
      </c>
      <c r="E605" s="636">
        <v>-219255018.78911775</v>
      </c>
      <c r="F605" s="637">
        <v>-229118306.58440045</v>
      </c>
      <c r="G605" s="637">
        <v>-237892890.28558597</v>
      </c>
      <c r="H605" s="638">
        <v>-250516908.88515565</v>
      </c>
      <c r="I605" s="637">
        <v>-260653609.80845937</v>
      </c>
      <c r="J605" s="637">
        <v>-267547704.61984009</v>
      </c>
      <c r="K605" s="637">
        <v>-280742055.64582008</v>
      </c>
      <c r="L605" s="637">
        <v>-292153055.58174676</v>
      </c>
      <c r="M605" s="619">
        <v>-374957737.48722321</v>
      </c>
      <c r="N605" s="122"/>
      <c r="O605" s="122"/>
      <c r="P605" s="122"/>
      <c r="Q605" s="122"/>
      <c r="R605" s="122"/>
      <c r="S605" s="122"/>
      <c r="T605" s="173"/>
      <c r="U605" s="173"/>
      <c r="V605" s="173"/>
      <c r="W605" s="173"/>
      <c r="X605" s="173"/>
      <c r="Y605" s="173"/>
      <c r="Z605" s="173"/>
    </row>
    <row r="606" spans="1:26" ht="12.75" x14ac:dyDescent="0.2">
      <c r="A606" s="122"/>
      <c r="B606" s="122"/>
      <c r="C606" s="122"/>
      <c r="D606" s="122"/>
      <c r="E606" s="122"/>
      <c r="F606" s="122"/>
      <c r="G606" s="122"/>
      <c r="H606" s="122"/>
      <c r="I606" s="122"/>
      <c r="J606" s="122"/>
      <c r="K606" s="122"/>
      <c r="L606" s="122"/>
      <c r="M606" s="122"/>
      <c r="N606" s="122"/>
      <c r="O606" s="122"/>
      <c r="P606" s="122"/>
      <c r="Q606" s="122"/>
      <c r="R606" s="122"/>
      <c r="S606" s="122"/>
      <c r="T606" s="173"/>
      <c r="U606" s="173"/>
      <c r="V606" s="173"/>
      <c r="W606" s="173"/>
      <c r="X606" s="173"/>
      <c r="Y606" s="173"/>
      <c r="Z606" s="173"/>
    </row>
    <row r="607" spans="1:26" ht="25.5" x14ac:dyDescent="0.2">
      <c r="A607" s="122"/>
      <c r="B607" s="122"/>
      <c r="C607" s="359"/>
      <c r="D607" s="359" t="s">
        <v>812</v>
      </c>
      <c r="E607" s="644" t="s">
        <v>995</v>
      </c>
      <c r="F607" s="639"/>
      <c r="G607" s="640"/>
      <c r="H607" s="643"/>
      <c r="I607" s="639"/>
      <c r="J607" s="639"/>
      <c r="K607" s="641"/>
      <c r="L607" s="122"/>
      <c r="M607" s="122"/>
      <c r="N607" s="122"/>
      <c r="O607" s="122"/>
      <c r="P607" s="122"/>
      <c r="Q607" s="122"/>
      <c r="R607" s="173"/>
      <c r="S607" s="173"/>
      <c r="T607" s="173"/>
      <c r="U607" s="173"/>
      <c r="V607" s="173"/>
      <c r="W607" s="173"/>
      <c r="X607" s="173"/>
    </row>
    <row r="608" spans="1:26" ht="12.75" x14ac:dyDescent="0.2">
      <c r="A608" s="122"/>
      <c r="B608" s="122"/>
      <c r="C608" s="364"/>
      <c r="D608" s="363">
        <f>$F$456</f>
        <v>92082894.227609545</v>
      </c>
      <c r="E608" s="774">
        <v>1500</v>
      </c>
      <c r="F608" s="775">
        <v>1650</v>
      </c>
      <c r="G608" s="776">
        <v>1800</v>
      </c>
      <c r="H608" s="777">
        <v>1920</v>
      </c>
      <c r="I608" s="775">
        <v>2000</v>
      </c>
      <c r="J608" s="775">
        <v>2100</v>
      </c>
      <c r="K608" s="778">
        <v>2200</v>
      </c>
      <c r="L608" s="122"/>
      <c r="M608" s="122"/>
      <c r="N608" s="122"/>
      <c r="O608" s="122"/>
      <c r="P608" s="122"/>
      <c r="Q608" s="122"/>
      <c r="R608" s="173"/>
      <c r="S608" s="173"/>
      <c r="T608" s="173"/>
      <c r="U608" s="173"/>
      <c r="V608" s="173"/>
      <c r="W608" s="173"/>
      <c r="X608" s="173"/>
    </row>
    <row r="609" spans="1:26" ht="12.75" x14ac:dyDescent="0.2">
      <c r="A609" s="122"/>
      <c r="B609" s="122"/>
      <c r="C609" s="857"/>
      <c r="D609" s="712">
        <v>0.9</v>
      </c>
      <c r="E609" s="627">
        <f t="dataTable" ref="E609:K614" dt2D="1" dtr="1" r1="J65" r2="J38" ca="1"/>
        <v>558875125.96875179</v>
      </c>
      <c r="F609" s="628">
        <v>441106443.64873874</v>
      </c>
      <c r="G609" s="628">
        <v>323337761.32872564</v>
      </c>
      <c r="H609" s="629">
        <v>229122815.47271526</v>
      </c>
      <c r="I609" s="628">
        <v>166312851.56870812</v>
      </c>
      <c r="J609" s="628">
        <v>87800396.688699514</v>
      </c>
      <c r="K609" s="621">
        <v>9287941.8086907007</v>
      </c>
      <c r="L609" s="122"/>
      <c r="M609" s="122"/>
      <c r="N609" s="122"/>
      <c r="O609" s="122"/>
      <c r="P609" s="122"/>
      <c r="Q609" s="122"/>
      <c r="R609" s="173"/>
      <c r="S609" s="173"/>
      <c r="T609" s="173"/>
      <c r="U609" s="173"/>
      <c r="V609" s="173"/>
      <c r="W609" s="173"/>
      <c r="X609" s="173"/>
    </row>
    <row r="610" spans="1:26" ht="12.75" x14ac:dyDescent="0.2">
      <c r="A610" s="122"/>
      <c r="B610" s="122"/>
      <c r="C610" s="802"/>
      <c r="D610" s="713">
        <v>1</v>
      </c>
      <c r="E610" s="630">
        <v>513195152.22038329</v>
      </c>
      <c r="F610" s="631">
        <v>395426469.90037012</v>
      </c>
      <c r="G610" s="631">
        <v>277657787.58035707</v>
      </c>
      <c r="H610" s="632">
        <v>183442841.72434667</v>
      </c>
      <c r="I610" s="631">
        <v>120632877.82033955</v>
      </c>
      <c r="J610" s="631">
        <v>42120422.940330893</v>
      </c>
      <c r="K610" s="613">
        <v>-36392031.939677998</v>
      </c>
      <c r="L610" s="122"/>
      <c r="M610" s="122"/>
      <c r="N610" s="122"/>
      <c r="O610" s="122"/>
      <c r="P610" s="122"/>
      <c r="Q610" s="122"/>
      <c r="R610" s="173"/>
      <c r="S610" s="173"/>
      <c r="T610" s="173"/>
      <c r="U610" s="173"/>
      <c r="V610" s="173"/>
      <c r="W610" s="173"/>
      <c r="X610" s="173"/>
    </row>
    <row r="611" spans="1:26" ht="12.75" x14ac:dyDescent="0.2">
      <c r="A611" s="122"/>
      <c r="B611" s="122"/>
      <c r="C611" s="802"/>
      <c r="D611" s="714">
        <v>1.1000000000000001</v>
      </c>
      <c r="E611" s="633">
        <v>467515178.47201431</v>
      </c>
      <c r="F611" s="634">
        <v>349746496.15200126</v>
      </c>
      <c r="G611" s="634">
        <v>231977813.83198819</v>
      </c>
      <c r="H611" s="632">
        <v>137762867.97597769</v>
      </c>
      <c r="I611" s="634">
        <v>74952904.071970627</v>
      </c>
      <c r="J611" s="634">
        <v>-3559550.8080379721</v>
      </c>
      <c r="K611" s="615">
        <v>-82072005.688046798</v>
      </c>
      <c r="L611" s="122"/>
      <c r="M611" s="122"/>
      <c r="N611" s="122"/>
      <c r="O611" s="122"/>
      <c r="P611" s="122"/>
      <c r="Q611" s="122"/>
      <c r="R611" s="173"/>
      <c r="S611" s="173"/>
      <c r="T611" s="173"/>
      <c r="U611" s="173"/>
      <c r="V611" s="173"/>
      <c r="W611" s="173"/>
      <c r="X611" s="173"/>
    </row>
    <row r="612" spans="1:26" ht="12.75" x14ac:dyDescent="0.2">
      <c r="A612" s="122"/>
      <c r="B612" s="122"/>
      <c r="C612" s="802"/>
      <c r="D612" s="715">
        <v>1.2</v>
      </c>
      <c r="E612" s="635">
        <v>421835204.72364575</v>
      </c>
      <c r="F612" s="632">
        <v>304066522.40363264</v>
      </c>
      <c r="G612" s="632">
        <v>186297840.08361953</v>
      </c>
      <c r="H612" s="632">
        <v>92082894.227609158</v>
      </c>
      <c r="I612" s="632">
        <v>29272930.32360198</v>
      </c>
      <c r="J612" s="632">
        <v>-49239524.556406565</v>
      </c>
      <c r="K612" s="617">
        <v>-127751979.43641537</v>
      </c>
      <c r="L612" s="122"/>
      <c r="M612" s="122"/>
      <c r="N612" s="122"/>
      <c r="O612" s="122"/>
      <c r="P612" s="122"/>
      <c r="Q612" s="122"/>
      <c r="R612" s="173"/>
      <c r="S612" s="173"/>
      <c r="T612" s="173"/>
      <c r="U612" s="173"/>
      <c r="V612" s="173"/>
      <c r="W612" s="173"/>
      <c r="X612" s="173"/>
    </row>
    <row r="613" spans="1:26" ht="38.25" x14ac:dyDescent="0.2">
      <c r="A613" s="122"/>
      <c r="B613" s="122"/>
      <c r="C613" s="858" t="s">
        <v>994</v>
      </c>
      <c r="D613" s="713">
        <v>1.3</v>
      </c>
      <c r="E613" s="630">
        <v>376155230.97527713</v>
      </c>
      <c r="F613" s="631">
        <v>258386548.65526399</v>
      </c>
      <c r="G613" s="631">
        <v>140617866.33525088</v>
      </c>
      <c r="H613" s="632">
        <v>46402920.479240395</v>
      </c>
      <c r="I613" s="631">
        <v>-16407043.424766626</v>
      </c>
      <c r="J613" s="631">
        <v>-94919498.304775178</v>
      </c>
      <c r="K613" s="613">
        <v>-173431953.18478397</v>
      </c>
      <c r="L613" s="122"/>
      <c r="M613" s="122"/>
      <c r="N613" s="122"/>
      <c r="O613" s="122"/>
      <c r="P613" s="122"/>
      <c r="Q613" s="122"/>
      <c r="R613" s="173"/>
      <c r="S613" s="173"/>
      <c r="T613" s="173"/>
      <c r="U613" s="173"/>
      <c r="V613" s="173"/>
      <c r="W613" s="173"/>
      <c r="X613" s="173"/>
    </row>
    <row r="614" spans="1:26" ht="12.75" x14ac:dyDescent="0.2">
      <c r="A614" s="122"/>
      <c r="B614" s="122"/>
      <c r="C614" s="869"/>
      <c r="D614" s="716">
        <v>1.4</v>
      </c>
      <c r="E614" s="636">
        <v>330475257.22690862</v>
      </c>
      <c r="F614" s="637">
        <v>212706574.90689546</v>
      </c>
      <c r="G614" s="637">
        <v>94937892.586882398</v>
      </c>
      <c r="H614" s="638">
        <v>722946.73087198287</v>
      </c>
      <c r="I614" s="637">
        <v>-62087017.173135087</v>
      </c>
      <c r="J614" s="637">
        <v>-140599472.05314362</v>
      </c>
      <c r="K614" s="619">
        <v>-219111926.93315247</v>
      </c>
      <c r="L614" s="122"/>
      <c r="M614" s="122"/>
      <c r="N614" s="122"/>
      <c r="O614" s="122"/>
      <c r="P614" s="122"/>
      <c r="Q614" s="122"/>
      <c r="R614" s="173"/>
      <c r="S614" s="173"/>
      <c r="T614" s="173"/>
      <c r="U614" s="173"/>
      <c r="V614" s="173"/>
      <c r="W614" s="173"/>
      <c r="X614" s="173"/>
    </row>
    <row r="615" spans="1:26" ht="12.75" x14ac:dyDescent="0.2">
      <c r="A615" s="122"/>
      <c r="B615" s="122"/>
      <c r="C615" s="122"/>
      <c r="D615" s="122"/>
      <c r="E615" s="122"/>
      <c r="F615" s="122"/>
      <c r="G615" s="122"/>
      <c r="H615" s="122"/>
      <c r="I615" s="122"/>
      <c r="J615" s="122"/>
      <c r="K615" s="122"/>
      <c r="L615" s="122"/>
      <c r="M615" s="122"/>
      <c r="N615" s="122"/>
      <c r="O615" s="122"/>
      <c r="P615" s="122"/>
      <c r="Q615" s="122"/>
      <c r="R615" s="122"/>
      <c r="S615" s="122"/>
      <c r="T615" s="173"/>
      <c r="U615" s="173"/>
      <c r="V615" s="173"/>
      <c r="W615" s="173"/>
      <c r="X615" s="173"/>
      <c r="Y615" s="173"/>
      <c r="Z615" s="173"/>
    </row>
    <row r="616" spans="1:26" ht="12.75" x14ac:dyDescent="0.2">
      <c r="A616" s="122"/>
      <c r="B616" s="122"/>
      <c r="C616" s="122"/>
      <c r="D616" s="122"/>
      <c r="E616" s="122"/>
      <c r="F616" s="122"/>
      <c r="G616" s="122"/>
      <c r="H616" s="122"/>
      <c r="I616" s="122"/>
      <c r="J616" s="122"/>
      <c r="K616" s="122"/>
      <c r="L616" s="122"/>
      <c r="M616" s="122"/>
      <c r="N616" s="122"/>
      <c r="O616" s="122"/>
      <c r="P616" s="122"/>
      <c r="Q616" s="122"/>
      <c r="R616" s="122"/>
      <c r="S616" s="122"/>
      <c r="T616" s="173"/>
      <c r="U616" s="173"/>
      <c r="V616" s="173"/>
      <c r="W616" s="173"/>
      <c r="X616" s="173"/>
      <c r="Y616" s="173"/>
      <c r="Z616" s="173"/>
    </row>
    <row r="617" spans="1:26" ht="12.75" x14ac:dyDescent="0.2">
      <c r="A617" s="122"/>
      <c r="B617" s="122"/>
      <c r="C617" s="122"/>
      <c r="D617" s="122"/>
      <c r="E617" s="122"/>
      <c r="F617" s="122"/>
      <c r="G617" s="122"/>
      <c r="H617" s="122"/>
      <c r="I617" s="122"/>
      <c r="J617" s="122"/>
      <c r="K617" s="122"/>
      <c r="L617" s="122"/>
      <c r="M617" s="122"/>
      <c r="N617" s="122"/>
      <c r="O617" s="122"/>
      <c r="P617" s="122"/>
      <c r="Q617" s="122"/>
      <c r="R617" s="122"/>
      <c r="S617" s="122"/>
      <c r="T617" s="173"/>
      <c r="U617" s="173"/>
      <c r="V617" s="173"/>
      <c r="W617" s="173"/>
      <c r="X617" s="173"/>
      <c r="Y617" s="173"/>
      <c r="Z617" s="173"/>
    </row>
    <row r="618" spans="1:26" ht="12.75" x14ac:dyDescent="0.2">
      <c r="A618" s="122"/>
      <c r="B618" s="122"/>
      <c r="C618" s="122"/>
      <c r="D618" s="122"/>
      <c r="E618" s="122"/>
      <c r="F618" s="122"/>
      <c r="G618" s="122"/>
      <c r="H618" s="122"/>
      <c r="I618" s="122"/>
      <c r="J618" s="122"/>
      <c r="K618" s="122"/>
      <c r="L618" s="122"/>
      <c r="M618" s="122"/>
      <c r="N618" s="122"/>
      <c r="O618" s="122"/>
      <c r="P618" s="122"/>
      <c r="Q618" s="122"/>
      <c r="R618" s="122"/>
      <c r="S618" s="122"/>
      <c r="T618" s="173"/>
      <c r="U618" s="173"/>
      <c r="V618" s="173"/>
      <c r="W618" s="173"/>
      <c r="X618" s="173"/>
      <c r="Y618" s="173"/>
      <c r="Z618" s="173"/>
    </row>
    <row r="619" spans="1:26" ht="12.75" x14ac:dyDescent="0.2">
      <c r="A619" s="122"/>
      <c r="B619" s="122"/>
      <c r="C619" s="122"/>
      <c r="D619" s="122"/>
      <c r="E619" s="122"/>
      <c r="F619" s="122"/>
      <c r="G619" s="122"/>
      <c r="H619" s="122"/>
      <c r="I619" s="122"/>
      <c r="J619" s="122"/>
      <c r="K619" s="122"/>
      <c r="L619" s="122"/>
      <c r="M619" s="122"/>
      <c r="N619" s="122"/>
      <c r="O619" s="122"/>
      <c r="P619" s="122"/>
      <c r="Q619" s="122"/>
      <c r="R619" s="122"/>
      <c r="S619" s="122"/>
      <c r="T619" s="173"/>
      <c r="U619" s="173"/>
      <c r="V619" s="173"/>
      <c r="W619" s="173"/>
      <c r="X619" s="173"/>
      <c r="Y619" s="173"/>
      <c r="Z619" s="173"/>
    </row>
    <row r="620" spans="1:26" ht="12.75" x14ac:dyDescent="0.2">
      <c r="A620" s="122"/>
      <c r="B620" s="122"/>
      <c r="C620" s="122"/>
      <c r="D620" s="122"/>
      <c r="E620" s="122"/>
      <c r="F620" s="122"/>
      <c r="G620" s="122"/>
      <c r="H620" s="122"/>
      <c r="I620" s="122"/>
      <c r="J620" s="122"/>
      <c r="K620" s="122"/>
      <c r="L620" s="122"/>
      <c r="M620" s="122"/>
      <c r="N620" s="122"/>
      <c r="O620" s="122"/>
      <c r="P620" s="122"/>
      <c r="Q620" s="122"/>
      <c r="R620" s="122"/>
      <c r="S620" s="122"/>
      <c r="T620" s="173"/>
      <c r="U620" s="173"/>
      <c r="V620" s="173"/>
      <c r="W620" s="173"/>
      <c r="X620" s="173"/>
      <c r="Y620" s="173"/>
      <c r="Z620" s="173"/>
    </row>
    <row r="621" spans="1:26" ht="12.75" x14ac:dyDescent="0.2">
      <c r="A621" s="122"/>
      <c r="B621" s="122"/>
      <c r="C621" s="122"/>
      <c r="D621" s="122"/>
      <c r="E621" s="122"/>
      <c r="F621" s="122"/>
      <c r="G621" s="122"/>
      <c r="H621" s="122"/>
      <c r="I621" s="122"/>
      <c r="J621" s="122"/>
      <c r="K621" s="122"/>
      <c r="L621" s="122"/>
      <c r="M621" s="122"/>
      <c r="N621" s="122"/>
      <c r="O621" s="122"/>
      <c r="P621" s="122"/>
      <c r="Q621" s="122"/>
      <c r="R621" s="122"/>
      <c r="S621" s="122"/>
      <c r="T621" s="173"/>
      <c r="U621" s="173"/>
      <c r="V621" s="173"/>
      <c r="W621" s="173"/>
      <c r="X621" s="173"/>
      <c r="Y621" s="173"/>
      <c r="Z621" s="173"/>
    </row>
    <row r="622" spans="1:26" ht="12.75" x14ac:dyDescent="0.2">
      <c r="A622" s="122"/>
      <c r="B622" s="122"/>
      <c r="C622" s="122"/>
      <c r="D622" s="122"/>
      <c r="E622" s="122"/>
      <c r="F622" s="122"/>
      <c r="G622" s="122"/>
      <c r="H622" s="122"/>
      <c r="I622" s="122"/>
      <c r="J622" s="122"/>
      <c r="K622" s="122"/>
      <c r="L622" s="122"/>
      <c r="M622" s="122"/>
      <c r="N622" s="122"/>
      <c r="O622" s="122"/>
      <c r="P622" s="122"/>
      <c r="Q622" s="122"/>
      <c r="R622" s="122"/>
      <c r="S622" s="122"/>
      <c r="T622" s="173"/>
      <c r="U622" s="173"/>
      <c r="V622" s="173"/>
      <c r="W622" s="173"/>
      <c r="X622" s="173"/>
      <c r="Y622" s="173"/>
      <c r="Z622" s="173"/>
    </row>
    <row r="623" spans="1:26" ht="12.75" x14ac:dyDescent="0.2">
      <c r="A623" s="122"/>
      <c r="B623" s="122"/>
      <c r="C623" s="122"/>
      <c r="D623" s="122"/>
      <c r="E623" s="122"/>
      <c r="F623" s="122"/>
      <c r="G623" s="122"/>
      <c r="H623" s="122"/>
      <c r="I623" s="122"/>
      <c r="J623" s="122"/>
      <c r="K623" s="122"/>
      <c r="L623" s="122"/>
      <c r="M623" s="122"/>
      <c r="N623" s="122"/>
      <c r="O623" s="122"/>
      <c r="P623" s="122"/>
      <c r="Q623" s="122"/>
      <c r="R623" s="122"/>
      <c r="S623" s="122"/>
      <c r="T623" s="173"/>
      <c r="U623" s="173"/>
      <c r="V623" s="173"/>
      <c r="W623" s="173"/>
      <c r="X623" s="173"/>
      <c r="Y623" s="173"/>
      <c r="Z623" s="173"/>
    </row>
    <row r="624" spans="1:26" ht="12.75" x14ac:dyDescent="0.2">
      <c r="A624" s="122"/>
      <c r="B624" s="122"/>
      <c r="C624" s="122"/>
      <c r="D624" s="122"/>
      <c r="E624" s="122"/>
      <c r="F624" s="122"/>
      <c r="G624" s="122"/>
      <c r="H624" s="122"/>
      <c r="I624" s="122"/>
      <c r="J624" s="122"/>
      <c r="K624" s="122"/>
      <c r="L624" s="122"/>
      <c r="M624" s="122"/>
      <c r="N624" s="122"/>
      <c r="O624" s="122"/>
      <c r="P624" s="122"/>
      <c r="Q624" s="122"/>
      <c r="R624" s="122"/>
      <c r="S624" s="122"/>
      <c r="T624" s="173"/>
      <c r="U624" s="173"/>
      <c r="V624" s="173"/>
      <c r="W624" s="173"/>
      <c r="X624" s="173"/>
      <c r="Y624" s="173"/>
      <c r="Z624" s="173"/>
    </row>
    <row r="625" spans="1:26" ht="12.75" x14ac:dyDescent="0.2">
      <c r="A625" s="122"/>
      <c r="B625" s="122"/>
      <c r="C625" s="122"/>
      <c r="D625" s="122"/>
      <c r="E625" s="122"/>
      <c r="F625" s="122"/>
      <c r="G625" s="122"/>
      <c r="H625" s="122"/>
      <c r="I625" s="122"/>
      <c r="J625" s="122"/>
      <c r="K625" s="122"/>
      <c r="L625" s="122"/>
      <c r="M625" s="122"/>
      <c r="N625" s="122"/>
      <c r="O625" s="122"/>
      <c r="P625" s="122"/>
      <c r="Q625" s="122"/>
      <c r="R625" s="122"/>
      <c r="S625" s="122"/>
      <c r="T625" s="173"/>
      <c r="U625" s="173"/>
      <c r="V625" s="173"/>
      <c r="W625" s="173"/>
      <c r="X625" s="173"/>
      <c r="Y625" s="173"/>
      <c r="Z625" s="173"/>
    </row>
    <row r="626" spans="1:26" ht="12.75" x14ac:dyDescent="0.2">
      <c r="A626" s="122"/>
      <c r="B626" s="122"/>
      <c r="C626" s="122"/>
      <c r="D626" s="122"/>
      <c r="E626" s="122"/>
      <c r="F626" s="122"/>
      <c r="G626" s="122"/>
      <c r="H626" s="122"/>
      <c r="I626" s="122"/>
      <c r="J626" s="122"/>
      <c r="K626" s="122"/>
      <c r="L626" s="122"/>
      <c r="M626" s="122"/>
      <c r="N626" s="122"/>
      <c r="O626" s="122"/>
      <c r="P626" s="122"/>
      <c r="Q626" s="122"/>
      <c r="R626" s="122"/>
      <c r="S626" s="122"/>
      <c r="T626" s="173"/>
      <c r="U626" s="173"/>
      <c r="V626" s="173"/>
      <c r="W626" s="173"/>
      <c r="X626" s="173"/>
      <c r="Y626" s="173"/>
      <c r="Z626" s="173"/>
    </row>
    <row r="627" spans="1:26" ht="12.75" x14ac:dyDescent="0.2">
      <c r="A627" s="122"/>
      <c r="B627" s="122"/>
      <c r="C627" s="122"/>
      <c r="D627" s="122"/>
      <c r="E627" s="122"/>
      <c r="F627" s="122"/>
      <c r="G627" s="122"/>
      <c r="H627" s="122"/>
      <c r="I627" s="122"/>
      <c r="J627" s="122"/>
      <c r="K627" s="122"/>
      <c r="L627" s="122"/>
      <c r="M627" s="122"/>
      <c r="N627" s="122"/>
      <c r="O627" s="122"/>
      <c r="P627" s="122"/>
      <c r="Q627" s="122"/>
      <c r="R627" s="122"/>
      <c r="S627" s="122"/>
      <c r="T627" s="173"/>
      <c r="U627" s="173"/>
      <c r="V627" s="173"/>
      <c r="W627" s="173"/>
      <c r="X627" s="173"/>
      <c r="Y627" s="173"/>
      <c r="Z627" s="173"/>
    </row>
    <row r="628" spans="1:26" ht="12.75" x14ac:dyDescent="0.2">
      <c r="A628" s="122"/>
      <c r="B628" s="122"/>
      <c r="C628" s="122"/>
      <c r="D628" s="122"/>
      <c r="E628" s="122"/>
      <c r="F628" s="122"/>
      <c r="G628" s="122"/>
      <c r="H628" s="122"/>
      <c r="I628" s="122"/>
      <c r="J628" s="122"/>
      <c r="K628" s="122"/>
      <c r="L628" s="122"/>
      <c r="M628" s="122"/>
      <c r="N628" s="122"/>
      <c r="O628" s="122"/>
      <c r="P628" s="122"/>
      <c r="Q628" s="122"/>
      <c r="R628" s="122"/>
      <c r="S628" s="122"/>
      <c r="T628" s="173"/>
      <c r="U628" s="173"/>
      <c r="V628" s="173"/>
      <c r="W628" s="173"/>
      <c r="X628" s="173"/>
      <c r="Y628" s="173"/>
      <c r="Z628" s="173"/>
    </row>
    <row r="629" spans="1:26" ht="12.75" x14ac:dyDescent="0.2">
      <c r="A629" s="122"/>
      <c r="B629" s="122"/>
      <c r="C629" s="122"/>
      <c r="D629" s="122"/>
      <c r="E629" s="122"/>
      <c r="F629" s="122"/>
      <c r="G629" s="122"/>
      <c r="H629" s="122"/>
      <c r="I629" s="122"/>
      <c r="J629" s="122"/>
      <c r="K629" s="122"/>
      <c r="L629" s="122"/>
      <c r="M629" s="122"/>
      <c r="N629" s="122"/>
      <c r="O629" s="122"/>
      <c r="P629" s="122"/>
      <c r="Q629" s="122"/>
      <c r="R629" s="122"/>
      <c r="S629" s="122"/>
      <c r="T629" s="173"/>
      <c r="U629" s="173"/>
      <c r="V629" s="173"/>
      <c r="W629" s="173"/>
      <c r="X629" s="173"/>
      <c r="Y629" s="173"/>
      <c r="Z629" s="173"/>
    </row>
    <row r="630" spans="1:26" ht="12.75" x14ac:dyDescent="0.2">
      <c r="A630" s="122"/>
      <c r="B630" s="122"/>
      <c r="C630" s="122"/>
      <c r="D630" s="122"/>
      <c r="E630" s="122"/>
      <c r="F630" s="122"/>
      <c r="G630" s="122"/>
      <c r="H630" s="122"/>
      <c r="I630" s="122"/>
      <c r="J630" s="122"/>
      <c r="K630" s="122"/>
      <c r="L630" s="122"/>
      <c r="M630" s="122"/>
      <c r="N630" s="122"/>
      <c r="O630" s="122"/>
      <c r="P630" s="122"/>
      <c r="Q630" s="122"/>
      <c r="R630" s="122"/>
      <c r="S630" s="122"/>
      <c r="T630" s="173"/>
      <c r="U630" s="173"/>
      <c r="V630" s="173"/>
      <c r="W630" s="173"/>
      <c r="X630" s="173"/>
      <c r="Y630" s="173"/>
      <c r="Z630" s="173"/>
    </row>
    <row r="631" spans="1:26" ht="12.75" x14ac:dyDescent="0.2">
      <c r="A631" s="122"/>
      <c r="B631" s="122"/>
      <c r="C631" s="122"/>
      <c r="D631" s="122"/>
      <c r="E631" s="122"/>
      <c r="F631" s="122"/>
      <c r="G631" s="122"/>
      <c r="H631" s="122"/>
      <c r="I631" s="122"/>
      <c r="J631" s="122"/>
      <c r="K631" s="122"/>
      <c r="L631" s="122"/>
      <c r="M631" s="122"/>
      <c r="N631" s="122"/>
      <c r="O631" s="122"/>
      <c r="P631" s="122"/>
      <c r="Q631" s="122"/>
      <c r="R631" s="122"/>
      <c r="S631" s="122"/>
      <c r="T631" s="173"/>
      <c r="U631" s="173"/>
      <c r="V631" s="173"/>
      <c r="W631" s="173"/>
      <c r="X631" s="173"/>
      <c r="Y631" s="173"/>
      <c r="Z631" s="173"/>
    </row>
    <row r="632" spans="1:26" ht="12.75" x14ac:dyDescent="0.2">
      <c r="A632" s="122"/>
      <c r="B632" s="122"/>
      <c r="C632" s="122"/>
      <c r="D632" s="122"/>
      <c r="E632" s="122"/>
      <c r="F632" s="122"/>
      <c r="G632" s="122"/>
      <c r="H632" s="122"/>
      <c r="I632" s="122"/>
      <c r="J632" s="122"/>
      <c r="K632" s="122"/>
      <c r="L632" s="122"/>
      <c r="M632" s="122"/>
      <c r="N632" s="122"/>
      <c r="O632" s="122"/>
      <c r="P632" s="122"/>
      <c r="Q632" s="122"/>
      <c r="R632" s="122"/>
      <c r="S632" s="122"/>
      <c r="T632" s="173"/>
      <c r="U632" s="173"/>
      <c r="V632" s="173"/>
      <c r="W632" s="173"/>
      <c r="X632" s="173"/>
      <c r="Y632" s="173"/>
      <c r="Z632" s="173"/>
    </row>
    <row r="633" spans="1:26" ht="12.75" x14ac:dyDescent="0.2">
      <c r="A633" s="122"/>
      <c r="B633" s="122"/>
      <c r="C633" s="122"/>
      <c r="D633" s="122"/>
      <c r="E633" s="122"/>
      <c r="F633" s="122"/>
      <c r="G633" s="122"/>
      <c r="H633" s="122"/>
      <c r="I633" s="122"/>
      <c r="J633" s="122"/>
      <c r="K633" s="122"/>
      <c r="L633" s="122"/>
      <c r="M633" s="122"/>
      <c r="N633" s="122"/>
      <c r="O633" s="122"/>
      <c r="P633" s="122"/>
      <c r="Q633" s="122"/>
      <c r="R633" s="122"/>
      <c r="S633" s="122"/>
      <c r="T633" s="173"/>
      <c r="U633" s="173"/>
      <c r="V633" s="173"/>
      <c r="W633" s="173"/>
      <c r="X633" s="173"/>
      <c r="Y633" s="173"/>
      <c r="Z633" s="173"/>
    </row>
    <row r="634" spans="1:26" ht="12.75" x14ac:dyDescent="0.2">
      <c r="A634" s="122"/>
      <c r="B634" s="122"/>
      <c r="C634" s="122"/>
      <c r="D634" s="122"/>
      <c r="E634" s="122"/>
      <c r="F634" s="122"/>
      <c r="G634" s="122"/>
      <c r="H634" s="122"/>
      <c r="I634" s="122"/>
      <c r="J634" s="122"/>
      <c r="K634" s="122"/>
      <c r="L634" s="122"/>
      <c r="M634" s="122"/>
      <c r="N634" s="122"/>
      <c r="O634" s="122"/>
      <c r="P634" s="122"/>
      <c r="Q634" s="122"/>
      <c r="R634" s="122"/>
      <c r="S634" s="122"/>
      <c r="T634" s="173"/>
      <c r="U634" s="173"/>
      <c r="V634" s="173"/>
      <c r="W634" s="173"/>
      <c r="X634" s="173"/>
      <c r="Y634" s="173"/>
      <c r="Z634" s="173"/>
    </row>
    <row r="635" spans="1:26" ht="12.75" x14ac:dyDescent="0.2">
      <c r="A635" s="122"/>
      <c r="B635" s="122"/>
      <c r="C635" s="122"/>
      <c r="D635" s="122"/>
      <c r="E635" s="122"/>
      <c r="F635" s="122"/>
      <c r="G635" s="122"/>
      <c r="H635" s="122"/>
      <c r="I635" s="122"/>
      <c r="J635" s="122"/>
      <c r="K635" s="122"/>
      <c r="L635" s="122"/>
      <c r="M635" s="122"/>
      <c r="N635" s="122"/>
      <c r="O635" s="122"/>
      <c r="P635" s="122"/>
      <c r="Q635" s="122"/>
      <c r="R635" s="122"/>
      <c r="S635" s="122"/>
      <c r="T635" s="173"/>
      <c r="U635" s="173"/>
      <c r="V635" s="173"/>
      <c r="W635" s="173"/>
      <c r="X635" s="173"/>
      <c r="Y635" s="173"/>
      <c r="Z635" s="173"/>
    </row>
    <row r="636" spans="1:26" ht="12.75" x14ac:dyDescent="0.2">
      <c r="A636" s="122"/>
      <c r="B636" s="122"/>
      <c r="C636" s="122"/>
      <c r="D636" s="122"/>
      <c r="E636" s="122"/>
      <c r="F636" s="122"/>
      <c r="G636" s="122"/>
      <c r="H636" s="122"/>
      <c r="I636" s="122"/>
      <c r="J636" s="122"/>
      <c r="K636" s="122"/>
      <c r="L636" s="122"/>
      <c r="M636" s="122"/>
      <c r="N636" s="122"/>
      <c r="O636" s="122"/>
      <c r="P636" s="122"/>
      <c r="Q636" s="122"/>
      <c r="R636" s="122"/>
      <c r="S636" s="122"/>
      <c r="T636" s="173"/>
      <c r="U636" s="173"/>
      <c r="V636" s="173"/>
      <c r="W636" s="173"/>
      <c r="X636" s="173"/>
      <c r="Y636" s="173"/>
      <c r="Z636" s="173"/>
    </row>
    <row r="637" spans="1:26" ht="12.75" x14ac:dyDescent="0.2">
      <c r="A637" s="122"/>
      <c r="B637" s="122"/>
      <c r="C637" s="122"/>
      <c r="D637" s="122"/>
      <c r="E637" s="122"/>
      <c r="F637" s="122"/>
      <c r="G637" s="122"/>
      <c r="H637" s="122"/>
      <c r="I637" s="122"/>
      <c r="J637" s="122"/>
      <c r="K637" s="122"/>
      <c r="L637" s="122"/>
      <c r="M637" s="122"/>
      <c r="N637" s="122"/>
      <c r="O637" s="122"/>
      <c r="P637" s="122"/>
      <c r="Q637" s="122"/>
      <c r="R637" s="122"/>
      <c r="S637" s="122"/>
      <c r="T637" s="173"/>
      <c r="U637" s="173"/>
      <c r="V637" s="173"/>
      <c r="W637" s="173"/>
      <c r="X637" s="173"/>
      <c r="Y637" s="173"/>
      <c r="Z637" s="173"/>
    </row>
    <row r="638" spans="1:26" ht="12.75" x14ac:dyDescent="0.2">
      <c r="A638" s="122"/>
      <c r="B638" s="122"/>
      <c r="C638" s="122"/>
      <c r="D638" s="122"/>
      <c r="E638" s="122"/>
      <c r="F638" s="122"/>
      <c r="G638" s="122"/>
      <c r="H638" s="122"/>
      <c r="I638" s="122"/>
      <c r="J638" s="122"/>
      <c r="K638" s="122"/>
      <c r="L638" s="122"/>
      <c r="M638" s="122"/>
      <c r="N638" s="122"/>
      <c r="O638" s="122"/>
      <c r="P638" s="122"/>
      <c r="Q638" s="122"/>
      <c r="R638" s="122"/>
      <c r="S638" s="122"/>
      <c r="T638" s="173"/>
      <c r="U638" s="173"/>
      <c r="V638" s="173"/>
      <c r="W638" s="173"/>
      <c r="X638" s="173"/>
      <c r="Y638" s="173"/>
      <c r="Z638" s="173"/>
    </row>
    <row r="639" spans="1:26" ht="12.75" x14ac:dyDescent="0.2">
      <c r="A639" s="122"/>
      <c r="B639" s="122"/>
      <c r="C639" s="122"/>
      <c r="D639" s="122"/>
      <c r="E639" s="122"/>
      <c r="F639" s="122"/>
      <c r="G639" s="122"/>
      <c r="H639" s="122"/>
      <c r="I639" s="122"/>
      <c r="J639" s="122"/>
      <c r="K639" s="122"/>
      <c r="L639" s="122"/>
      <c r="M639" s="122"/>
      <c r="N639" s="122"/>
      <c r="O639" s="122"/>
      <c r="P639" s="122"/>
      <c r="Q639" s="122"/>
      <c r="R639" s="122"/>
      <c r="S639" s="122"/>
      <c r="T639" s="173"/>
      <c r="U639" s="173"/>
      <c r="V639" s="173"/>
      <c r="W639" s="173"/>
      <c r="X639" s="173"/>
      <c r="Y639" s="173"/>
      <c r="Z639" s="173"/>
    </row>
    <row r="640" spans="1:26" ht="12.75" x14ac:dyDescent="0.2">
      <c r="A640" s="122"/>
      <c r="B640" s="122"/>
      <c r="C640" s="122"/>
      <c r="D640" s="122"/>
      <c r="E640" s="122"/>
      <c r="F640" s="122"/>
      <c r="G640" s="122"/>
      <c r="H640" s="122"/>
      <c r="I640" s="122"/>
      <c r="J640" s="122"/>
      <c r="K640" s="122"/>
      <c r="L640" s="122"/>
      <c r="M640" s="122"/>
      <c r="N640" s="122"/>
      <c r="O640" s="122"/>
      <c r="P640" s="122"/>
      <c r="Q640" s="122"/>
      <c r="R640" s="122"/>
      <c r="S640" s="122"/>
      <c r="T640" s="173"/>
      <c r="U640" s="173"/>
      <c r="V640" s="173"/>
      <c r="W640" s="173"/>
      <c r="X640" s="173"/>
      <c r="Y640" s="173"/>
      <c r="Z640" s="173"/>
    </row>
    <row r="641" spans="1:26" ht="12.75" x14ac:dyDescent="0.2">
      <c r="A641" s="122"/>
      <c r="B641" s="122"/>
      <c r="C641" s="122"/>
      <c r="D641" s="122"/>
      <c r="E641" s="122"/>
      <c r="F641" s="122"/>
      <c r="G641" s="122"/>
      <c r="H641" s="122"/>
      <c r="I641" s="122"/>
      <c r="J641" s="122"/>
      <c r="K641" s="122"/>
      <c r="L641" s="122"/>
      <c r="M641" s="122"/>
      <c r="N641" s="122"/>
      <c r="O641" s="122"/>
      <c r="P641" s="122"/>
      <c r="Q641" s="122"/>
      <c r="R641" s="122"/>
      <c r="S641" s="122"/>
      <c r="T641" s="173"/>
      <c r="U641" s="173"/>
      <c r="V641" s="173"/>
      <c r="W641" s="173"/>
      <c r="X641" s="173"/>
      <c r="Y641" s="173"/>
      <c r="Z641" s="173"/>
    </row>
    <row r="642" spans="1:26" ht="12.75" x14ac:dyDescent="0.2">
      <c r="A642" s="122"/>
      <c r="B642" s="122"/>
      <c r="C642" s="122"/>
      <c r="D642" s="122"/>
      <c r="E642" s="122"/>
      <c r="F642" s="122"/>
      <c r="G642" s="122"/>
      <c r="H642" s="122"/>
      <c r="I642" s="122"/>
      <c r="J642" s="122"/>
      <c r="K642" s="122"/>
      <c r="L642" s="122"/>
      <c r="M642" s="122"/>
      <c r="N642" s="122"/>
      <c r="O642" s="122"/>
      <c r="P642" s="122"/>
      <c r="Q642" s="122"/>
      <c r="R642" s="122"/>
      <c r="S642" s="122"/>
      <c r="T642" s="173"/>
      <c r="U642" s="173"/>
      <c r="V642" s="173"/>
      <c r="W642" s="173"/>
      <c r="X642" s="173"/>
      <c r="Y642" s="173"/>
      <c r="Z642" s="173"/>
    </row>
    <row r="643" spans="1:26" ht="12.75" x14ac:dyDescent="0.2">
      <c r="A643" s="122"/>
      <c r="B643" s="122"/>
      <c r="C643" s="122"/>
      <c r="D643" s="122"/>
      <c r="E643" s="122"/>
      <c r="F643" s="122"/>
      <c r="G643" s="122"/>
      <c r="H643" s="122"/>
      <c r="I643" s="122"/>
      <c r="J643" s="122"/>
      <c r="K643" s="122"/>
      <c r="L643" s="122"/>
      <c r="M643" s="122"/>
      <c r="N643" s="122"/>
      <c r="O643" s="122"/>
      <c r="P643" s="122"/>
      <c r="Q643" s="122"/>
      <c r="R643" s="122"/>
      <c r="S643" s="122"/>
      <c r="T643" s="173"/>
      <c r="U643" s="173"/>
      <c r="V643" s="173"/>
      <c r="W643" s="173"/>
      <c r="X643" s="173"/>
      <c r="Y643" s="173"/>
      <c r="Z643" s="173"/>
    </row>
    <row r="644" spans="1:26" ht="12.75" x14ac:dyDescent="0.2">
      <c r="A644" s="122"/>
      <c r="B644" s="122"/>
      <c r="C644" s="122"/>
      <c r="D644" s="122"/>
      <c r="E644" s="122"/>
      <c r="F644" s="122"/>
      <c r="G644" s="122"/>
      <c r="H644" s="122"/>
      <c r="I644" s="122"/>
      <c r="J644" s="122"/>
      <c r="K644" s="122"/>
      <c r="L644" s="122"/>
      <c r="M644" s="122"/>
      <c r="N644" s="122"/>
      <c r="O644" s="122"/>
      <c r="P644" s="122"/>
      <c r="Q644" s="122"/>
      <c r="R644" s="122"/>
      <c r="S644" s="122"/>
      <c r="T644" s="173"/>
      <c r="U644" s="173"/>
      <c r="V644" s="173"/>
      <c r="W644" s="173"/>
      <c r="X644" s="173"/>
      <c r="Y644" s="173"/>
      <c r="Z644" s="173"/>
    </row>
    <row r="645" spans="1:26" ht="12.75" x14ac:dyDescent="0.2">
      <c r="A645" s="122"/>
      <c r="B645" s="122"/>
      <c r="C645" s="122"/>
      <c r="D645" s="122"/>
      <c r="E645" s="122"/>
      <c r="F645" s="122"/>
      <c r="G645" s="122"/>
      <c r="H645" s="122"/>
      <c r="I645" s="122"/>
      <c r="J645" s="122"/>
      <c r="K645" s="122"/>
      <c r="L645" s="122"/>
      <c r="M645" s="122"/>
      <c r="N645" s="122"/>
      <c r="O645" s="122"/>
      <c r="P645" s="122"/>
      <c r="Q645" s="122"/>
      <c r="R645" s="122"/>
      <c r="S645" s="122"/>
      <c r="T645" s="173"/>
      <c r="U645" s="173"/>
      <c r="V645" s="173"/>
      <c r="W645" s="173"/>
      <c r="X645" s="173"/>
      <c r="Y645" s="173"/>
      <c r="Z645" s="173"/>
    </row>
    <row r="646" spans="1:26" ht="12.75" x14ac:dyDescent="0.2">
      <c r="A646" s="122"/>
      <c r="B646" s="122"/>
      <c r="C646" s="122"/>
      <c r="D646" s="122"/>
      <c r="E646" s="122"/>
      <c r="F646" s="122"/>
      <c r="G646" s="122"/>
      <c r="H646" s="122"/>
      <c r="I646" s="122"/>
      <c r="J646" s="122"/>
      <c r="K646" s="122"/>
      <c r="L646" s="122"/>
      <c r="M646" s="122"/>
      <c r="N646" s="122"/>
      <c r="O646" s="122"/>
      <c r="P646" s="122"/>
      <c r="Q646" s="122"/>
      <c r="R646" s="122"/>
      <c r="S646" s="122"/>
      <c r="T646" s="173"/>
      <c r="U646" s="173"/>
      <c r="V646" s="173"/>
      <c r="W646" s="173"/>
      <c r="X646" s="173"/>
      <c r="Y646" s="173"/>
      <c r="Z646" s="173"/>
    </row>
    <row r="647" spans="1:26" ht="12.75" x14ac:dyDescent="0.2">
      <c r="A647" s="122"/>
      <c r="B647" s="122"/>
      <c r="C647" s="122"/>
      <c r="D647" s="122"/>
      <c r="E647" s="122"/>
      <c r="F647" s="122"/>
      <c r="G647" s="122"/>
      <c r="H647" s="122"/>
      <c r="I647" s="122"/>
      <c r="J647" s="122"/>
      <c r="K647" s="122"/>
      <c r="L647" s="122"/>
      <c r="M647" s="122"/>
      <c r="N647" s="122"/>
      <c r="O647" s="122"/>
      <c r="P647" s="122"/>
      <c r="Q647" s="122"/>
      <c r="R647" s="122"/>
      <c r="S647" s="122"/>
      <c r="T647" s="173"/>
      <c r="U647" s="173"/>
      <c r="V647" s="173"/>
      <c r="W647" s="173"/>
      <c r="X647" s="173"/>
      <c r="Y647" s="173"/>
      <c r="Z647" s="173"/>
    </row>
    <row r="648" spans="1:26" ht="12.75" x14ac:dyDescent="0.2">
      <c r="A648" s="122"/>
      <c r="B648" s="122"/>
      <c r="C648" s="122"/>
      <c r="D648" s="122"/>
      <c r="E648" s="122"/>
      <c r="F648" s="122"/>
      <c r="G648" s="122"/>
      <c r="H648" s="122"/>
      <c r="I648" s="122"/>
      <c r="J648" s="122"/>
      <c r="K648" s="122"/>
      <c r="L648" s="122"/>
      <c r="M648" s="122"/>
      <c r="N648" s="122"/>
      <c r="O648" s="122"/>
      <c r="P648" s="122"/>
      <c r="Q648" s="122"/>
      <c r="R648" s="122"/>
      <c r="S648" s="122"/>
      <c r="T648" s="173"/>
      <c r="U648" s="173"/>
      <c r="V648" s="173"/>
      <c r="W648" s="173"/>
      <c r="X648" s="173"/>
      <c r="Y648" s="173"/>
      <c r="Z648" s="173"/>
    </row>
    <row r="649" spans="1:26" ht="12.75" x14ac:dyDescent="0.2">
      <c r="A649" s="122"/>
      <c r="B649" s="122"/>
      <c r="C649" s="122"/>
      <c r="D649" s="122"/>
      <c r="E649" s="122"/>
      <c r="F649" s="122"/>
      <c r="G649" s="122"/>
      <c r="H649" s="122"/>
      <c r="I649" s="122"/>
      <c r="J649" s="122"/>
      <c r="K649" s="122"/>
      <c r="L649" s="122"/>
      <c r="M649" s="122"/>
      <c r="N649" s="122"/>
      <c r="O649" s="122"/>
      <c r="P649" s="122"/>
      <c r="Q649" s="122"/>
      <c r="R649" s="122"/>
      <c r="S649" s="122"/>
      <c r="T649" s="173"/>
      <c r="U649" s="173"/>
      <c r="V649" s="173"/>
      <c r="W649" s="173"/>
      <c r="X649" s="173"/>
      <c r="Y649" s="173"/>
      <c r="Z649" s="173"/>
    </row>
    <row r="650" spans="1:26" ht="12.75" x14ac:dyDescent="0.2">
      <c r="A650" s="122"/>
      <c r="B650" s="122"/>
      <c r="C650" s="122"/>
      <c r="D650" s="122"/>
      <c r="E650" s="122"/>
      <c r="F650" s="122"/>
      <c r="G650" s="122"/>
      <c r="H650" s="122"/>
      <c r="I650" s="122"/>
      <c r="J650" s="122"/>
      <c r="K650" s="122"/>
      <c r="L650" s="122"/>
      <c r="M650" s="122"/>
      <c r="N650" s="122"/>
      <c r="O650" s="122"/>
      <c r="P650" s="122"/>
      <c r="Q650" s="122"/>
      <c r="R650" s="122"/>
      <c r="S650" s="122"/>
      <c r="T650" s="173"/>
      <c r="U650" s="173"/>
      <c r="V650" s="173"/>
      <c r="W650" s="173"/>
      <c r="X650" s="173"/>
      <c r="Y650" s="173"/>
      <c r="Z650" s="173"/>
    </row>
    <row r="651" spans="1:26" ht="12.75" x14ac:dyDescent="0.2">
      <c r="A651" s="122"/>
      <c r="B651" s="122"/>
      <c r="C651" s="122"/>
      <c r="D651" s="122"/>
      <c r="E651" s="122"/>
      <c r="F651" s="122"/>
      <c r="G651" s="122"/>
      <c r="H651" s="122"/>
      <c r="I651" s="122"/>
      <c r="J651" s="122"/>
      <c r="K651" s="122"/>
      <c r="L651" s="122"/>
      <c r="M651" s="122"/>
      <c r="N651" s="122"/>
      <c r="O651" s="122"/>
      <c r="P651" s="122"/>
      <c r="Q651" s="122"/>
      <c r="R651" s="122"/>
      <c r="S651" s="122"/>
      <c r="T651" s="173"/>
      <c r="U651" s="173"/>
      <c r="V651" s="173"/>
      <c r="W651" s="173"/>
      <c r="X651" s="173"/>
      <c r="Y651" s="173"/>
      <c r="Z651" s="173"/>
    </row>
    <row r="652" spans="1:26" ht="12.75" x14ac:dyDescent="0.2">
      <c r="A652" s="122"/>
      <c r="B652" s="122"/>
      <c r="C652" s="122"/>
      <c r="D652" s="122"/>
      <c r="E652" s="122"/>
      <c r="F652" s="122"/>
      <c r="G652" s="122"/>
      <c r="H652" s="122"/>
      <c r="I652" s="122"/>
      <c r="J652" s="122"/>
      <c r="K652" s="122"/>
      <c r="L652" s="122"/>
      <c r="M652" s="122"/>
      <c r="N652" s="122"/>
      <c r="O652" s="122"/>
      <c r="P652" s="122"/>
      <c r="Q652" s="122"/>
      <c r="R652" s="122"/>
      <c r="S652" s="122"/>
      <c r="T652" s="173"/>
      <c r="U652" s="173"/>
      <c r="V652" s="173"/>
      <c r="W652" s="173"/>
      <c r="X652" s="173"/>
      <c r="Y652" s="173"/>
      <c r="Z652" s="173"/>
    </row>
    <row r="653" spans="1:26" ht="12.75" x14ac:dyDescent="0.2">
      <c r="A653" s="122"/>
      <c r="B653" s="122"/>
      <c r="C653" s="122"/>
      <c r="D653" s="122"/>
      <c r="E653" s="122"/>
      <c r="F653" s="122"/>
      <c r="G653" s="122"/>
      <c r="H653" s="122"/>
      <c r="I653" s="122"/>
      <c r="J653" s="122"/>
      <c r="K653" s="122"/>
      <c r="L653" s="122"/>
      <c r="M653" s="122"/>
      <c r="N653" s="122"/>
      <c r="O653" s="122"/>
      <c r="P653" s="122"/>
      <c r="Q653" s="122"/>
      <c r="R653" s="122"/>
      <c r="S653" s="122"/>
      <c r="T653" s="173"/>
      <c r="U653" s="173"/>
      <c r="V653" s="173"/>
      <c r="W653" s="173"/>
      <c r="X653" s="173"/>
      <c r="Y653" s="173"/>
      <c r="Z653" s="173"/>
    </row>
    <row r="654" spans="1:26" ht="12.75" x14ac:dyDescent="0.2">
      <c r="A654" s="122"/>
      <c r="B654" s="122"/>
      <c r="C654" s="122"/>
      <c r="D654" s="122"/>
      <c r="E654" s="122"/>
      <c r="F654" s="122"/>
      <c r="G654" s="122"/>
      <c r="H654" s="122"/>
      <c r="I654" s="122"/>
      <c r="J654" s="122"/>
      <c r="K654" s="122"/>
      <c r="L654" s="122"/>
      <c r="M654" s="122"/>
      <c r="N654" s="122"/>
      <c r="O654" s="122"/>
      <c r="P654" s="122"/>
      <c r="Q654" s="122"/>
      <c r="R654" s="122"/>
      <c r="S654" s="122"/>
      <c r="T654" s="173"/>
      <c r="U654" s="173"/>
      <c r="V654" s="173"/>
      <c r="W654" s="173"/>
      <c r="X654" s="173"/>
      <c r="Y654" s="173"/>
      <c r="Z654" s="173"/>
    </row>
    <row r="655" spans="1:26" ht="12.75" x14ac:dyDescent="0.2">
      <c r="A655" s="122"/>
      <c r="B655" s="122"/>
      <c r="C655" s="122"/>
      <c r="D655" s="122"/>
      <c r="E655" s="122"/>
      <c r="F655" s="122"/>
      <c r="G655" s="122"/>
      <c r="H655" s="122"/>
      <c r="I655" s="122"/>
      <c r="J655" s="122"/>
      <c r="K655" s="122"/>
      <c r="L655" s="122"/>
      <c r="M655" s="122"/>
      <c r="N655" s="122"/>
      <c r="O655" s="122"/>
      <c r="P655" s="122"/>
      <c r="Q655" s="122"/>
      <c r="R655" s="122"/>
      <c r="S655" s="122"/>
      <c r="T655" s="173"/>
      <c r="U655" s="173"/>
      <c r="V655" s="173"/>
      <c r="W655" s="173"/>
      <c r="X655" s="173"/>
      <c r="Y655" s="173"/>
      <c r="Z655" s="173"/>
    </row>
    <row r="656" spans="1:26" ht="12.75" x14ac:dyDescent="0.2">
      <c r="A656" s="122"/>
      <c r="B656" s="122"/>
      <c r="C656" s="122"/>
      <c r="D656" s="122"/>
      <c r="E656" s="122"/>
      <c r="F656" s="122"/>
      <c r="G656" s="122"/>
      <c r="H656" s="122"/>
      <c r="I656" s="122"/>
      <c r="J656" s="122"/>
      <c r="K656" s="122"/>
      <c r="L656" s="122"/>
      <c r="M656" s="122"/>
      <c r="N656" s="122"/>
      <c r="O656" s="122"/>
      <c r="P656" s="122"/>
      <c r="Q656" s="122"/>
      <c r="R656" s="122"/>
      <c r="S656" s="122"/>
      <c r="T656" s="173"/>
      <c r="U656" s="173"/>
      <c r="V656" s="173"/>
      <c r="W656" s="173"/>
      <c r="X656" s="173"/>
      <c r="Y656" s="173"/>
      <c r="Z656" s="173"/>
    </row>
    <row r="657" spans="1:26" ht="12.75" x14ac:dyDescent="0.2">
      <c r="A657" s="122"/>
      <c r="B657" s="122"/>
      <c r="C657" s="122"/>
      <c r="D657" s="122"/>
      <c r="E657" s="122"/>
      <c r="F657" s="122"/>
      <c r="G657" s="122"/>
      <c r="H657" s="122"/>
      <c r="I657" s="122"/>
      <c r="J657" s="122"/>
      <c r="K657" s="122"/>
      <c r="L657" s="122"/>
      <c r="M657" s="122"/>
      <c r="N657" s="122"/>
      <c r="O657" s="122"/>
      <c r="P657" s="122"/>
      <c r="Q657" s="122"/>
      <c r="R657" s="122"/>
      <c r="S657" s="122"/>
      <c r="T657" s="173"/>
      <c r="U657" s="173"/>
      <c r="V657" s="173"/>
      <c r="W657" s="173"/>
      <c r="X657" s="173"/>
      <c r="Y657" s="173"/>
      <c r="Z657" s="173"/>
    </row>
    <row r="658" spans="1:26" ht="12.75" x14ac:dyDescent="0.2">
      <c r="A658" s="122"/>
      <c r="B658" s="122"/>
      <c r="C658" s="122"/>
      <c r="D658" s="122"/>
      <c r="E658" s="122"/>
      <c r="F658" s="122"/>
      <c r="G658" s="122"/>
      <c r="H658" s="122"/>
      <c r="I658" s="122"/>
      <c r="J658" s="122"/>
      <c r="K658" s="122"/>
      <c r="L658" s="122"/>
      <c r="M658" s="122"/>
      <c r="N658" s="122"/>
      <c r="O658" s="122"/>
      <c r="P658" s="122"/>
      <c r="Q658" s="122"/>
      <c r="R658" s="122"/>
      <c r="S658" s="122"/>
      <c r="T658" s="173"/>
      <c r="U658" s="173"/>
      <c r="V658" s="173"/>
      <c r="W658" s="173"/>
      <c r="X658" s="173"/>
      <c r="Y658" s="173"/>
      <c r="Z658" s="173"/>
    </row>
    <row r="659" spans="1:26" ht="12.75" x14ac:dyDescent="0.2">
      <c r="A659" s="122"/>
      <c r="B659" s="122"/>
      <c r="C659" s="122"/>
      <c r="D659" s="122"/>
      <c r="E659" s="122"/>
      <c r="F659" s="122"/>
      <c r="G659" s="122"/>
      <c r="H659" s="122"/>
      <c r="I659" s="122"/>
      <c r="J659" s="122"/>
      <c r="K659" s="122"/>
      <c r="L659" s="122"/>
      <c r="M659" s="122"/>
      <c r="N659" s="122"/>
      <c r="O659" s="122"/>
      <c r="P659" s="122"/>
      <c r="Q659" s="122"/>
      <c r="R659" s="122"/>
      <c r="S659" s="122"/>
      <c r="T659" s="173"/>
      <c r="U659" s="173"/>
      <c r="V659" s="173"/>
      <c r="W659" s="173"/>
      <c r="X659" s="173"/>
      <c r="Y659" s="173"/>
      <c r="Z659" s="173"/>
    </row>
    <row r="660" spans="1:26" ht="12.75" x14ac:dyDescent="0.2">
      <c r="A660" s="122"/>
      <c r="B660" s="122"/>
      <c r="C660" s="122"/>
      <c r="D660" s="122"/>
      <c r="E660" s="122"/>
      <c r="F660" s="122"/>
      <c r="G660" s="122"/>
      <c r="H660" s="122"/>
      <c r="I660" s="122"/>
      <c r="J660" s="122"/>
      <c r="K660" s="122"/>
      <c r="L660" s="122"/>
      <c r="M660" s="122"/>
      <c r="N660" s="122"/>
      <c r="O660" s="122"/>
      <c r="P660" s="122"/>
      <c r="Q660" s="122"/>
      <c r="R660" s="122"/>
      <c r="S660" s="122"/>
      <c r="T660" s="173"/>
      <c r="U660" s="173"/>
      <c r="V660" s="173"/>
      <c r="W660" s="173"/>
      <c r="X660" s="173"/>
      <c r="Y660" s="173"/>
      <c r="Z660" s="173"/>
    </row>
    <row r="661" spans="1:26" ht="12.75" x14ac:dyDescent="0.2">
      <c r="A661" s="122"/>
      <c r="B661" s="122"/>
      <c r="C661" s="122"/>
      <c r="D661" s="122"/>
      <c r="E661" s="122"/>
      <c r="F661" s="122"/>
      <c r="G661" s="122"/>
      <c r="H661" s="122"/>
      <c r="I661" s="122"/>
      <c r="J661" s="122"/>
      <c r="K661" s="122"/>
      <c r="L661" s="122"/>
      <c r="M661" s="122"/>
      <c r="N661" s="122"/>
      <c r="O661" s="122"/>
      <c r="P661" s="122"/>
      <c r="Q661" s="122"/>
      <c r="R661" s="122"/>
      <c r="S661" s="122"/>
      <c r="T661" s="173"/>
      <c r="U661" s="173"/>
      <c r="V661" s="173"/>
      <c r="W661" s="173"/>
      <c r="X661" s="173"/>
      <c r="Y661" s="173"/>
      <c r="Z661" s="173"/>
    </row>
    <row r="662" spans="1:26" ht="12.75" x14ac:dyDescent="0.2">
      <c r="A662" s="122"/>
      <c r="B662" s="122"/>
      <c r="C662" s="122"/>
      <c r="D662" s="122"/>
      <c r="E662" s="122"/>
      <c r="F662" s="122"/>
      <c r="G662" s="122"/>
      <c r="H662" s="122"/>
      <c r="I662" s="122"/>
      <c r="J662" s="122"/>
      <c r="K662" s="122"/>
      <c r="L662" s="122"/>
      <c r="M662" s="122"/>
      <c r="N662" s="122"/>
      <c r="O662" s="122"/>
      <c r="P662" s="122"/>
      <c r="Q662" s="122"/>
      <c r="R662" s="122"/>
      <c r="S662" s="122"/>
      <c r="T662" s="173"/>
      <c r="U662" s="173"/>
      <c r="V662" s="173"/>
      <c r="W662" s="173"/>
      <c r="X662" s="173"/>
      <c r="Y662" s="173"/>
      <c r="Z662" s="173"/>
    </row>
    <row r="663" spans="1:26" ht="12.75" x14ac:dyDescent="0.2">
      <c r="A663" s="122"/>
      <c r="B663" s="122"/>
      <c r="C663" s="122"/>
      <c r="D663" s="122"/>
      <c r="E663" s="122"/>
      <c r="F663" s="122"/>
      <c r="G663" s="122"/>
      <c r="H663" s="122"/>
      <c r="I663" s="122"/>
      <c r="J663" s="122"/>
      <c r="K663" s="122"/>
      <c r="L663" s="122"/>
      <c r="M663" s="122"/>
      <c r="N663" s="122"/>
      <c r="O663" s="122"/>
      <c r="P663" s="122"/>
      <c r="Q663" s="122"/>
      <c r="R663" s="122"/>
      <c r="S663" s="122"/>
      <c r="T663" s="173"/>
      <c r="U663" s="173"/>
      <c r="V663" s="173"/>
      <c r="W663" s="173"/>
      <c r="X663" s="173"/>
      <c r="Y663" s="173"/>
      <c r="Z663" s="173"/>
    </row>
    <row r="664" spans="1:26" ht="12.75" x14ac:dyDescent="0.2">
      <c r="A664" s="122"/>
      <c r="B664" s="122"/>
      <c r="C664" s="122"/>
      <c r="D664" s="122"/>
      <c r="E664" s="122"/>
      <c r="F664" s="122"/>
      <c r="G664" s="122"/>
      <c r="H664" s="122"/>
      <c r="I664" s="122"/>
      <c r="J664" s="122"/>
      <c r="K664" s="122"/>
      <c r="L664" s="122"/>
      <c r="M664" s="122"/>
      <c r="N664" s="122"/>
      <c r="O664" s="122"/>
      <c r="P664" s="122"/>
      <c r="Q664" s="122"/>
      <c r="R664" s="122"/>
      <c r="S664" s="122"/>
      <c r="T664" s="173"/>
      <c r="U664" s="173"/>
      <c r="V664" s="173"/>
      <c r="W664" s="173"/>
      <c r="X664" s="173"/>
      <c r="Y664" s="173"/>
      <c r="Z664" s="173"/>
    </row>
    <row r="665" spans="1:26" ht="12.75" x14ac:dyDescent="0.2">
      <c r="A665" s="122"/>
      <c r="B665" s="122"/>
      <c r="C665" s="122"/>
      <c r="D665" s="122"/>
      <c r="E665" s="122"/>
      <c r="F665" s="122"/>
      <c r="G665" s="122"/>
      <c r="H665" s="122"/>
      <c r="I665" s="122"/>
      <c r="J665" s="122"/>
      <c r="K665" s="122"/>
      <c r="L665" s="122"/>
      <c r="M665" s="122"/>
      <c r="N665" s="122"/>
      <c r="O665" s="122"/>
      <c r="P665" s="122"/>
      <c r="Q665" s="122"/>
      <c r="R665" s="122"/>
      <c r="S665" s="122"/>
      <c r="T665" s="173"/>
      <c r="U665" s="173"/>
      <c r="V665" s="173"/>
      <c r="W665" s="173"/>
      <c r="X665" s="173"/>
      <c r="Y665" s="173"/>
      <c r="Z665" s="173"/>
    </row>
    <row r="666" spans="1:26" ht="12.75" x14ac:dyDescent="0.2">
      <c r="A666" s="122"/>
      <c r="B666" s="122"/>
      <c r="C666" s="122"/>
      <c r="D666" s="122"/>
      <c r="E666" s="122"/>
      <c r="F666" s="122"/>
      <c r="G666" s="122"/>
      <c r="H666" s="122"/>
      <c r="I666" s="122"/>
      <c r="J666" s="122"/>
      <c r="K666" s="122"/>
      <c r="L666" s="122"/>
      <c r="M666" s="122"/>
      <c r="N666" s="122"/>
      <c r="O666" s="122"/>
      <c r="P666" s="122"/>
      <c r="Q666" s="122"/>
      <c r="R666" s="122"/>
      <c r="S666" s="122"/>
      <c r="T666" s="173"/>
      <c r="U666" s="173"/>
      <c r="V666" s="173"/>
      <c r="W666" s="173"/>
      <c r="X666" s="173"/>
      <c r="Y666" s="173"/>
      <c r="Z666" s="173"/>
    </row>
    <row r="667" spans="1:26" ht="12.75" x14ac:dyDescent="0.2">
      <c r="A667" s="122"/>
      <c r="B667" s="122"/>
      <c r="C667" s="122"/>
      <c r="D667" s="122"/>
      <c r="E667" s="122"/>
      <c r="F667" s="122"/>
      <c r="G667" s="122"/>
      <c r="H667" s="122"/>
      <c r="I667" s="122"/>
      <c r="J667" s="122"/>
      <c r="K667" s="122"/>
      <c r="L667" s="122"/>
      <c r="M667" s="122"/>
      <c r="N667" s="122"/>
      <c r="O667" s="122"/>
      <c r="P667" s="122"/>
      <c r="Q667" s="122"/>
      <c r="R667" s="122"/>
      <c r="S667" s="122"/>
      <c r="T667" s="173"/>
      <c r="U667" s="173"/>
      <c r="V667" s="173"/>
      <c r="W667" s="173"/>
      <c r="X667" s="173"/>
      <c r="Y667" s="173"/>
      <c r="Z667" s="173"/>
    </row>
    <row r="668" spans="1:26" ht="12.75" x14ac:dyDescent="0.2">
      <c r="A668" s="122"/>
      <c r="B668" s="122"/>
      <c r="C668" s="122"/>
      <c r="D668" s="122"/>
      <c r="E668" s="122"/>
      <c r="F668" s="122"/>
      <c r="G668" s="122"/>
      <c r="H668" s="122"/>
      <c r="I668" s="122"/>
      <c r="J668" s="122"/>
      <c r="K668" s="122"/>
      <c r="L668" s="122"/>
      <c r="M668" s="122"/>
      <c r="N668" s="122"/>
      <c r="O668" s="122"/>
      <c r="P668" s="122"/>
      <c r="Q668" s="122"/>
      <c r="R668" s="122"/>
      <c r="S668" s="122"/>
      <c r="T668" s="173"/>
      <c r="U668" s="173"/>
      <c r="V668" s="173"/>
      <c r="W668" s="173"/>
      <c r="X668" s="173"/>
      <c r="Y668" s="173"/>
      <c r="Z668" s="173"/>
    </row>
    <row r="669" spans="1:26" ht="12.75" x14ac:dyDescent="0.2">
      <c r="A669" s="122"/>
      <c r="B669" s="122"/>
      <c r="C669" s="122"/>
      <c r="D669" s="122"/>
      <c r="E669" s="122"/>
      <c r="F669" s="122"/>
      <c r="G669" s="122"/>
      <c r="H669" s="122"/>
      <c r="I669" s="122"/>
      <c r="J669" s="122"/>
      <c r="K669" s="122"/>
      <c r="L669" s="122"/>
      <c r="M669" s="122"/>
      <c r="N669" s="122"/>
      <c r="O669" s="122"/>
      <c r="P669" s="122"/>
      <c r="Q669" s="122"/>
      <c r="R669" s="122"/>
      <c r="S669" s="122"/>
      <c r="T669" s="173"/>
      <c r="U669" s="173"/>
      <c r="V669" s="173"/>
      <c r="W669" s="173"/>
      <c r="X669" s="173"/>
      <c r="Y669" s="173"/>
      <c r="Z669" s="173"/>
    </row>
    <row r="670" spans="1:26" ht="12.75" x14ac:dyDescent="0.2">
      <c r="A670" s="122"/>
      <c r="B670" s="122"/>
      <c r="C670" s="122"/>
      <c r="D670" s="122"/>
      <c r="E670" s="122"/>
      <c r="F670" s="122"/>
      <c r="G670" s="122"/>
      <c r="H670" s="122"/>
      <c r="I670" s="122"/>
      <c r="J670" s="122"/>
      <c r="K670" s="122"/>
      <c r="L670" s="122"/>
      <c r="M670" s="122"/>
      <c r="N670" s="122"/>
      <c r="O670" s="122"/>
      <c r="P670" s="122"/>
      <c r="Q670" s="122"/>
      <c r="R670" s="122"/>
      <c r="S670" s="122"/>
      <c r="T670" s="173"/>
      <c r="U670" s="173"/>
      <c r="V670" s="173"/>
      <c r="W670" s="173"/>
      <c r="X670" s="173"/>
      <c r="Y670" s="173"/>
      <c r="Z670" s="173"/>
    </row>
    <row r="671" spans="1:26" ht="12.75" x14ac:dyDescent="0.2">
      <c r="A671" s="122"/>
      <c r="B671" s="122"/>
      <c r="C671" s="122"/>
      <c r="D671" s="122"/>
      <c r="E671" s="122"/>
      <c r="F671" s="122"/>
      <c r="G671" s="122"/>
      <c r="H671" s="122"/>
      <c r="I671" s="122"/>
      <c r="J671" s="122"/>
      <c r="K671" s="122"/>
      <c r="L671" s="122"/>
      <c r="M671" s="122"/>
      <c r="N671" s="122"/>
      <c r="O671" s="122"/>
      <c r="P671" s="122"/>
      <c r="Q671" s="122"/>
      <c r="R671" s="122"/>
      <c r="S671" s="122"/>
      <c r="T671" s="173"/>
      <c r="U671" s="173"/>
      <c r="V671" s="173"/>
      <c r="W671" s="173"/>
      <c r="X671" s="173"/>
      <c r="Y671" s="173"/>
      <c r="Z671" s="173"/>
    </row>
    <row r="672" spans="1:26" ht="12.75" x14ac:dyDescent="0.2">
      <c r="A672" s="122"/>
      <c r="B672" s="122"/>
      <c r="C672" s="122"/>
      <c r="D672" s="122"/>
      <c r="E672" s="122"/>
      <c r="F672" s="122"/>
      <c r="G672" s="122"/>
      <c r="H672" s="122"/>
      <c r="I672" s="122"/>
      <c r="J672" s="122"/>
      <c r="K672" s="122"/>
      <c r="L672" s="122"/>
      <c r="M672" s="122"/>
      <c r="N672" s="122"/>
      <c r="O672" s="122"/>
      <c r="P672" s="122"/>
      <c r="Q672" s="122"/>
      <c r="R672" s="122"/>
      <c r="S672" s="122"/>
      <c r="T672" s="173"/>
      <c r="U672" s="173"/>
      <c r="V672" s="173"/>
      <c r="W672" s="173"/>
      <c r="X672" s="173"/>
      <c r="Y672" s="173"/>
      <c r="Z672" s="173"/>
    </row>
    <row r="673" spans="1:26" ht="12.75" x14ac:dyDescent="0.2">
      <c r="A673" s="122"/>
      <c r="B673" s="122"/>
      <c r="C673" s="122"/>
      <c r="D673" s="122"/>
      <c r="E673" s="122"/>
      <c r="F673" s="122"/>
      <c r="G673" s="122"/>
      <c r="H673" s="122"/>
      <c r="I673" s="122"/>
      <c r="J673" s="122"/>
      <c r="K673" s="122"/>
      <c r="L673" s="122"/>
      <c r="M673" s="122"/>
      <c r="N673" s="122"/>
      <c r="O673" s="122"/>
      <c r="P673" s="122"/>
      <c r="Q673" s="122"/>
      <c r="R673" s="122"/>
      <c r="S673" s="122"/>
      <c r="T673" s="173"/>
      <c r="U673" s="173"/>
      <c r="V673" s="173"/>
      <c r="W673" s="173"/>
      <c r="X673" s="173"/>
      <c r="Y673" s="173"/>
      <c r="Z673" s="173"/>
    </row>
    <row r="674" spans="1:26" ht="12.75" x14ac:dyDescent="0.2">
      <c r="A674" s="122"/>
      <c r="B674" s="122"/>
      <c r="C674" s="122"/>
      <c r="D674" s="122"/>
      <c r="E674" s="122"/>
      <c r="F674" s="122"/>
      <c r="G674" s="122"/>
      <c r="H674" s="122"/>
      <c r="I674" s="122"/>
      <c r="J674" s="122"/>
      <c r="K674" s="122"/>
      <c r="L674" s="122"/>
      <c r="M674" s="122"/>
      <c r="N674" s="122"/>
      <c r="O674" s="122"/>
      <c r="P674" s="122"/>
      <c r="Q674" s="122"/>
      <c r="R674" s="122"/>
      <c r="S674" s="122"/>
      <c r="T674" s="173"/>
      <c r="U674" s="173"/>
      <c r="V674" s="173"/>
      <c r="W674" s="173"/>
      <c r="X674" s="173"/>
      <c r="Y674" s="173"/>
      <c r="Z674" s="173"/>
    </row>
    <row r="675" spans="1:26" ht="12.75" x14ac:dyDescent="0.2">
      <c r="A675" s="122"/>
      <c r="B675" s="122"/>
      <c r="C675" s="122"/>
      <c r="D675" s="122"/>
      <c r="E675" s="122"/>
      <c r="F675" s="122"/>
      <c r="G675" s="122"/>
      <c r="H675" s="122"/>
      <c r="I675" s="122"/>
      <c r="J675" s="122"/>
      <c r="K675" s="122"/>
      <c r="L675" s="122"/>
      <c r="M675" s="122"/>
      <c r="N675" s="122"/>
      <c r="O675" s="122"/>
      <c r="P675" s="122"/>
      <c r="Q675" s="122"/>
      <c r="R675" s="122"/>
      <c r="S675" s="122"/>
      <c r="T675" s="173"/>
      <c r="U675" s="173"/>
      <c r="V675" s="173"/>
      <c r="W675" s="173"/>
      <c r="X675" s="173"/>
      <c r="Y675" s="173"/>
      <c r="Z675" s="173"/>
    </row>
    <row r="676" spans="1:26" ht="12.75" x14ac:dyDescent="0.2">
      <c r="A676" s="122"/>
      <c r="B676" s="122"/>
      <c r="C676" s="122"/>
      <c r="D676" s="122"/>
      <c r="E676" s="122"/>
      <c r="F676" s="122"/>
      <c r="G676" s="122"/>
      <c r="H676" s="122"/>
      <c r="I676" s="122"/>
      <c r="J676" s="122"/>
      <c r="K676" s="122"/>
      <c r="L676" s="122"/>
      <c r="M676" s="122"/>
      <c r="N676" s="122"/>
      <c r="O676" s="122"/>
      <c r="P676" s="122"/>
      <c r="Q676" s="122"/>
      <c r="R676" s="122"/>
      <c r="S676" s="122"/>
      <c r="T676" s="173"/>
      <c r="U676" s="173"/>
      <c r="V676" s="173"/>
      <c r="W676" s="173"/>
      <c r="X676" s="173"/>
      <c r="Y676" s="173"/>
      <c r="Z676" s="173"/>
    </row>
    <row r="677" spans="1:26" ht="12.75" x14ac:dyDescent="0.2">
      <c r="A677" s="122"/>
      <c r="B677" s="122"/>
      <c r="C677" s="122"/>
      <c r="D677" s="122"/>
      <c r="E677" s="122"/>
      <c r="F677" s="122"/>
      <c r="G677" s="122"/>
      <c r="H677" s="122"/>
      <c r="I677" s="122"/>
      <c r="J677" s="122"/>
      <c r="K677" s="122"/>
      <c r="L677" s="122"/>
      <c r="M677" s="122"/>
      <c r="N677" s="122"/>
      <c r="O677" s="122"/>
      <c r="P677" s="122"/>
      <c r="Q677" s="122"/>
      <c r="R677" s="122"/>
      <c r="S677" s="122"/>
      <c r="T677" s="173"/>
      <c r="U677" s="173"/>
      <c r="V677" s="173"/>
      <c r="W677" s="173"/>
      <c r="X677" s="173"/>
      <c r="Y677" s="173"/>
      <c r="Z677" s="173"/>
    </row>
    <row r="678" spans="1:26" ht="12.75" x14ac:dyDescent="0.2">
      <c r="A678" s="122"/>
      <c r="B678" s="122"/>
      <c r="C678" s="122"/>
      <c r="D678" s="122"/>
      <c r="E678" s="122"/>
      <c r="F678" s="122"/>
      <c r="G678" s="122"/>
      <c r="H678" s="122"/>
      <c r="I678" s="122"/>
      <c r="J678" s="122"/>
      <c r="K678" s="122"/>
      <c r="L678" s="122"/>
      <c r="M678" s="122"/>
      <c r="N678" s="122"/>
      <c r="O678" s="122"/>
      <c r="P678" s="122"/>
      <c r="Q678" s="122"/>
      <c r="R678" s="122"/>
      <c r="S678" s="122"/>
      <c r="T678" s="173"/>
      <c r="U678" s="173"/>
      <c r="V678" s="173"/>
      <c r="W678" s="173"/>
      <c r="X678" s="173"/>
      <c r="Y678" s="173"/>
      <c r="Z678" s="173"/>
    </row>
    <row r="679" spans="1:26" ht="12.75" x14ac:dyDescent="0.2">
      <c r="A679" s="122"/>
      <c r="B679" s="122"/>
      <c r="C679" s="122"/>
      <c r="D679" s="122"/>
      <c r="E679" s="122"/>
      <c r="F679" s="122"/>
      <c r="G679" s="122"/>
      <c r="H679" s="122"/>
      <c r="I679" s="122"/>
      <c r="J679" s="122"/>
      <c r="K679" s="122"/>
      <c r="L679" s="122"/>
      <c r="M679" s="122"/>
      <c r="N679" s="122"/>
      <c r="O679" s="122"/>
      <c r="P679" s="122"/>
      <c r="Q679" s="122"/>
      <c r="R679" s="122"/>
      <c r="S679" s="122"/>
      <c r="T679" s="173"/>
      <c r="U679" s="173"/>
      <c r="V679" s="173"/>
      <c r="W679" s="173"/>
      <c r="X679" s="173"/>
      <c r="Y679" s="173"/>
      <c r="Z679" s="173"/>
    </row>
    <row r="680" spans="1:26" ht="12.75" x14ac:dyDescent="0.2">
      <c r="A680" s="122"/>
      <c r="B680" s="122"/>
      <c r="C680" s="122"/>
      <c r="D680" s="122"/>
      <c r="E680" s="122"/>
      <c r="F680" s="122"/>
      <c r="G680" s="122"/>
      <c r="H680" s="122"/>
      <c r="I680" s="122"/>
      <c r="J680" s="122"/>
      <c r="K680" s="122"/>
      <c r="L680" s="122"/>
      <c r="M680" s="122"/>
      <c r="N680" s="122"/>
      <c r="O680" s="122"/>
      <c r="P680" s="122"/>
      <c r="Q680" s="122"/>
      <c r="R680" s="122"/>
      <c r="S680" s="122"/>
      <c r="T680" s="173"/>
      <c r="U680" s="173"/>
      <c r="V680" s="173"/>
      <c r="W680" s="173"/>
      <c r="X680" s="173"/>
      <c r="Y680" s="173"/>
      <c r="Z680" s="173"/>
    </row>
    <row r="681" spans="1:26" ht="12.75" x14ac:dyDescent="0.2">
      <c r="A681" s="122"/>
      <c r="B681" s="122"/>
      <c r="C681" s="122"/>
      <c r="D681" s="122"/>
      <c r="E681" s="122"/>
      <c r="F681" s="122"/>
      <c r="G681" s="122"/>
      <c r="H681" s="122"/>
      <c r="I681" s="122"/>
      <c r="J681" s="122"/>
      <c r="K681" s="122"/>
      <c r="L681" s="122"/>
      <c r="M681" s="122"/>
      <c r="N681" s="122"/>
      <c r="O681" s="122"/>
      <c r="P681" s="122"/>
      <c r="Q681" s="122"/>
      <c r="R681" s="122"/>
      <c r="S681" s="122"/>
      <c r="T681" s="173"/>
      <c r="U681" s="173"/>
      <c r="V681" s="173"/>
      <c r="W681" s="173"/>
      <c r="X681" s="173"/>
      <c r="Y681" s="173"/>
      <c r="Z681" s="173"/>
    </row>
    <row r="682" spans="1:26" ht="12.75" x14ac:dyDescent="0.2">
      <c r="A682" s="122"/>
      <c r="B682" s="122"/>
      <c r="C682" s="122"/>
      <c r="D682" s="122"/>
      <c r="E682" s="122"/>
      <c r="F682" s="122"/>
      <c r="G682" s="122"/>
      <c r="H682" s="122"/>
      <c r="I682" s="122"/>
      <c r="J682" s="122"/>
      <c r="K682" s="122"/>
      <c r="L682" s="122"/>
      <c r="M682" s="122"/>
      <c r="N682" s="122"/>
      <c r="O682" s="122"/>
      <c r="P682" s="122"/>
      <c r="Q682" s="122"/>
      <c r="R682" s="122"/>
      <c r="S682" s="122"/>
      <c r="T682" s="173"/>
      <c r="U682" s="173"/>
      <c r="V682" s="173"/>
      <c r="W682" s="173"/>
      <c r="X682" s="173"/>
      <c r="Y682" s="173"/>
      <c r="Z682" s="173"/>
    </row>
    <row r="683" spans="1:26" ht="12.75" x14ac:dyDescent="0.2">
      <c r="A683" s="122"/>
      <c r="B683" s="122"/>
      <c r="C683" s="122"/>
      <c r="D683" s="122"/>
      <c r="E683" s="122"/>
      <c r="F683" s="122"/>
      <c r="G683" s="122"/>
      <c r="H683" s="122"/>
      <c r="I683" s="122"/>
      <c r="J683" s="122"/>
      <c r="K683" s="122"/>
      <c r="L683" s="122"/>
      <c r="M683" s="122"/>
      <c r="N683" s="122"/>
      <c r="O683" s="122"/>
      <c r="P683" s="122"/>
      <c r="Q683" s="122"/>
      <c r="R683" s="122"/>
      <c r="S683" s="122"/>
      <c r="T683" s="173"/>
      <c r="U683" s="173"/>
      <c r="V683" s="173"/>
      <c r="W683" s="173"/>
      <c r="X683" s="173"/>
      <c r="Y683" s="173"/>
      <c r="Z683" s="173"/>
    </row>
    <row r="684" spans="1:26" ht="12.75" x14ac:dyDescent="0.2">
      <c r="A684" s="122"/>
      <c r="B684" s="122"/>
      <c r="C684" s="122"/>
      <c r="D684" s="122"/>
      <c r="E684" s="122"/>
      <c r="F684" s="122"/>
      <c r="G684" s="122"/>
      <c r="H684" s="122"/>
      <c r="I684" s="122"/>
      <c r="J684" s="122"/>
      <c r="K684" s="122"/>
      <c r="L684" s="122"/>
      <c r="M684" s="122"/>
      <c r="N684" s="122"/>
      <c r="O684" s="122"/>
      <c r="P684" s="122"/>
      <c r="Q684" s="122"/>
      <c r="R684" s="122"/>
      <c r="S684" s="122"/>
      <c r="T684" s="173"/>
      <c r="U684" s="173"/>
      <c r="V684" s="173"/>
      <c r="W684" s="173"/>
      <c r="X684" s="173"/>
      <c r="Y684" s="173"/>
      <c r="Z684" s="173"/>
    </row>
    <row r="685" spans="1:26" ht="12.75" x14ac:dyDescent="0.2">
      <c r="A685" s="122"/>
      <c r="B685" s="122"/>
      <c r="C685" s="122"/>
      <c r="D685" s="122"/>
      <c r="E685" s="122"/>
      <c r="F685" s="122"/>
      <c r="G685" s="122"/>
      <c r="H685" s="122"/>
      <c r="I685" s="122"/>
      <c r="J685" s="122"/>
      <c r="K685" s="122"/>
      <c r="L685" s="122"/>
      <c r="M685" s="122"/>
      <c r="N685" s="122"/>
      <c r="O685" s="122"/>
      <c r="P685" s="122"/>
      <c r="Q685" s="122"/>
      <c r="R685" s="122"/>
      <c r="S685" s="122"/>
      <c r="T685" s="173"/>
      <c r="U685" s="173"/>
      <c r="V685" s="173"/>
      <c r="W685" s="173"/>
      <c r="X685" s="173"/>
      <c r="Y685" s="173"/>
      <c r="Z685" s="173"/>
    </row>
    <row r="686" spans="1:26" ht="12.75" x14ac:dyDescent="0.2">
      <c r="A686" s="122"/>
      <c r="B686" s="122"/>
      <c r="C686" s="122"/>
      <c r="D686" s="122"/>
      <c r="E686" s="122"/>
      <c r="F686" s="122"/>
      <c r="G686" s="122"/>
      <c r="H686" s="122"/>
      <c r="I686" s="122"/>
      <c r="J686" s="122"/>
      <c r="K686" s="122"/>
      <c r="L686" s="122"/>
      <c r="M686" s="122"/>
      <c r="N686" s="122"/>
      <c r="O686" s="122"/>
      <c r="P686" s="122"/>
      <c r="Q686" s="122"/>
      <c r="R686" s="122"/>
      <c r="S686" s="122"/>
      <c r="T686" s="173"/>
      <c r="U686" s="173"/>
      <c r="V686" s="173"/>
      <c r="W686" s="173"/>
      <c r="X686" s="173"/>
      <c r="Y686" s="173"/>
      <c r="Z686" s="173"/>
    </row>
    <row r="687" spans="1:26" ht="12.75" x14ac:dyDescent="0.2">
      <c r="A687" s="122"/>
      <c r="B687" s="122"/>
      <c r="C687" s="122"/>
      <c r="D687" s="122"/>
      <c r="E687" s="122"/>
      <c r="F687" s="122"/>
      <c r="G687" s="122"/>
      <c r="H687" s="122"/>
      <c r="I687" s="122"/>
      <c r="J687" s="122"/>
      <c r="K687" s="122"/>
      <c r="L687" s="122"/>
      <c r="M687" s="122"/>
      <c r="N687" s="122"/>
      <c r="O687" s="122"/>
      <c r="P687" s="122"/>
      <c r="Q687" s="122"/>
      <c r="R687" s="122"/>
      <c r="S687" s="122"/>
      <c r="T687" s="173"/>
      <c r="U687" s="173"/>
      <c r="V687" s="173"/>
      <c r="W687" s="173"/>
      <c r="X687" s="173"/>
      <c r="Y687" s="173"/>
      <c r="Z687" s="173"/>
    </row>
    <row r="688" spans="1:26" ht="12.75" x14ac:dyDescent="0.2">
      <c r="A688" s="122"/>
      <c r="B688" s="122"/>
      <c r="C688" s="122"/>
      <c r="D688" s="122"/>
      <c r="E688" s="122"/>
      <c r="F688" s="122"/>
      <c r="G688" s="122"/>
      <c r="H688" s="122"/>
      <c r="I688" s="122"/>
      <c r="J688" s="122"/>
      <c r="K688" s="122"/>
      <c r="L688" s="122"/>
      <c r="M688" s="122"/>
      <c r="N688" s="122"/>
      <c r="O688" s="122"/>
      <c r="P688" s="122"/>
      <c r="Q688" s="122"/>
      <c r="R688" s="122"/>
      <c r="S688" s="122"/>
      <c r="T688" s="173"/>
      <c r="U688" s="173"/>
      <c r="V688" s="173"/>
      <c r="W688" s="173"/>
      <c r="X688" s="173"/>
      <c r="Y688" s="173"/>
      <c r="Z688" s="173"/>
    </row>
    <row r="689" spans="1:26" ht="12.75" x14ac:dyDescent="0.2">
      <c r="A689" s="122"/>
      <c r="B689" s="122"/>
      <c r="C689" s="122"/>
      <c r="D689" s="122"/>
      <c r="E689" s="122"/>
      <c r="F689" s="122"/>
      <c r="G689" s="122"/>
      <c r="H689" s="122"/>
      <c r="I689" s="122"/>
      <c r="J689" s="122"/>
      <c r="K689" s="122"/>
      <c r="L689" s="122"/>
      <c r="M689" s="122"/>
      <c r="N689" s="122"/>
      <c r="O689" s="122"/>
      <c r="P689" s="122"/>
      <c r="Q689" s="122"/>
      <c r="R689" s="122"/>
      <c r="S689" s="122"/>
      <c r="T689" s="173"/>
      <c r="U689" s="173"/>
      <c r="V689" s="173"/>
      <c r="W689" s="173"/>
      <c r="X689" s="173"/>
      <c r="Y689" s="173"/>
      <c r="Z689" s="173"/>
    </row>
    <row r="690" spans="1:26" ht="12.75" x14ac:dyDescent="0.2">
      <c r="A690" s="122"/>
      <c r="B690" s="122"/>
      <c r="C690" s="122"/>
      <c r="D690" s="122"/>
      <c r="E690" s="122"/>
      <c r="F690" s="122"/>
      <c r="G690" s="122"/>
      <c r="H690" s="122"/>
      <c r="I690" s="122"/>
      <c r="J690" s="122"/>
      <c r="K690" s="122"/>
      <c r="L690" s="122"/>
      <c r="M690" s="122"/>
      <c r="N690" s="122"/>
      <c r="O690" s="122"/>
      <c r="P690" s="122"/>
      <c r="Q690" s="122"/>
      <c r="R690" s="122"/>
      <c r="S690" s="122"/>
      <c r="T690" s="173"/>
      <c r="U690" s="173"/>
      <c r="V690" s="173"/>
      <c r="W690" s="173"/>
      <c r="X690" s="173"/>
      <c r="Y690" s="173"/>
      <c r="Z690" s="173"/>
    </row>
    <row r="691" spans="1:26" ht="12.75" x14ac:dyDescent="0.2">
      <c r="A691" s="122"/>
      <c r="B691" s="122"/>
      <c r="C691" s="122"/>
      <c r="D691" s="122"/>
      <c r="E691" s="122"/>
      <c r="F691" s="122"/>
      <c r="G691" s="122"/>
      <c r="H691" s="122"/>
      <c r="I691" s="122"/>
      <c r="J691" s="122"/>
      <c r="K691" s="122"/>
      <c r="L691" s="122"/>
      <c r="M691" s="122"/>
      <c r="N691" s="122"/>
      <c r="O691" s="122"/>
      <c r="P691" s="122"/>
      <c r="Q691" s="122"/>
      <c r="R691" s="122"/>
      <c r="S691" s="122"/>
      <c r="T691" s="173"/>
      <c r="U691" s="173"/>
      <c r="V691" s="173"/>
      <c r="W691" s="173"/>
      <c r="X691" s="173"/>
      <c r="Y691" s="173"/>
      <c r="Z691" s="173"/>
    </row>
    <row r="692" spans="1:26" ht="12.75" x14ac:dyDescent="0.2">
      <c r="A692" s="122"/>
      <c r="B692" s="122"/>
      <c r="C692" s="122"/>
      <c r="D692" s="122"/>
      <c r="E692" s="122"/>
      <c r="F692" s="122"/>
      <c r="G692" s="122"/>
      <c r="H692" s="122"/>
      <c r="I692" s="122"/>
      <c r="J692" s="122"/>
      <c r="K692" s="122"/>
      <c r="L692" s="122"/>
      <c r="M692" s="122"/>
      <c r="N692" s="122"/>
      <c r="O692" s="122"/>
      <c r="P692" s="122"/>
      <c r="Q692" s="122"/>
      <c r="R692" s="122"/>
      <c r="S692" s="122"/>
      <c r="T692" s="173"/>
      <c r="U692" s="173"/>
      <c r="V692" s="173"/>
      <c r="W692" s="173"/>
      <c r="X692" s="173"/>
      <c r="Y692" s="173"/>
      <c r="Z692" s="173"/>
    </row>
    <row r="693" spans="1:26" ht="12.75" x14ac:dyDescent="0.2">
      <c r="A693" s="122"/>
      <c r="B693" s="122"/>
      <c r="C693" s="122"/>
      <c r="D693" s="122"/>
      <c r="E693" s="122"/>
      <c r="F693" s="122"/>
      <c r="G693" s="122"/>
      <c r="H693" s="122"/>
      <c r="I693" s="122"/>
      <c r="J693" s="122"/>
      <c r="K693" s="122"/>
      <c r="L693" s="122"/>
      <c r="M693" s="122"/>
      <c r="N693" s="122"/>
      <c r="O693" s="122"/>
      <c r="P693" s="122"/>
      <c r="Q693" s="122"/>
      <c r="R693" s="122"/>
      <c r="S693" s="122"/>
      <c r="T693" s="173"/>
      <c r="U693" s="173"/>
      <c r="V693" s="173"/>
      <c r="W693" s="173"/>
      <c r="X693" s="173"/>
      <c r="Y693" s="173"/>
      <c r="Z693" s="173"/>
    </row>
    <row r="694" spans="1:26" ht="12.75" x14ac:dyDescent="0.2">
      <c r="A694" s="122"/>
      <c r="B694" s="122"/>
      <c r="C694" s="122"/>
      <c r="D694" s="122"/>
      <c r="E694" s="122"/>
      <c r="F694" s="122"/>
      <c r="G694" s="122"/>
      <c r="H694" s="122"/>
      <c r="I694" s="122"/>
      <c r="J694" s="122"/>
      <c r="K694" s="122"/>
      <c r="L694" s="122"/>
      <c r="M694" s="122"/>
      <c r="N694" s="122"/>
      <c r="O694" s="122"/>
      <c r="P694" s="122"/>
      <c r="Q694" s="122"/>
      <c r="R694" s="122"/>
      <c r="S694" s="122"/>
      <c r="T694" s="173"/>
      <c r="U694" s="173"/>
      <c r="V694" s="173"/>
      <c r="W694" s="173"/>
      <c r="X694" s="173"/>
      <c r="Y694" s="173"/>
      <c r="Z694" s="173"/>
    </row>
    <row r="695" spans="1:26" ht="12.75" x14ac:dyDescent="0.2">
      <c r="A695" s="122"/>
      <c r="B695" s="122"/>
      <c r="C695" s="122"/>
      <c r="D695" s="122"/>
      <c r="E695" s="122"/>
      <c r="F695" s="122"/>
      <c r="G695" s="122"/>
      <c r="H695" s="122"/>
      <c r="I695" s="122"/>
      <c r="J695" s="122"/>
      <c r="K695" s="122"/>
      <c r="L695" s="122"/>
      <c r="M695" s="122"/>
      <c r="N695" s="122"/>
      <c r="O695" s="122"/>
      <c r="P695" s="122"/>
      <c r="Q695" s="122"/>
      <c r="R695" s="122"/>
      <c r="S695" s="122"/>
      <c r="T695" s="173"/>
      <c r="U695" s="173"/>
      <c r="V695" s="173"/>
      <c r="W695" s="173"/>
      <c r="X695" s="173"/>
      <c r="Y695" s="173"/>
      <c r="Z695" s="173"/>
    </row>
    <row r="696" spans="1:26" ht="12.75" x14ac:dyDescent="0.2">
      <c r="A696" s="122"/>
      <c r="B696" s="122"/>
      <c r="C696" s="122"/>
      <c r="D696" s="122"/>
      <c r="E696" s="122"/>
      <c r="F696" s="122"/>
      <c r="G696" s="122"/>
      <c r="H696" s="122"/>
      <c r="I696" s="122"/>
      <c r="J696" s="122"/>
      <c r="K696" s="122"/>
      <c r="L696" s="122"/>
      <c r="M696" s="122"/>
      <c r="N696" s="122"/>
      <c r="O696" s="122"/>
      <c r="P696" s="122"/>
      <c r="Q696" s="122"/>
      <c r="R696" s="122"/>
      <c r="S696" s="122"/>
      <c r="T696" s="173"/>
      <c r="U696" s="173"/>
      <c r="V696" s="173"/>
      <c r="W696" s="173"/>
      <c r="X696" s="173"/>
      <c r="Y696" s="173"/>
      <c r="Z696" s="173"/>
    </row>
    <row r="697" spans="1:26" ht="12.75" x14ac:dyDescent="0.2">
      <c r="A697" s="122"/>
      <c r="B697" s="122"/>
      <c r="C697" s="122"/>
      <c r="D697" s="122"/>
      <c r="E697" s="122"/>
      <c r="F697" s="122"/>
      <c r="G697" s="122"/>
      <c r="H697" s="122"/>
      <c r="I697" s="122"/>
      <c r="J697" s="122"/>
      <c r="K697" s="122"/>
      <c r="L697" s="122"/>
      <c r="M697" s="122"/>
      <c r="N697" s="122"/>
      <c r="O697" s="122"/>
      <c r="P697" s="122"/>
      <c r="Q697" s="122"/>
      <c r="R697" s="122"/>
      <c r="S697" s="122"/>
      <c r="T697" s="173"/>
      <c r="U697" s="173"/>
      <c r="V697" s="173"/>
      <c r="W697" s="173"/>
      <c r="X697" s="173"/>
      <c r="Y697" s="173"/>
      <c r="Z697" s="173"/>
    </row>
    <row r="698" spans="1:26" ht="12.75" x14ac:dyDescent="0.2">
      <c r="A698" s="122"/>
      <c r="B698" s="122"/>
      <c r="C698" s="122"/>
      <c r="D698" s="122"/>
      <c r="E698" s="122"/>
      <c r="F698" s="122"/>
      <c r="G698" s="122"/>
      <c r="H698" s="122"/>
      <c r="I698" s="122"/>
      <c r="J698" s="122"/>
      <c r="K698" s="122"/>
      <c r="L698" s="122"/>
      <c r="M698" s="122"/>
      <c r="N698" s="122"/>
      <c r="O698" s="122"/>
      <c r="P698" s="122"/>
      <c r="Q698" s="122"/>
      <c r="R698" s="122"/>
      <c r="S698" s="122"/>
      <c r="T698" s="173"/>
      <c r="U698" s="173"/>
      <c r="V698" s="173"/>
      <c r="W698" s="173"/>
      <c r="X698" s="173"/>
      <c r="Y698" s="173"/>
      <c r="Z698" s="173"/>
    </row>
    <row r="699" spans="1:26" ht="12.75" x14ac:dyDescent="0.2">
      <c r="A699" s="122"/>
      <c r="B699" s="122"/>
      <c r="C699" s="122"/>
      <c r="D699" s="122"/>
      <c r="E699" s="122"/>
      <c r="F699" s="122"/>
      <c r="G699" s="122"/>
      <c r="H699" s="122"/>
      <c r="I699" s="122"/>
      <c r="J699" s="122"/>
      <c r="K699" s="122"/>
      <c r="L699" s="122"/>
      <c r="M699" s="122"/>
      <c r="N699" s="122"/>
      <c r="O699" s="122"/>
      <c r="P699" s="122"/>
      <c r="Q699" s="122"/>
      <c r="R699" s="122"/>
      <c r="S699" s="122"/>
      <c r="T699" s="173"/>
      <c r="U699" s="173"/>
      <c r="V699" s="173"/>
      <c r="W699" s="173"/>
      <c r="X699" s="173"/>
      <c r="Y699" s="173"/>
      <c r="Z699" s="173"/>
    </row>
    <row r="700" spans="1:26" ht="12.75" x14ac:dyDescent="0.2">
      <c r="A700" s="122"/>
      <c r="B700" s="122"/>
      <c r="C700" s="122"/>
      <c r="D700" s="122"/>
      <c r="E700" s="122"/>
      <c r="F700" s="122"/>
      <c r="G700" s="122"/>
      <c r="H700" s="122"/>
      <c r="I700" s="122"/>
      <c r="J700" s="122"/>
      <c r="K700" s="122"/>
      <c r="L700" s="122"/>
      <c r="M700" s="122"/>
      <c r="N700" s="122"/>
      <c r="O700" s="122"/>
      <c r="P700" s="122"/>
      <c r="Q700" s="122"/>
      <c r="R700" s="122"/>
      <c r="S700" s="122"/>
      <c r="T700" s="173"/>
      <c r="U700" s="173"/>
      <c r="V700" s="173"/>
      <c r="W700" s="173"/>
      <c r="X700" s="173"/>
      <c r="Y700" s="173"/>
      <c r="Z700" s="173"/>
    </row>
    <row r="701" spans="1:26" ht="12.75" x14ac:dyDescent="0.2">
      <c r="A701" s="122"/>
      <c r="B701" s="122"/>
      <c r="C701" s="122"/>
      <c r="D701" s="122"/>
      <c r="E701" s="122"/>
      <c r="F701" s="122"/>
      <c r="G701" s="122"/>
      <c r="H701" s="122"/>
      <c r="I701" s="122"/>
      <c r="J701" s="122"/>
      <c r="K701" s="122"/>
      <c r="L701" s="122"/>
      <c r="M701" s="122"/>
      <c r="N701" s="122"/>
      <c r="O701" s="122"/>
      <c r="P701" s="122"/>
      <c r="Q701" s="122"/>
      <c r="R701" s="122"/>
      <c r="S701" s="122"/>
      <c r="T701" s="173"/>
      <c r="U701" s="173"/>
      <c r="V701" s="173"/>
      <c r="W701" s="173"/>
      <c r="X701" s="173"/>
      <c r="Y701" s="173"/>
      <c r="Z701" s="173"/>
    </row>
    <row r="702" spans="1:26" ht="12.75" x14ac:dyDescent="0.2">
      <c r="A702" s="122"/>
      <c r="B702" s="122"/>
      <c r="C702" s="122"/>
      <c r="D702" s="122"/>
      <c r="E702" s="122"/>
      <c r="F702" s="122"/>
      <c r="G702" s="122"/>
      <c r="H702" s="122"/>
      <c r="I702" s="122"/>
      <c r="J702" s="122"/>
      <c r="K702" s="122"/>
      <c r="L702" s="122"/>
      <c r="M702" s="122"/>
      <c r="N702" s="122"/>
      <c r="O702" s="122"/>
      <c r="P702" s="122"/>
      <c r="Q702" s="122"/>
      <c r="R702" s="122"/>
      <c r="S702" s="122"/>
      <c r="T702" s="173"/>
      <c r="U702" s="173"/>
      <c r="V702" s="173"/>
      <c r="W702" s="173"/>
      <c r="X702" s="173"/>
      <c r="Y702" s="173"/>
      <c r="Z702" s="173"/>
    </row>
    <row r="703" spans="1:26" ht="12.75" x14ac:dyDescent="0.2">
      <c r="A703" s="122"/>
      <c r="B703" s="122"/>
      <c r="C703" s="122"/>
      <c r="D703" s="122"/>
      <c r="E703" s="122"/>
      <c r="F703" s="122"/>
      <c r="G703" s="122"/>
      <c r="H703" s="122"/>
      <c r="I703" s="122"/>
      <c r="J703" s="122"/>
      <c r="K703" s="122"/>
      <c r="L703" s="122"/>
      <c r="M703" s="122"/>
      <c r="N703" s="122"/>
      <c r="O703" s="122"/>
      <c r="P703" s="122"/>
      <c r="Q703" s="122"/>
      <c r="R703" s="122"/>
      <c r="S703" s="122"/>
      <c r="T703" s="173"/>
      <c r="U703" s="173"/>
      <c r="V703" s="173"/>
      <c r="W703" s="173"/>
      <c r="X703" s="173"/>
      <c r="Y703" s="173"/>
      <c r="Z703" s="173"/>
    </row>
    <row r="704" spans="1:26" ht="12.75" x14ac:dyDescent="0.2">
      <c r="A704" s="122"/>
      <c r="B704" s="122"/>
      <c r="C704" s="122"/>
      <c r="D704" s="122"/>
      <c r="E704" s="122"/>
      <c r="F704" s="122"/>
      <c r="G704" s="122"/>
      <c r="H704" s="122"/>
      <c r="I704" s="122"/>
      <c r="J704" s="122"/>
      <c r="K704" s="122"/>
      <c r="L704" s="122"/>
      <c r="M704" s="122"/>
      <c r="N704" s="122"/>
      <c r="O704" s="122"/>
      <c r="P704" s="122"/>
      <c r="Q704" s="122"/>
      <c r="R704" s="122"/>
      <c r="S704" s="122"/>
      <c r="T704" s="173"/>
      <c r="U704" s="173"/>
      <c r="V704" s="173"/>
      <c r="W704" s="173"/>
      <c r="X704" s="173"/>
      <c r="Y704" s="173"/>
      <c r="Z704" s="173"/>
    </row>
    <row r="705" spans="1:26" ht="12.75" x14ac:dyDescent="0.2">
      <c r="A705" s="122"/>
      <c r="B705" s="122"/>
      <c r="C705" s="122"/>
      <c r="D705" s="122"/>
      <c r="E705" s="122"/>
      <c r="F705" s="122"/>
      <c r="G705" s="122"/>
      <c r="H705" s="122"/>
      <c r="I705" s="122"/>
      <c r="J705" s="122"/>
      <c r="K705" s="122"/>
      <c r="L705" s="122"/>
      <c r="M705" s="122"/>
      <c r="N705" s="122"/>
      <c r="O705" s="122"/>
      <c r="P705" s="122"/>
      <c r="Q705" s="122"/>
      <c r="R705" s="122"/>
      <c r="S705" s="122"/>
      <c r="T705" s="173"/>
      <c r="U705" s="173"/>
      <c r="V705" s="173"/>
      <c r="W705" s="173"/>
      <c r="X705" s="173"/>
      <c r="Y705" s="173"/>
      <c r="Z705" s="173"/>
    </row>
    <row r="706" spans="1:26" ht="12.75" x14ac:dyDescent="0.2">
      <c r="A706" s="122"/>
      <c r="B706" s="122"/>
      <c r="C706" s="122"/>
      <c r="D706" s="122"/>
      <c r="E706" s="122"/>
      <c r="F706" s="122"/>
      <c r="G706" s="122"/>
      <c r="H706" s="122"/>
      <c r="I706" s="122"/>
      <c r="J706" s="122"/>
      <c r="K706" s="122"/>
      <c r="L706" s="122"/>
      <c r="M706" s="122"/>
      <c r="N706" s="122"/>
      <c r="O706" s="122"/>
      <c r="P706" s="122"/>
      <c r="Q706" s="122"/>
      <c r="R706" s="122"/>
      <c r="S706" s="122"/>
      <c r="T706" s="173"/>
      <c r="U706" s="173"/>
      <c r="V706" s="173"/>
      <c r="W706" s="173"/>
      <c r="X706" s="173"/>
      <c r="Y706" s="173"/>
      <c r="Z706" s="173"/>
    </row>
    <row r="707" spans="1:26" ht="12.75" x14ac:dyDescent="0.2">
      <c r="A707" s="122"/>
      <c r="B707" s="122"/>
      <c r="C707" s="122"/>
      <c r="D707" s="122"/>
      <c r="E707" s="122"/>
      <c r="F707" s="122"/>
      <c r="G707" s="122"/>
      <c r="H707" s="122"/>
      <c r="I707" s="122"/>
      <c r="J707" s="122"/>
      <c r="K707" s="122"/>
      <c r="L707" s="122"/>
      <c r="M707" s="122"/>
      <c r="N707" s="122"/>
      <c r="O707" s="122"/>
      <c r="P707" s="122"/>
      <c r="Q707" s="122"/>
      <c r="R707" s="122"/>
      <c r="S707" s="122"/>
      <c r="T707" s="173"/>
      <c r="U707" s="173"/>
      <c r="V707" s="173"/>
      <c r="W707" s="173"/>
      <c r="X707" s="173"/>
      <c r="Y707" s="173"/>
      <c r="Z707" s="173"/>
    </row>
    <row r="708" spans="1:26" ht="12.75" x14ac:dyDescent="0.2">
      <c r="A708" s="122"/>
      <c r="B708" s="122"/>
      <c r="C708" s="122"/>
      <c r="D708" s="122"/>
      <c r="E708" s="122"/>
      <c r="F708" s="122"/>
      <c r="G708" s="122"/>
      <c r="H708" s="122"/>
      <c r="I708" s="122"/>
      <c r="J708" s="122"/>
      <c r="K708" s="122"/>
      <c r="L708" s="122"/>
      <c r="M708" s="122"/>
      <c r="N708" s="122"/>
      <c r="O708" s="122"/>
      <c r="P708" s="122"/>
      <c r="Q708" s="122"/>
      <c r="R708" s="122"/>
      <c r="S708" s="122"/>
      <c r="T708" s="173"/>
      <c r="U708" s="173"/>
      <c r="V708" s="173"/>
      <c r="W708" s="173"/>
      <c r="X708" s="173"/>
      <c r="Y708" s="173"/>
      <c r="Z708" s="173"/>
    </row>
    <row r="709" spans="1:26" ht="12.75" x14ac:dyDescent="0.2">
      <c r="A709" s="122"/>
      <c r="B709" s="122"/>
      <c r="C709" s="122"/>
      <c r="D709" s="122"/>
      <c r="E709" s="122"/>
      <c r="F709" s="122"/>
      <c r="G709" s="122"/>
      <c r="H709" s="122"/>
      <c r="I709" s="122"/>
      <c r="J709" s="122"/>
      <c r="K709" s="122"/>
      <c r="L709" s="122"/>
      <c r="M709" s="122"/>
      <c r="N709" s="122"/>
      <c r="O709" s="122"/>
      <c r="P709" s="122"/>
      <c r="Q709" s="122"/>
      <c r="R709" s="122"/>
      <c r="S709" s="122"/>
      <c r="T709" s="173"/>
      <c r="U709" s="173"/>
      <c r="V709" s="173"/>
      <c r="W709" s="173"/>
      <c r="X709" s="173"/>
      <c r="Y709" s="173"/>
      <c r="Z709" s="173"/>
    </row>
    <row r="710" spans="1:26" ht="12.75" x14ac:dyDescent="0.2">
      <c r="A710" s="122"/>
      <c r="B710" s="122"/>
      <c r="C710" s="122"/>
      <c r="D710" s="122"/>
      <c r="E710" s="122"/>
      <c r="F710" s="122"/>
      <c r="G710" s="122"/>
      <c r="H710" s="122"/>
      <c r="I710" s="122"/>
      <c r="J710" s="122"/>
      <c r="K710" s="122"/>
      <c r="L710" s="122"/>
      <c r="M710" s="122"/>
      <c r="N710" s="122"/>
      <c r="O710" s="122"/>
      <c r="P710" s="122"/>
      <c r="Q710" s="122"/>
      <c r="R710" s="122"/>
      <c r="S710" s="122"/>
      <c r="T710" s="173"/>
      <c r="U710" s="173"/>
      <c r="V710" s="173"/>
      <c r="W710" s="173"/>
      <c r="X710" s="173"/>
      <c r="Y710" s="173"/>
      <c r="Z710" s="173"/>
    </row>
    <row r="711" spans="1:26" ht="12.75" x14ac:dyDescent="0.2">
      <c r="A711" s="122"/>
      <c r="B711" s="122"/>
      <c r="C711" s="122"/>
      <c r="D711" s="122"/>
      <c r="E711" s="122"/>
      <c r="F711" s="122"/>
      <c r="G711" s="122"/>
      <c r="H711" s="122"/>
      <c r="I711" s="122"/>
      <c r="J711" s="122"/>
      <c r="K711" s="122"/>
      <c r="L711" s="122"/>
      <c r="M711" s="122"/>
      <c r="N711" s="122"/>
      <c r="O711" s="122"/>
      <c r="P711" s="122"/>
      <c r="Q711" s="122"/>
      <c r="R711" s="122"/>
      <c r="S711" s="122"/>
      <c r="T711" s="173"/>
      <c r="U711" s="173"/>
      <c r="V711" s="173"/>
      <c r="W711" s="173"/>
      <c r="X711" s="173"/>
      <c r="Y711" s="173"/>
      <c r="Z711" s="173"/>
    </row>
    <row r="712" spans="1:26" ht="12.75" x14ac:dyDescent="0.2">
      <c r="A712" s="122"/>
      <c r="B712" s="122"/>
      <c r="C712" s="122"/>
      <c r="D712" s="122"/>
      <c r="E712" s="122"/>
      <c r="F712" s="122"/>
      <c r="G712" s="122"/>
      <c r="H712" s="122"/>
      <c r="I712" s="122"/>
      <c r="J712" s="122"/>
      <c r="K712" s="122"/>
      <c r="L712" s="122"/>
      <c r="M712" s="122"/>
      <c r="N712" s="122"/>
      <c r="O712" s="122"/>
      <c r="P712" s="122"/>
      <c r="Q712" s="122"/>
      <c r="R712" s="122"/>
      <c r="S712" s="122"/>
      <c r="T712" s="173"/>
      <c r="U712" s="173"/>
      <c r="V712" s="173"/>
      <c r="W712" s="173"/>
      <c r="X712" s="173"/>
      <c r="Y712" s="173"/>
      <c r="Z712" s="173"/>
    </row>
    <row r="713" spans="1:26" ht="12.75" x14ac:dyDescent="0.2">
      <c r="A713" s="122"/>
      <c r="B713" s="122"/>
      <c r="C713" s="122"/>
      <c r="D713" s="122"/>
      <c r="E713" s="122"/>
      <c r="F713" s="122"/>
      <c r="G713" s="122"/>
      <c r="H713" s="122"/>
      <c r="I713" s="122"/>
      <c r="J713" s="122"/>
      <c r="K713" s="122"/>
      <c r="L713" s="122"/>
      <c r="M713" s="122"/>
      <c r="N713" s="122"/>
      <c r="O713" s="122"/>
      <c r="P713" s="122"/>
      <c r="Q713" s="122"/>
      <c r="R713" s="122"/>
      <c r="S713" s="122"/>
      <c r="T713" s="173"/>
      <c r="U713" s="173"/>
      <c r="V713" s="173"/>
      <c r="W713" s="173"/>
      <c r="X713" s="173"/>
      <c r="Y713" s="173"/>
      <c r="Z713" s="173"/>
    </row>
    <row r="714" spans="1:26" ht="12.75" x14ac:dyDescent="0.2">
      <c r="A714" s="122"/>
      <c r="B714" s="122"/>
      <c r="C714" s="122"/>
      <c r="D714" s="122"/>
      <c r="E714" s="122"/>
      <c r="F714" s="122"/>
      <c r="G714" s="122"/>
      <c r="H714" s="122"/>
      <c r="I714" s="122"/>
      <c r="J714" s="122"/>
      <c r="K714" s="122"/>
      <c r="L714" s="122"/>
      <c r="M714" s="122"/>
      <c r="N714" s="122"/>
      <c r="O714" s="122"/>
      <c r="P714" s="122"/>
      <c r="Q714" s="122"/>
      <c r="R714" s="122"/>
      <c r="S714" s="122"/>
      <c r="T714" s="173"/>
      <c r="U714" s="173"/>
      <c r="V714" s="173"/>
      <c r="W714" s="173"/>
      <c r="X714" s="173"/>
      <c r="Y714" s="173"/>
      <c r="Z714" s="173"/>
    </row>
    <row r="715" spans="1:26" ht="12.75" x14ac:dyDescent="0.2">
      <c r="A715" s="122"/>
      <c r="B715" s="122"/>
      <c r="C715" s="122"/>
      <c r="D715" s="122"/>
      <c r="E715" s="122"/>
      <c r="F715" s="122"/>
      <c r="G715" s="122"/>
      <c r="H715" s="122"/>
      <c r="I715" s="122"/>
      <c r="J715" s="122"/>
      <c r="K715" s="122"/>
      <c r="L715" s="122"/>
      <c r="M715" s="122"/>
      <c r="N715" s="122"/>
      <c r="O715" s="122"/>
      <c r="P715" s="122"/>
      <c r="Q715" s="122"/>
      <c r="R715" s="122"/>
      <c r="S715" s="122"/>
      <c r="T715" s="173"/>
      <c r="U715" s="173"/>
      <c r="V715" s="173"/>
      <c r="W715" s="173"/>
      <c r="X715" s="173"/>
      <c r="Y715" s="173"/>
      <c r="Z715" s="173"/>
    </row>
    <row r="716" spans="1:26" ht="12.75" x14ac:dyDescent="0.2">
      <c r="A716" s="122"/>
      <c r="B716" s="122"/>
      <c r="C716" s="122"/>
      <c r="D716" s="122"/>
      <c r="E716" s="122"/>
      <c r="F716" s="122"/>
      <c r="G716" s="122"/>
      <c r="H716" s="122"/>
      <c r="I716" s="122"/>
      <c r="J716" s="122"/>
      <c r="K716" s="122"/>
      <c r="L716" s="122"/>
      <c r="M716" s="122"/>
      <c r="N716" s="122"/>
      <c r="O716" s="122"/>
      <c r="P716" s="122"/>
      <c r="Q716" s="122"/>
      <c r="R716" s="122"/>
      <c r="S716" s="122"/>
      <c r="T716" s="173"/>
      <c r="U716" s="173"/>
      <c r="V716" s="173"/>
      <c r="W716" s="173"/>
      <c r="X716" s="173"/>
      <c r="Y716" s="173"/>
      <c r="Z716" s="173"/>
    </row>
    <row r="717" spans="1:26" ht="12.75" x14ac:dyDescent="0.2">
      <c r="A717" s="122"/>
      <c r="B717" s="122"/>
      <c r="C717" s="122"/>
      <c r="D717" s="122"/>
      <c r="E717" s="122"/>
      <c r="F717" s="122"/>
      <c r="G717" s="122"/>
      <c r="H717" s="122"/>
      <c r="I717" s="122"/>
      <c r="J717" s="122"/>
      <c r="K717" s="122"/>
      <c r="L717" s="122"/>
      <c r="M717" s="122"/>
      <c r="N717" s="122"/>
      <c r="O717" s="122"/>
      <c r="P717" s="122"/>
      <c r="Q717" s="122"/>
      <c r="R717" s="122"/>
      <c r="S717" s="122"/>
      <c r="T717" s="173"/>
      <c r="U717" s="173"/>
      <c r="V717" s="173"/>
      <c r="W717" s="173"/>
      <c r="X717" s="173"/>
      <c r="Y717" s="173"/>
      <c r="Z717" s="173"/>
    </row>
    <row r="718" spans="1:26" ht="12.75" x14ac:dyDescent="0.2">
      <c r="A718" s="122"/>
      <c r="B718" s="122"/>
      <c r="C718" s="122"/>
      <c r="D718" s="122"/>
      <c r="E718" s="122"/>
      <c r="F718" s="122"/>
      <c r="G718" s="122"/>
      <c r="H718" s="122"/>
      <c r="I718" s="122"/>
      <c r="J718" s="122"/>
      <c r="K718" s="122"/>
      <c r="L718" s="122"/>
      <c r="M718" s="122"/>
      <c r="N718" s="122"/>
      <c r="O718" s="122"/>
      <c r="P718" s="122"/>
      <c r="Q718" s="122"/>
      <c r="R718" s="122"/>
      <c r="S718" s="122"/>
      <c r="T718" s="173"/>
      <c r="U718" s="173"/>
      <c r="V718" s="173"/>
      <c r="W718" s="173"/>
      <c r="X718" s="173"/>
      <c r="Y718" s="173"/>
      <c r="Z718" s="173"/>
    </row>
    <row r="719" spans="1:26" ht="12.75" x14ac:dyDescent="0.2">
      <c r="A719" s="122"/>
      <c r="B719" s="122"/>
      <c r="C719" s="122"/>
      <c r="D719" s="122"/>
      <c r="E719" s="122"/>
      <c r="F719" s="122"/>
      <c r="G719" s="122"/>
      <c r="H719" s="122"/>
      <c r="I719" s="122"/>
      <c r="J719" s="122"/>
      <c r="K719" s="122"/>
      <c r="L719" s="122"/>
      <c r="M719" s="122"/>
      <c r="N719" s="122"/>
      <c r="O719" s="122"/>
      <c r="P719" s="122"/>
      <c r="Q719" s="122"/>
      <c r="R719" s="122"/>
      <c r="S719" s="122"/>
      <c r="T719" s="173"/>
      <c r="U719" s="173"/>
      <c r="V719" s="173"/>
      <c r="W719" s="173"/>
      <c r="X719" s="173"/>
      <c r="Y719" s="173"/>
      <c r="Z719" s="173"/>
    </row>
    <row r="720" spans="1:26" ht="12.75" x14ac:dyDescent="0.2">
      <c r="A720" s="122"/>
      <c r="B720" s="122"/>
      <c r="C720" s="122"/>
      <c r="D720" s="122"/>
      <c r="E720" s="122"/>
      <c r="F720" s="122"/>
      <c r="G720" s="122"/>
      <c r="H720" s="122"/>
      <c r="I720" s="122"/>
      <c r="J720" s="122"/>
      <c r="K720" s="122"/>
      <c r="L720" s="122"/>
      <c r="M720" s="122"/>
      <c r="N720" s="122"/>
      <c r="O720" s="122"/>
      <c r="P720" s="122"/>
      <c r="Q720" s="122"/>
      <c r="R720" s="122"/>
      <c r="S720" s="122"/>
      <c r="T720" s="173"/>
      <c r="U720" s="173"/>
      <c r="V720" s="173"/>
      <c r="W720" s="173"/>
      <c r="X720" s="173"/>
      <c r="Y720" s="173"/>
      <c r="Z720" s="173"/>
    </row>
    <row r="721" spans="1:26" ht="12.75" x14ac:dyDescent="0.2">
      <c r="A721" s="122"/>
      <c r="B721" s="122"/>
      <c r="C721" s="122"/>
      <c r="D721" s="122"/>
      <c r="E721" s="122"/>
      <c r="F721" s="122"/>
      <c r="G721" s="122"/>
      <c r="H721" s="122"/>
      <c r="I721" s="122"/>
      <c r="J721" s="122"/>
      <c r="K721" s="122"/>
      <c r="L721" s="122"/>
      <c r="M721" s="122"/>
      <c r="N721" s="122"/>
      <c r="O721" s="122"/>
      <c r="P721" s="122"/>
      <c r="Q721" s="122"/>
      <c r="R721" s="122"/>
      <c r="S721" s="122"/>
      <c r="T721" s="173"/>
      <c r="U721" s="173"/>
      <c r="V721" s="173"/>
      <c r="W721" s="173"/>
      <c r="X721" s="173"/>
      <c r="Y721" s="173"/>
      <c r="Z721" s="173"/>
    </row>
    <row r="722" spans="1:26" ht="12.75" x14ac:dyDescent="0.2">
      <c r="A722" s="122"/>
      <c r="B722" s="122"/>
      <c r="C722" s="122"/>
      <c r="D722" s="122"/>
      <c r="E722" s="122"/>
      <c r="F722" s="122"/>
      <c r="G722" s="122"/>
      <c r="H722" s="122"/>
      <c r="I722" s="122"/>
      <c r="J722" s="122"/>
      <c r="K722" s="122"/>
      <c r="L722" s="122"/>
      <c r="M722" s="122"/>
      <c r="N722" s="122"/>
      <c r="O722" s="122"/>
      <c r="P722" s="122"/>
      <c r="Q722" s="122"/>
      <c r="R722" s="122"/>
      <c r="S722" s="122"/>
      <c r="T722" s="173"/>
      <c r="U722" s="173"/>
      <c r="V722" s="173"/>
      <c r="W722" s="173"/>
      <c r="X722" s="173"/>
      <c r="Y722" s="173"/>
      <c r="Z722" s="173"/>
    </row>
    <row r="723" spans="1:26" ht="12.75" x14ac:dyDescent="0.2">
      <c r="A723" s="122"/>
      <c r="B723" s="122"/>
      <c r="C723" s="122"/>
      <c r="D723" s="122"/>
      <c r="E723" s="122"/>
      <c r="F723" s="122"/>
      <c r="G723" s="122"/>
      <c r="H723" s="122"/>
      <c r="I723" s="122"/>
      <c r="J723" s="122"/>
      <c r="K723" s="122"/>
      <c r="L723" s="122"/>
      <c r="M723" s="122"/>
      <c r="N723" s="122"/>
      <c r="O723" s="122"/>
      <c r="P723" s="122"/>
      <c r="Q723" s="122"/>
      <c r="R723" s="122"/>
      <c r="S723" s="122"/>
      <c r="T723" s="173"/>
      <c r="U723" s="173"/>
      <c r="V723" s="173"/>
      <c r="W723" s="173"/>
      <c r="X723" s="173"/>
      <c r="Y723" s="173"/>
      <c r="Z723" s="173"/>
    </row>
    <row r="724" spans="1:26" ht="12.75" x14ac:dyDescent="0.2">
      <c r="A724" s="122"/>
      <c r="B724" s="122"/>
      <c r="C724" s="122"/>
      <c r="D724" s="122"/>
      <c r="E724" s="122"/>
      <c r="F724" s="122"/>
      <c r="G724" s="122"/>
      <c r="H724" s="122"/>
      <c r="I724" s="122"/>
      <c r="J724" s="122"/>
      <c r="K724" s="122"/>
      <c r="L724" s="122"/>
      <c r="M724" s="122"/>
      <c r="N724" s="122"/>
      <c r="O724" s="122"/>
      <c r="P724" s="122"/>
      <c r="Q724" s="122"/>
      <c r="R724" s="122"/>
      <c r="S724" s="122"/>
      <c r="T724" s="173"/>
      <c r="U724" s="173"/>
      <c r="V724" s="173"/>
      <c r="W724" s="173"/>
      <c r="X724" s="173"/>
      <c r="Y724" s="173"/>
      <c r="Z724" s="173"/>
    </row>
    <row r="725" spans="1:26" ht="12.75" x14ac:dyDescent="0.2">
      <c r="A725" s="122"/>
      <c r="B725" s="122"/>
      <c r="C725" s="122"/>
      <c r="D725" s="122"/>
      <c r="E725" s="122"/>
      <c r="F725" s="122"/>
      <c r="G725" s="122"/>
      <c r="H725" s="122"/>
      <c r="I725" s="122"/>
      <c r="J725" s="122"/>
      <c r="K725" s="122"/>
      <c r="L725" s="122"/>
      <c r="M725" s="122"/>
      <c r="N725" s="122"/>
      <c r="O725" s="122"/>
      <c r="P725" s="122"/>
      <c r="Q725" s="122"/>
      <c r="R725" s="122"/>
      <c r="S725" s="122"/>
      <c r="T725" s="173"/>
      <c r="U725" s="173"/>
      <c r="V725" s="173"/>
      <c r="W725" s="173"/>
      <c r="X725" s="173"/>
      <c r="Y725" s="173"/>
      <c r="Z725" s="173"/>
    </row>
    <row r="726" spans="1:26" ht="12.75" x14ac:dyDescent="0.2">
      <c r="A726" s="122"/>
      <c r="B726" s="122"/>
      <c r="C726" s="122"/>
      <c r="D726" s="122"/>
      <c r="E726" s="122"/>
      <c r="F726" s="122"/>
      <c r="G726" s="122"/>
      <c r="H726" s="122"/>
      <c r="I726" s="122"/>
      <c r="J726" s="122"/>
      <c r="K726" s="122"/>
      <c r="L726" s="122"/>
      <c r="M726" s="122"/>
      <c r="N726" s="122"/>
      <c r="O726" s="122"/>
      <c r="P726" s="122"/>
      <c r="Q726" s="122"/>
      <c r="R726" s="122"/>
      <c r="S726" s="122"/>
      <c r="T726" s="173"/>
      <c r="U726" s="173"/>
      <c r="V726" s="173"/>
      <c r="W726" s="173"/>
      <c r="X726" s="173"/>
      <c r="Y726" s="173"/>
      <c r="Z726" s="173"/>
    </row>
    <row r="727" spans="1:26" ht="12.75" x14ac:dyDescent="0.2">
      <c r="A727" s="122"/>
      <c r="B727" s="122"/>
      <c r="C727" s="122"/>
      <c r="D727" s="122"/>
      <c r="E727" s="122"/>
      <c r="F727" s="122"/>
      <c r="G727" s="122"/>
      <c r="H727" s="122"/>
      <c r="I727" s="122"/>
      <c r="J727" s="122"/>
      <c r="K727" s="122"/>
      <c r="L727" s="122"/>
      <c r="M727" s="122"/>
      <c r="N727" s="122"/>
      <c r="O727" s="122"/>
      <c r="P727" s="122"/>
      <c r="Q727" s="122"/>
      <c r="R727" s="122"/>
      <c r="S727" s="122"/>
      <c r="T727" s="173"/>
      <c r="U727" s="173"/>
      <c r="V727" s="173"/>
      <c r="W727" s="173"/>
      <c r="X727" s="173"/>
      <c r="Y727" s="173"/>
      <c r="Z727" s="173"/>
    </row>
    <row r="728" spans="1:26" ht="12.75" x14ac:dyDescent="0.2">
      <c r="A728" s="122"/>
      <c r="B728" s="122"/>
      <c r="C728" s="122"/>
      <c r="D728" s="122"/>
      <c r="E728" s="122"/>
      <c r="F728" s="122"/>
      <c r="G728" s="122"/>
      <c r="H728" s="122"/>
      <c r="I728" s="122"/>
      <c r="J728" s="122"/>
      <c r="K728" s="122"/>
      <c r="L728" s="122"/>
      <c r="M728" s="122"/>
      <c r="N728" s="122"/>
      <c r="O728" s="122"/>
      <c r="P728" s="122"/>
      <c r="Q728" s="122"/>
      <c r="R728" s="122"/>
      <c r="S728" s="122"/>
      <c r="T728" s="173"/>
      <c r="U728" s="173"/>
      <c r="V728" s="173"/>
      <c r="W728" s="173"/>
      <c r="X728" s="173"/>
      <c r="Y728" s="173"/>
      <c r="Z728" s="173"/>
    </row>
    <row r="729" spans="1:26" ht="12.75" x14ac:dyDescent="0.2">
      <c r="A729" s="122"/>
      <c r="B729" s="122"/>
      <c r="C729" s="122"/>
      <c r="D729" s="122"/>
      <c r="E729" s="122"/>
      <c r="F729" s="122"/>
      <c r="G729" s="122"/>
      <c r="H729" s="122"/>
      <c r="I729" s="122"/>
      <c r="J729" s="122"/>
      <c r="K729" s="122"/>
      <c r="L729" s="122"/>
      <c r="M729" s="122"/>
      <c r="N729" s="122"/>
      <c r="O729" s="122"/>
      <c r="P729" s="122"/>
      <c r="Q729" s="122"/>
      <c r="R729" s="122"/>
      <c r="S729" s="122"/>
      <c r="T729" s="173"/>
      <c r="U729" s="173"/>
      <c r="V729" s="173"/>
      <c r="W729" s="173"/>
      <c r="X729" s="173"/>
      <c r="Y729" s="173"/>
      <c r="Z729" s="173"/>
    </row>
    <row r="730" spans="1:26" ht="12.75" x14ac:dyDescent="0.2">
      <c r="A730" s="122"/>
      <c r="B730" s="122"/>
      <c r="C730" s="122"/>
      <c r="D730" s="122"/>
      <c r="E730" s="122"/>
      <c r="F730" s="122"/>
      <c r="G730" s="122"/>
      <c r="H730" s="122"/>
      <c r="I730" s="122"/>
      <c r="J730" s="122"/>
      <c r="K730" s="122"/>
      <c r="L730" s="122"/>
      <c r="M730" s="122"/>
      <c r="N730" s="122"/>
      <c r="O730" s="122"/>
      <c r="P730" s="122"/>
      <c r="Q730" s="122"/>
      <c r="R730" s="122"/>
      <c r="S730" s="122"/>
      <c r="T730" s="173"/>
      <c r="U730" s="173"/>
      <c r="V730" s="173"/>
      <c r="W730" s="173"/>
      <c r="X730" s="173"/>
      <c r="Y730" s="173"/>
      <c r="Z730" s="173"/>
    </row>
    <row r="731" spans="1:26" ht="12.75" x14ac:dyDescent="0.2">
      <c r="A731" s="122"/>
      <c r="B731" s="122"/>
      <c r="C731" s="122"/>
      <c r="D731" s="122"/>
      <c r="E731" s="122"/>
      <c r="F731" s="122"/>
      <c r="G731" s="122"/>
      <c r="H731" s="122"/>
      <c r="I731" s="122"/>
      <c r="J731" s="122"/>
      <c r="K731" s="122"/>
      <c r="L731" s="122"/>
      <c r="M731" s="122"/>
      <c r="N731" s="122"/>
      <c r="O731" s="122"/>
      <c r="P731" s="122"/>
      <c r="Q731" s="122"/>
      <c r="R731" s="122"/>
      <c r="S731" s="122"/>
      <c r="T731" s="173"/>
      <c r="U731" s="173"/>
      <c r="V731" s="173"/>
      <c r="W731" s="173"/>
      <c r="X731" s="173"/>
      <c r="Y731" s="173"/>
      <c r="Z731" s="173"/>
    </row>
    <row r="732" spans="1:26" ht="12.75" x14ac:dyDescent="0.2">
      <c r="A732" s="122"/>
      <c r="B732" s="122"/>
      <c r="C732" s="122"/>
      <c r="D732" s="122"/>
      <c r="E732" s="122"/>
      <c r="F732" s="122"/>
      <c r="G732" s="122"/>
      <c r="H732" s="122"/>
      <c r="I732" s="122"/>
      <c r="J732" s="122"/>
      <c r="K732" s="122"/>
      <c r="L732" s="122"/>
      <c r="M732" s="122"/>
      <c r="N732" s="122"/>
      <c r="O732" s="122"/>
      <c r="P732" s="122"/>
      <c r="Q732" s="122"/>
      <c r="R732" s="122"/>
      <c r="S732" s="122"/>
      <c r="T732" s="173"/>
      <c r="U732" s="173"/>
      <c r="V732" s="173"/>
      <c r="W732" s="173"/>
      <c r="X732" s="173"/>
      <c r="Y732" s="173"/>
      <c r="Z732" s="173"/>
    </row>
    <row r="733" spans="1:26" ht="12.75" x14ac:dyDescent="0.2">
      <c r="A733" s="122"/>
      <c r="B733" s="122"/>
      <c r="C733" s="122"/>
      <c r="D733" s="122"/>
      <c r="E733" s="122"/>
      <c r="F733" s="122"/>
      <c r="G733" s="122"/>
      <c r="H733" s="122"/>
      <c r="I733" s="122"/>
      <c r="J733" s="122"/>
      <c r="K733" s="122"/>
      <c r="L733" s="122"/>
      <c r="M733" s="122"/>
      <c r="N733" s="122"/>
      <c r="O733" s="122"/>
      <c r="P733" s="122"/>
      <c r="Q733" s="122"/>
      <c r="R733" s="122"/>
      <c r="S733" s="122"/>
      <c r="T733" s="173"/>
      <c r="U733" s="173"/>
      <c r="V733" s="173"/>
      <c r="W733" s="173"/>
      <c r="X733" s="173"/>
      <c r="Y733" s="173"/>
      <c r="Z733" s="173"/>
    </row>
    <row r="734" spans="1:26" ht="12.75" x14ac:dyDescent="0.2">
      <c r="A734" s="122"/>
      <c r="B734" s="122"/>
      <c r="C734" s="122"/>
      <c r="D734" s="122"/>
      <c r="E734" s="122"/>
      <c r="F734" s="122"/>
      <c r="G734" s="122"/>
      <c r="H734" s="122"/>
      <c r="I734" s="122"/>
      <c r="J734" s="122"/>
      <c r="K734" s="122"/>
      <c r="L734" s="122"/>
      <c r="M734" s="122"/>
      <c r="N734" s="122"/>
      <c r="O734" s="122"/>
      <c r="P734" s="122"/>
      <c r="Q734" s="122"/>
      <c r="R734" s="122"/>
      <c r="S734" s="122"/>
      <c r="T734" s="173"/>
      <c r="U734" s="173"/>
      <c r="V734" s="173"/>
      <c r="W734" s="173"/>
      <c r="X734" s="173"/>
      <c r="Y734" s="173"/>
      <c r="Z734" s="173"/>
    </row>
    <row r="735" spans="1:26" ht="12.75" x14ac:dyDescent="0.2">
      <c r="A735" s="122"/>
      <c r="B735" s="122"/>
      <c r="C735" s="122"/>
      <c r="D735" s="122"/>
      <c r="E735" s="122"/>
      <c r="F735" s="122"/>
      <c r="G735" s="122"/>
      <c r="H735" s="122"/>
      <c r="I735" s="122"/>
      <c r="J735" s="122"/>
      <c r="K735" s="122"/>
      <c r="L735" s="122"/>
      <c r="M735" s="122"/>
      <c r="N735" s="122"/>
      <c r="O735" s="122"/>
      <c r="P735" s="122"/>
      <c r="Q735" s="122"/>
      <c r="R735" s="122"/>
      <c r="S735" s="122"/>
      <c r="T735" s="173"/>
      <c r="U735" s="173"/>
      <c r="V735" s="173"/>
      <c r="W735" s="173"/>
      <c r="X735" s="173"/>
      <c r="Y735" s="173"/>
      <c r="Z735" s="173"/>
    </row>
    <row r="736" spans="1:26" ht="12.75" x14ac:dyDescent="0.2">
      <c r="A736" s="122"/>
      <c r="B736" s="122"/>
      <c r="C736" s="122"/>
      <c r="D736" s="122"/>
      <c r="E736" s="122"/>
      <c r="F736" s="122"/>
      <c r="G736" s="122"/>
      <c r="H736" s="122"/>
      <c r="I736" s="122"/>
      <c r="J736" s="122"/>
      <c r="K736" s="122"/>
      <c r="L736" s="122"/>
      <c r="M736" s="122"/>
      <c r="N736" s="122"/>
      <c r="O736" s="122"/>
      <c r="P736" s="122"/>
      <c r="Q736" s="122"/>
      <c r="R736" s="122"/>
      <c r="S736" s="122"/>
      <c r="T736" s="173"/>
      <c r="U736" s="173"/>
      <c r="V736" s="173"/>
      <c r="W736" s="173"/>
      <c r="X736" s="173"/>
      <c r="Y736" s="173"/>
      <c r="Z736" s="173"/>
    </row>
    <row r="737" spans="1:26" ht="12.75" x14ac:dyDescent="0.2">
      <c r="A737" s="122"/>
      <c r="B737" s="122"/>
      <c r="C737" s="122"/>
      <c r="D737" s="122"/>
      <c r="E737" s="122"/>
      <c r="F737" s="122"/>
      <c r="G737" s="122"/>
      <c r="H737" s="122"/>
      <c r="I737" s="122"/>
      <c r="J737" s="122"/>
      <c r="K737" s="122"/>
      <c r="L737" s="122"/>
      <c r="M737" s="122"/>
      <c r="N737" s="122"/>
      <c r="O737" s="122"/>
      <c r="P737" s="122"/>
      <c r="Q737" s="122"/>
      <c r="R737" s="122"/>
      <c r="S737" s="122"/>
      <c r="T737" s="173"/>
      <c r="U737" s="173"/>
      <c r="V737" s="173"/>
      <c r="W737" s="173"/>
      <c r="X737" s="173"/>
      <c r="Y737" s="173"/>
      <c r="Z737" s="173"/>
    </row>
    <row r="738" spans="1:26" ht="12.75" x14ac:dyDescent="0.2">
      <c r="A738" s="122"/>
      <c r="B738" s="122"/>
      <c r="C738" s="122"/>
      <c r="D738" s="122"/>
      <c r="E738" s="122"/>
      <c r="F738" s="122"/>
      <c r="G738" s="122"/>
      <c r="H738" s="122"/>
      <c r="I738" s="122"/>
      <c r="J738" s="122"/>
      <c r="K738" s="122"/>
      <c r="L738" s="122"/>
      <c r="M738" s="122"/>
      <c r="N738" s="122"/>
      <c r="O738" s="122"/>
      <c r="P738" s="122"/>
      <c r="Q738" s="122"/>
      <c r="R738" s="122"/>
      <c r="S738" s="122"/>
      <c r="T738" s="173"/>
      <c r="U738" s="173"/>
      <c r="V738" s="173"/>
      <c r="W738" s="173"/>
      <c r="X738" s="173"/>
      <c r="Y738" s="173"/>
      <c r="Z738" s="173"/>
    </row>
    <row r="739" spans="1:26" ht="12.75" x14ac:dyDescent="0.2">
      <c r="A739" s="122"/>
      <c r="B739" s="122"/>
      <c r="C739" s="122"/>
      <c r="D739" s="122"/>
      <c r="E739" s="122"/>
      <c r="F739" s="122"/>
      <c r="G739" s="122"/>
      <c r="H739" s="122"/>
      <c r="I739" s="122"/>
      <c r="J739" s="122"/>
      <c r="K739" s="122"/>
      <c r="L739" s="122"/>
      <c r="M739" s="122"/>
      <c r="N739" s="122"/>
      <c r="O739" s="122"/>
      <c r="P739" s="122"/>
      <c r="Q739" s="122"/>
      <c r="R739" s="122"/>
      <c r="S739" s="122"/>
      <c r="T739" s="173"/>
      <c r="U739" s="173"/>
      <c r="V739" s="173"/>
      <c r="W739" s="173"/>
      <c r="X739" s="173"/>
      <c r="Y739" s="173"/>
      <c r="Z739" s="173"/>
    </row>
    <row r="740" spans="1:26" ht="12.75" x14ac:dyDescent="0.2">
      <c r="A740" s="122"/>
      <c r="B740" s="122"/>
      <c r="C740" s="122"/>
      <c r="D740" s="122"/>
      <c r="E740" s="122"/>
      <c r="F740" s="122"/>
      <c r="G740" s="122"/>
      <c r="H740" s="122"/>
      <c r="I740" s="122"/>
      <c r="J740" s="122"/>
      <c r="K740" s="122"/>
      <c r="L740" s="122"/>
      <c r="M740" s="122"/>
      <c r="N740" s="122"/>
      <c r="O740" s="122"/>
      <c r="P740" s="122"/>
      <c r="Q740" s="122"/>
      <c r="R740" s="122"/>
      <c r="S740" s="122"/>
      <c r="T740" s="173"/>
      <c r="U740" s="173"/>
      <c r="V740" s="173"/>
      <c r="W740" s="173"/>
      <c r="X740" s="173"/>
      <c r="Y740" s="173"/>
      <c r="Z740" s="173"/>
    </row>
    <row r="741" spans="1:26" ht="12.75" x14ac:dyDescent="0.2">
      <c r="A741" s="122"/>
      <c r="B741" s="122"/>
      <c r="C741" s="122"/>
      <c r="D741" s="122"/>
      <c r="E741" s="122"/>
      <c r="F741" s="122"/>
      <c r="G741" s="122"/>
      <c r="H741" s="122"/>
      <c r="I741" s="122"/>
      <c r="J741" s="122"/>
      <c r="K741" s="122"/>
      <c r="L741" s="122"/>
      <c r="M741" s="122"/>
      <c r="N741" s="122"/>
      <c r="O741" s="122"/>
      <c r="P741" s="122"/>
      <c r="Q741" s="122"/>
      <c r="R741" s="122"/>
      <c r="S741" s="122"/>
      <c r="T741" s="173"/>
      <c r="U741" s="173"/>
      <c r="V741" s="173"/>
      <c r="W741" s="173"/>
      <c r="X741" s="173"/>
      <c r="Y741" s="173"/>
      <c r="Z741" s="173"/>
    </row>
    <row r="742" spans="1:26" ht="12.75" x14ac:dyDescent="0.2">
      <c r="A742" s="122"/>
      <c r="B742" s="122"/>
      <c r="C742" s="122"/>
      <c r="D742" s="122"/>
      <c r="E742" s="122"/>
      <c r="F742" s="122"/>
      <c r="G742" s="122"/>
      <c r="H742" s="122"/>
      <c r="I742" s="122"/>
      <c r="J742" s="122"/>
      <c r="K742" s="122"/>
      <c r="L742" s="122"/>
      <c r="M742" s="122"/>
      <c r="N742" s="122"/>
      <c r="O742" s="122"/>
      <c r="P742" s="122"/>
      <c r="Q742" s="122"/>
      <c r="R742" s="122"/>
      <c r="S742" s="122"/>
      <c r="T742" s="173"/>
      <c r="U742" s="173"/>
      <c r="V742" s="173"/>
      <c r="W742" s="173"/>
      <c r="X742" s="173"/>
      <c r="Y742" s="173"/>
      <c r="Z742" s="173"/>
    </row>
    <row r="743" spans="1:26" ht="12.75" x14ac:dyDescent="0.2">
      <c r="A743" s="122"/>
      <c r="B743" s="122"/>
      <c r="C743" s="122"/>
      <c r="D743" s="122"/>
      <c r="E743" s="122"/>
      <c r="F743" s="122"/>
      <c r="G743" s="122"/>
      <c r="H743" s="122"/>
      <c r="I743" s="122"/>
      <c r="J743" s="122"/>
      <c r="K743" s="122"/>
      <c r="L743" s="122"/>
      <c r="M743" s="122"/>
      <c r="N743" s="122"/>
      <c r="O743" s="122"/>
      <c r="P743" s="122"/>
      <c r="Q743" s="122"/>
      <c r="R743" s="122"/>
      <c r="S743" s="122"/>
      <c r="T743" s="173"/>
      <c r="U743" s="173"/>
      <c r="V743" s="173"/>
      <c r="W743" s="173"/>
      <c r="X743" s="173"/>
      <c r="Y743" s="173"/>
      <c r="Z743" s="173"/>
    </row>
    <row r="744" spans="1:26" ht="12.75" x14ac:dyDescent="0.2">
      <c r="A744" s="122"/>
      <c r="B744" s="122"/>
      <c r="C744" s="122"/>
      <c r="D744" s="122"/>
      <c r="E744" s="122"/>
      <c r="F744" s="122"/>
      <c r="G744" s="122"/>
      <c r="H744" s="122"/>
      <c r="I744" s="122"/>
      <c r="J744" s="122"/>
      <c r="K744" s="122"/>
      <c r="L744" s="122"/>
      <c r="M744" s="122"/>
      <c r="N744" s="122"/>
      <c r="O744" s="122"/>
      <c r="P744" s="122"/>
      <c r="Q744" s="122"/>
      <c r="R744" s="122"/>
      <c r="S744" s="122"/>
      <c r="T744" s="173"/>
      <c r="U744" s="173"/>
      <c r="V744" s="173"/>
      <c r="W744" s="173"/>
      <c r="X744" s="173"/>
      <c r="Y744" s="173"/>
      <c r="Z744" s="173"/>
    </row>
    <row r="745" spans="1:26" ht="12.75" x14ac:dyDescent="0.2">
      <c r="A745" s="122"/>
      <c r="B745" s="122"/>
      <c r="C745" s="122"/>
      <c r="D745" s="122"/>
      <c r="E745" s="122"/>
      <c r="F745" s="122"/>
      <c r="G745" s="122"/>
      <c r="H745" s="122"/>
      <c r="I745" s="122"/>
      <c r="J745" s="122"/>
      <c r="K745" s="122"/>
      <c r="L745" s="122"/>
      <c r="M745" s="122"/>
      <c r="N745" s="122"/>
      <c r="O745" s="122"/>
      <c r="P745" s="122"/>
      <c r="Q745" s="122"/>
      <c r="R745" s="122"/>
      <c r="S745" s="122"/>
      <c r="T745" s="173"/>
      <c r="U745" s="173"/>
      <c r="V745" s="173"/>
      <c r="W745" s="173"/>
      <c r="X745" s="173"/>
      <c r="Y745" s="173"/>
      <c r="Z745" s="173"/>
    </row>
    <row r="746" spans="1:26" ht="12.75" x14ac:dyDescent="0.2">
      <c r="A746" s="122"/>
      <c r="B746" s="122"/>
      <c r="C746" s="122"/>
      <c r="D746" s="122"/>
      <c r="E746" s="122"/>
      <c r="F746" s="122"/>
      <c r="G746" s="122"/>
      <c r="H746" s="122"/>
      <c r="I746" s="122"/>
      <c r="J746" s="122"/>
      <c r="K746" s="122"/>
      <c r="L746" s="122"/>
      <c r="M746" s="122"/>
      <c r="N746" s="122"/>
      <c r="O746" s="122"/>
      <c r="P746" s="122"/>
      <c r="Q746" s="122"/>
      <c r="R746" s="122"/>
      <c r="S746" s="122"/>
      <c r="T746" s="173"/>
      <c r="U746" s="173"/>
      <c r="V746" s="173"/>
      <c r="W746" s="173"/>
      <c r="X746" s="173"/>
      <c r="Y746" s="173"/>
      <c r="Z746" s="173"/>
    </row>
    <row r="747" spans="1:26" ht="12.75" x14ac:dyDescent="0.2">
      <c r="A747" s="122"/>
      <c r="B747" s="122"/>
      <c r="C747" s="122"/>
      <c r="D747" s="122"/>
      <c r="E747" s="122"/>
      <c r="F747" s="122"/>
      <c r="G747" s="122"/>
      <c r="H747" s="122"/>
      <c r="I747" s="122"/>
      <c r="J747" s="122"/>
      <c r="K747" s="122"/>
      <c r="L747" s="122"/>
      <c r="M747" s="122"/>
      <c r="N747" s="122"/>
      <c r="O747" s="122"/>
      <c r="P747" s="122"/>
      <c r="Q747" s="122"/>
      <c r="R747" s="122"/>
      <c r="S747" s="122"/>
      <c r="T747" s="173"/>
      <c r="U747" s="173"/>
      <c r="V747" s="173"/>
      <c r="W747" s="173"/>
      <c r="X747" s="173"/>
      <c r="Y747" s="173"/>
      <c r="Z747" s="173"/>
    </row>
    <row r="748" spans="1:26" ht="12.75" x14ac:dyDescent="0.2">
      <c r="A748" s="122"/>
      <c r="B748" s="122"/>
      <c r="C748" s="122"/>
      <c r="D748" s="122"/>
      <c r="E748" s="122"/>
      <c r="F748" s="122"/>
      <c r="G748" s="122"/>
      <c r="H748" s="122"/>
      <c r="I748" s="122"/>
      <c r="J748" s="122"/>
      <c r="K748" s="122"/>
      <c r="L748" s="122"/>
      <c r="M748" s="122"/>
      <c r="N748" s="122"/>
      <c r="O748" s="122"/>
      <c r="P748" s="122"/>
      <c r="Q748" s="122"/>
      <c r="R748" s="122"/>
      <c r="S748" s="122"/>
      <c r="T748" s="173"/>
      <c r="U748" s="173"/>
      <c r="V748" s="173"/>
      <c r="W748" s="173"/>
      <c r="X748" s="173"/>
      <c r="Y748" s="173"/>
      <c r="Z748" s="173"/>
    </row>
    <row r="749" spans="1:26" ht="12.75" x14ac:dyDescent="0.2">
      <c r="A749" s="122"/>
      <c r="B749" s="122"/>
      <c r="C749" s="122"/>
      <c r="D749" s="122"/>
      <c r="E749" s="122"/>
      <c r="F749" s="122"/>
      <c r="G749" s="122"/>
      <c r="H749" s="122"/>
      <c r="I749" s="122"/>
      <c r="J749" s="122"/>
      <c r="K749" s="122"/>
      <c r="L749" s="122"/>
      <c r="M749" s="122"/>
      <c r="N749" s="122"/>
      <c r="O749" s="122"/>
      <c r="P749" s="122"/>
      <c r="Q749" s="122"/>
      <c r="R749" s="122"/>
      <c r="S749" s="122"/>
      <c r="T749" s="173"/>
      <c r="U749" s="173"/>
      <c r="V749" s="173"/>
      <c r="W749" s="173"/>
      <c r="X749" s="173"/>
      <c r="Y749" s="173"/>
      <c r="Z749" s="173"/>
    </row>
    <row r="750" spans="1:26" ht="12.75" x14ac:dyDescent="0.2">
      <c r="A750" s="122"/>
      <c r="B750" s="122"/>
      <c r="C750" s="122"/>
      <c r="D750" s="122"/>
      <c r="E750" s="122"/>
      <c r="F750" s="122"/>
      <c r="G750" s="122"/>
      <c r="H750" s="122"/>
      <c r="I750" s="122"/>
      <c r="J750" s="122"/>
      <c r="K750" s="122"/>
      <c r="L750" s="122"/>
      <c r="M750" s="122"/>
      <c r="N750" s="122"/>
      <c r="O750" s="122"/>
      <c r="P750" s="122"/>
      <c r="Q750" s="122"/>
      <c r="R750" s="122"/>
      <c r="S750" s="122"/>
      <c r="T750" s="173"/>
      <c r="U750" s="173"/>
      <c r="V750" s="173"/>
      <c r="W750" s="173"/>
      <c r="X750" s="173"/>
      <c r="Y750" s="173"/>
      <c r="Z750" s="173"/>
    </row>
    <row r="751" spans="1:26" ht="12.75" x14ac:dyDescent="0.2">
      <c r="A751" s="122"/>
      <c r="B751" s="122"/>
      <c r="C751" s="122"/>
      <c r="D751" s="122"/>
      <c r="E751" s="122"/>
      <c r="F751" s="122"/>
      <c r="G751" s="122"/>
      <c r="H751" s="122"/>
      <c r="I751" s="122"/>
      <c r="J751" s="122"/>
      <c r="K751" s="122"/>
      <c r="L751" s="122"/>
      <c r="M751" s="122"/>
      <c r="N751" s="122"/>
      <c r="O751" s="122"/>
      <c r="P751" s="122"/>
      <c r="Q751" s="122"/>
      <c r="R751" s="122"/>
      <c r="S751" s="122"/>
      <c r="T751" s="173"/>
      <c r="U751" s="173"/>
      <c r="V751" s="173"/>
      <c r="W751" s="173"/>
      <c r="X751" s="173"/>
      <c r="Y751" s="173"/>
      <c r="Z751" s="173"/>
    </row>
    <row r="752" spans="1:26" ht="12.75" x14ac:dyDescent="0.2">
      <c r="A752" s="122"/>
      <c r="B752" s="122"/>
      <c r="C752" s="122"/>
      <c r="D752" s="122"/>
      <c r="E752" s="122"/>
      <c r="F752" s="122"/>
      <c r="G752" s="122"/>
      <c r="H752" s="122"/>
      <c r="I752" s="122"/>
      <c r="J752" s="122"/>
      <c r="K752" s="122"/>
      <c r="L752" s="122"/>
      <c r="M752" s="122"/>
      <c r="N752" s="122"/>
      <c r="O752" s="122"/>
      <c r="P752" s="122"/>
      <c r="Q752" s="122"/>
      <c r="R752" s="122"/>
      <c r="S752" s="122"/>
      <c r="T752" s="173"/>
      <c r="U752" s="173"/>
      <c r="V752" s="173"/>
      <c r="W752" s="173"/>
      <c r="X752" s="173"/>
      <c r="Y752" s="173"/>
      <c r="Z752" s="173"/>
    </row>
    <row r="753" spans="1:26" ht="12.75" x14ac:dyDescent="0.2">
      <c r="A753" s="122"/>
      <c r="B753" s="122"/>
      <c r="C753" s="122"/>
      <c r="D753" s="122"/>
      <c r="E753" s="122"/>
      <c r="F753" s="122"/>
      <c r="G753" s="122"/>
      <c r="H753" s="122"/>
      <c r="I753" s="122"/>
      <c r="J753" s="122"/>
      <c r="K753" s="122"/>
      <c r="L753" s="122"/>
      <c r="M753" s="122"/>
      <c r="N753" s="122"/>
      <c r="O753" s="122"/>
      <c r="P753" s="122"/>
      <c r="Q753" s="122"/>
      <c r="R753" s="122"/>
      <c r="S753" s="122"/>
      <c r="T753" s="173"/>
      <c r="U753" s="173"/>
      <c r="V753" s="173"/>
      <c r="W753" s="173"/>
      <c r="X753" s="173"/>
      <c r="Y753" s="173"/>
      <c r="Z753" s="173"/>
    </row>
    <row r="754" spans="1:26" ht="12.75" x14ac:dyDescent="0.2">
      <c r="A754" s="122"/>
      <c r="B754" s="122"/>
      <c r="C754" s="122"/>
      <c r="D754" s="122"/>
      <c r="E754" s="122"/>
      <c r="F754" s="122"/>
      <c r="G754" s="122"/>
      <c r="H754" s="122"/>
      <c r="I754" s="122"/>
      <c r="J754" s="122"/>
      <c r="K754" s="122"/>
      <c r="L754" s="122"/>
      <c r="M754" s="122"/>
      <c r="N754" s="122"/>
      <c r="O754" s="122"/>
      <c r="P754" s="122"/>
      <c r="Q754" s="122"/>
      <c r="R754" s="122"/>
      <c r="S754" s="122"/>
      <c r="T754" s="173"/>
      <c r="U754" s="173"/>
      <c r="V754" s="173"/>
      <c r="W754" s="173"/>
      <c r="X754" s="173"/>
      <c r="Y754" s="173"/>
      <c r="Z754" s="173"/>
    </row>
    <row r="755" spans="1:26" ht="12.75" x14ac:dyDescent="0.2">
      <c r="A755" s="122"/>
      <c r="B755" s="122"/>
      <c r="C755" s="122"/>
      <c r="D755" s="122"/>
      <c r="E755" s="122"/>
      <c r="F755" s="122"/>
      <c r="G755" s="122"/>
      <c r="H755" s="122"/>
      <c r="I755" s="122"/>
      <c r="J755" s="122"/>
      <c r="K755" s="122"/>
      <c r="L755" s="122"/>
      <c r="M755" s="122"/>
      <c r="N755" s="122"/>
      <c r="O755" s="122"/>
      <c r="P755" s="122"/>
      <c r="Q755" s="122"/>
      <c r="R755" s="122"/>
      <c r="S755" s="122"/>
      <c r="T755" s="173"/>
      <c r="U755" s="173"/>
      <c r="V755" s="173"/>
      <c r="W755" s="173"/>
      <c r="X755" s="173"/>
      <c r="Y755" s="173"/>
      <c r="Z755" s="173"/>
    </row>
    <row r="756" spans="1:26" ht="12.75" x14ac:dyDescent="0.2">
      <c r="A756" s="122"/>
      <c r="B756" s="122"/>
      <c r="C756" s="122"/>
      <c r="D756" s="122"/>
      <c r="E756" s="122"/>
      <c r="F756" s="122"/>
      <c r="G756" s="122"/>
      <c r="H756" s="122"/>
      <c r="I756" s="122"/>
      <c r="J756" s="122"/>
      <c r="K756" s="122"/>
      <c r="L756" s="122"/>
      <c r="M756" s="122"/>
      <c r="N756" s="122"/>
      <c r="O756" s="122"/>
      <c r="P756" s="122"/>
      <c r="Q756" s="122"/>
      <c r="R756" s="122"/>
      <c r="S756" s="122"/>
      <c r="T756" s="173"/>
      <c r="U756" s="173"/>
      <c r="V756" s="173"/>
      <c r="W756" s="173"/>
      <c r="X756" s="173"/>
      <c r="Y756" s="173"/>
      <c r="Z756" s="173"/>
    </row>
    <row r="757" spans="1:26" ht="12.75" x14ac:dyDescent="0.2">
      <c r="A757" s="122"/>
      <c r="B757" s="122"/>
      <c r="C757" s="122"/>
      <c r="D757" s="122"/>
      <c r="E757" s="122"/>
      <c r="F757" s="122"/>
      <c r="G757" s="122"/>
      <c r="H757" s="122"/>
      <c r="I757" s="122"/>
      <c r="J757" s="122"/>
      <c r="K757" s="122"/>
      <c r="L757" s="122"/>
      <c r="M757" s="122"/>
      <c r="N757" s="122"/>
      <c r="O757" s="122"/>
      <c r="P757" s="122"/>
      <c r="Q757" s="122"/>
      <c r="R757" s="122"/>
      <c r="S757" s="122"/>
      <c r="T757" s="173"/>
      <c r="U757" s="173"/>
      <c r="V757" s="173"/>
      <c r="W757" s="173"/>
      <c r="X757" s="173"/>
      <c r="Y757" s="173"/>
      <c r="Z757" s="173"/>
    </row>
    <row r="758" spans="1:26" ht="12.75" x14ac:dyDescent="0.2">
      <c r="A758" s="122"/>
      <c r="B758" s="122"/>
      <c r="C758" s="122"/>
      <c r="D758" s="122"/>
      <c r="E758" s="122"/>
      <c r="F758" s="122"/>
      <c r="G758" s="122"/>
      <c r="H758" s="122"/>
      <c r="I758" s="122"/>
      <c r="J758" s="122"/>
      <c r="K758" s="122"/>
      <c r="L758" s="122"/>
      <c r="M758" s="122"/>
      <c r="N758" s="122"/>
      <c r="O758" s="122"/>
      <c r="P758" s="122"/>
      <c r="Q758" s="122"/>
      <c r="R758" s="122"/>
      <c r="S758" s="122"/>
      <c r="T758" s="173"/>
      <c r="U758" s="173"/>
      <c r="V758" s="173"/>
      <c r="W758" s="173"/>
      <c r="X758" s="173"/>
      <c r="Y758" s="173"/>
      <c r="Z758" s="173"/>
    </row>
    <row r="759" spans="1:26" ht="12.75" x14ac:dyDescent="0.2">
      <c r="A759" s="122"/>
      <c r="B759" s="122"/>
      <c r="C759" s="122"/>
      <c r="D759" s="122"/>
      <c r="E759" s="122"/>
      <c r="F759" s="122"/>
      <c r="G759" s="122"/>
      <c r="H759" s="122"/>
      <c r="I759" s="122"/>
      <c r="J759" s="122"/>
      <c r="K759" s="122"/>
      <c r="L759" s="122"/>
      <c r="M759" s="122"/>
      <c r="N759" s="122"/>
      <c r="O759" s="122"/>
      <c r="P759" s="122"/>
      <c r="Q759" s="122"/>
      <c r="R759" s="122"/>
      <c r="S759" s="122"/>
      <c r="T759" s="173"/>
      <c r="U759" s="173"/>
      <c r="V759" s="173"/>
      <c r="W759" s="173"/>
      <c r="X759" s="173"/>
      <c r="Y759" s="173"/>
      <c r="Z759" s="173"/>
    </row>
    <row r="760" spans="1:26" ht="12.75" x14ac:dyDescent="0.2">
      <c r="A760" s="122"/>
      <c r="B760" s="122"/>
      <c r="C760" s="122"/>
      <c r="D760" s="122"/>
      <c r="E760" s="122"/>
      <c r="F760" s="122"/>
      <c r="G760" s="122"/>
      <c r="H760" s="122"/>
      <c r="I760" s="122"/>
      <c r="J760" s="122"/>
      <c r="K760" s="122"/>
      <c r="L760" s="122"/>
      <c r="M760" s="122"/>
      <c r="N760" s="122"/>
      <c r="O760" s="122"/>
      <c r="P760" s="122"/>
      <c r="Q760" s="122"/>
      <c r="R760" s="122"/>
      <c r="S760" s="122"/>
      <c r="T760" s="173"/>
      <c r="U760" s="173"/>
      <c r="V760" s="173"/>
      <c r="W760" s="173"/>
      <c r="X760" s="173"/>
      <c r="Y760" s="173"/>
      <c r="Z760" s="173"/>
    </row>
    <row r="761" spans="1:26" ht="12.75" x14ac:dyDescent="0.2">
      <c r="A761" s="122"/>
      <c r="B761" s="122"/>
      <c r="C761" s="122"/>
      <c r="D761" s="122"/>
      <c r="E761" s="122"/>
      <c r="F761" s="122"/>
      <c r="G761" s="122"/>
      <c r="H761" s="122"/>
      <c r="I761" s="122"/>
      <c r="J761" s="122"/>
      <c r="K761" s="122"/>
      <c r="L761" s="122"/>
      <c r="M761" s="122"/>
      <c r="N761" s="122"/>
      <c r="O761" s="122"/>
      <c r="P761" s="122"/>
      <c r="Q761" s="122"/>
      <c r="R761" s="122"/>
      <c r="S761" s="122"/>
      <c r="T761" s="173"/>
      <c r="U761" s="173"/>
      <c r="V761" s="173"/>
      <c r="W761" s="173"/>
      <c r="X761" s="173"/>
      <c r="Y761" s="173"/>
      <c r="Z761" s="173"/>
    </row>
    <row r="762" spans="1:26" ht="12.75" x14ac:dyDescent="0.2">
      <c r="A762" s="122"/>
      <c r="B762" s="122"/>
      <c r="C762" s="122"/>
      <c r="D762" s="122"/>
      <c r="E762" s="122"/>
      <c r="F762" s="122"/>
      <c r="G762" s="122"/>
      <c r="H762" s="122"/>
      <c r="I762" s="122"/>
      <c r="J762" s="122"/>
      <c r="K762" s="122"/>
      <c r="L762" s="122"/>
      <c r="M762" s="122"/>
      <c r="N762" s="122"/>
      <c r="O762" s="122"/>
      <c r="P762" s="122"/>
      <c r="Q762" s="122"/>
      <c r="R762" s="122"/>
      <c r="S762" s="122"/>
      <c r="T762" s="173"/>
      <c r="U762" s="173"/>
      <c r="V762" s="173"/>
      <c r="W762" s="173"/>
      <c r="X762" s="173"/>
      <c r="Y762" s="173"/>
      <c r="Z762" s="173"/>
    </row>
    <row r="763" spans="1:26" ht="12.75" x14ac:dyDescent="0.2">
      <c r="A763" s="122"/>
      <c r="B763" s="122"/>
      <c r="C763" s="122"/>
      <c r="D763" s="122"/>
      <c r="E763" s="122"/>
      <c r="F763" s="122"/>
      <c r="G763" s="122"/>
      <c r="H763" s="122"/>
      <c r="I763" s="122"/>
      <c r="J763" s="122"/>
      <c r="K763" s="122"/>
      <c r="L763" s="122"/>
      <c r="M763" s="122"/>
      <c r="N763" s="122"/>
      <c r="O763" s="122"/>
      <c r="P763" s="122"/>
      <c r="Q763" s="122"/>
      <c r="R763" s="122"/>
      <c r="S763" s="122"/>
      <c r="T763" s="173"/>
      <c r="U763" s="173"/>
      <c r="V763" s="173"/>
      <c r="W763" s="173"/>
      <c r="X763" s="173"/>
      <c r="Y763" s="173"/>
      <c r="Z763" s="173"/>
    </row>
    <row r="764" spans="1:26" ht="12.75" x14ac:dyDescent="0.2">
      <c r="A764" s="122"/>
      <c r="B764" s="122"/>
      <c r="C764" s="122"/>
      <c r="D764" s="122"/>
      <c r="E764" s="122"/>
      <c r="F764" s="122"/>
      <c r="G764" s="122"/>
      <c r="H764" s="122"/>
      <c r="I764" s="122"/>
      <c r="J764" s="122"/>
      <c r="K764" s="122"/>
      <c r="L764" s="122"/>
      <c r="M764" s="122"/>
      <c r="N764" s="122"/>
      <c r="O764" s="122"/>
      <c r="P764" s="122"/>
      <c r="Q764" s="122"/>
      <c r="R764" s="122"/>
      <c r="S764" s="122"/>
      <c r="T764" s="173"/>
      <c r="U764" s="173"/>
      <c r="V764" s="173"/>
      <c r="W764" s="173"/>
      <c r="X764" s="173"/>
      <c r="Y764" s="173"/>
      <c r="Z764" s="173"/>
    </row>
    <row r="765" spans="1:26" ht="12.75" x14ac:dyDescent="0.2">
      <c r="A765" s="122"/>
      <c r="B765" s="122"/>
      <c r="C765" s="122"/>
      <c r="D765" s="122"/>
      <c r="E765" s="122"/>
      <c r="F765" s="122"/>
      <c r="G765" s="122"/>
      <c r="H765" s="122"/>
      <c r="I765" s="122"/>
      <c r="J765" s="122"/>
      <c r="K765" s="122"/>
      <c r="L765" s="122"/>
      <c r="M765" s="122"/>
      <c r="N765" s="122"/>
      <c r="O765" s="122"/>
      <c r="P765" s="122"/>
      <c r="Q765" s="122"/>
      <c r="R765" s="122"/>
      <c r="S765" s="122"/>
      <c r="T765" s="173"/>
      <c r="U765" s="173"/>
      <c r="V765" s="173"/>
      <c r="W765" s="173"/>
      <c r="X765" s="173"/>
      <c r="Y765" s="173"/>
      <c r="Z765" s="173"/>
    </row>
    <row r="766" spans="1:26" ht="12.75" x14ac:dyDescent="0.2">
      <c r="A766" s="122"/>
      <c r="B766" s="122"/>
      <c r="C766" s="122"/>
      <c r="D766" s="122"/>
      <c r="E766" s="122"/>
      <c r="F766" s="122"/>
      <c r="G766" s="122"/>
      <c r="H766" s="122"/>
      <c r="I766" s="122"/>
      <c r="J766" s="122"/>
      <c r="K766" s="122"/>
      <c r="L766" s="122"/>
      <c r="M766" s="122"/>
      <c r="N766" s="122"/>
      <c r="O766" s="122"/>
      <c r="P766" s="122"/>
      <c r="Q766" s="122"/>
      <c r="R766" s="122"/>
      <c r="S766" s="122"/>
      <c r="T766" s="173"/>
      <c r="U766" s="173"/>
      <c r="V766" s="173"/>
      <c r="W766" s="173"/>
      <c r="X766" s="173"/>
      <c r="Y766" s="173"/>
      <c r="Z766" s="173"/>
    </row>
    <row r="767" spans="1:26" ht="12.75" x14ac:dyDescent="0.2">
      <c r="A767" s="122"/>
      <c r="B767" s="122"/>
      <c r="C767" s="122"/>
      <c r="D767" s="122"/>
      <c r="E767" s="122"/>
      <c r="F767" s="122"/>
      <c r="G767" s="122"/>
      <c r="H767" s="122"/>
      <c r="I767" s="122"/>
      <c r="J767" s="122"/>
      <c r="K767" s="122"/>
      <c r="L767" s="122"/>
      <c r="M767" s="122"/>
      <c r="N767" s="122"/>
      <c r="O767" s="122"/>
      <c r="P767" s="122"/>
      <c r="Q767" s="122"/>
      <c r="R767" s="122"/>
      <c r="S767" s="122"/>
      <c r="T767" s="173"/>
      <c r="U767" s="173"/>
      <c r="V767" s="173"/>
      <c r="W767" s="173"/>
      <c r="X767" s="173"/>
      <c r="Y767" s="173"/>
      <c r="Z767" s="173"/>
    </row>
    <row r="768" spans="1:26" ht="12.75" x14ac:dyDescent="0.2">
      <c r="A768" s="122"/>
      <c r="B768" s="122"/>
      <c r="C768" s="122"/>
      <c r="D768" s="122"/>
      <c r="E768" s="122"/>
      <c r="F768" s="122"/>
      <c r="G768" s="122"/>
      <c r="H768" s="122"/>
      <c r="I768" s="122"/>
      <c r="J768" s="122"/>
      <c r="K768" s="122"/>
      <c r="L768" s="122"/>
      <c r="M768" s="122"/>
      <c r="N768" s="122"/>
      <c r="O768" s="122"/>
      <c r="P768" s="122"/>
      <c r="Q768" s="122"/>
      <c r="R768" s="122"/>
      <c r="S768" s="122"/>
      <c r="T768" s="173"/>
      <c r="U768" s="173"/>
      <c r="V768" s="173"/>
      <c r="W768" s="173"/>
      <c r="X768" s="173"/>
      <c r="Y768" s="173"/>
      <c r="Z768" s="173"/>
    </row>
    <row r="769" spans="1:26" ht="12.75" x14ac:dyDescent="0.2">
      <c r="A769" s="122"/>
      <c r="B769" s="122"/>
      <c r="C769" s="122"/>
      <c r="D769" s="122"/>
      <c r="E769" s="122"/>
      <c r="F769" s="122"/>
      <c r="G769" s="122"/>
      <c r="H769" s="122"/>
      <c r="I769" s="122"/>
      <c r="J769" s="122"/>
      <c r="K769" s="122"/>
      <c r="L769" s="122"/>
      <c r="M769" s="122"/>
      <c r="N769" s="122"/>
      <c r="O769" s="122"/>
      <c r="P769" s="122"/>
      <c r="Q769" s="122"/>
      <c r="R769" s="122"/>
      <c r="S769" s="122"/>
      <c r="T769" s="173"/>
      <c r="U769" s="173"/>
      <c r="V769" s="173"/>
      <c r="W769" s="173"/>
      <c r="X769" s="173"/>
      <c r="Y769" s="173"/>
      <c r="Z769" s="173"/>
    </row>
    <row r="770" spans="1:26" ht="12.75" x14ac:dyDescent="0.2">
      <c r="A770" s="122"/>
      <c r="B770" s="122"/>
      <c r="C770" s="122"/>
      <c r="D770" s="122"/>
      <c r="E770" s="122"/>
      <c r="F770" s="122"/>
      <c r="G770" s="122"/>
      <c r="H770" s="122"/>
      <c r="I770" s="122"/>
      <c r="J770" s="122"/>
      <c r="K770" s="122"/>
      <c r="L770" s="122"/>
      <c r="M770" s="122"/>
      <c r="N770" s="122"/>
      <c r="O770" s="122"/>
      <c r="P770" s="122"/>
      <c r="Q770" s="122"/>
      <c r="R770" s="122"/>
      <c r="S770" s="122"/>
      <c r="T770" s="173"/>
      <c r="U770" s="173"/>
      <c r="V770" s="173"/>
      <c r="W770" s="173"/>
      <c r="X770" s="173"/>
      <c r="Y770" s="173"/>
      <c r="Z770" s="173"/>
    </row>
    <row r="771" spans="1:26" ht="12.75" x14ac:dyDescent="0.2">
      <c r="A771" s="122"/>
      <c r="B771" s="122"/>
      <c r="C771" s="122"/>
      <c r="D771" s="122"/>
      <c r="E771" s="122"/>
      <c r="F771" s="122"/>
      <c r="G771" s="122"/>
      <c r="H771" s="122"/>
      <c r="I771" s="122"/>
      <c r="J771" s="122"/>
      <c r="K771" s="122"/>
      <c r="L771" s="122"/>
      <c r="M771" s="122"/>
      <c r="N771" s="122"/>
      <c r="O771" s="122"/>
      <c r="P771" s="122"/>
      <c r="Q771" s="122"/>
      <c r="R771" s="122"/>
      <c r="S771" s="122"/>
      <c r="T771" s="173"/>
      <c r="U771" s="173"/>
      <c r="V771" s="173"/>
      <c r="W771" s="173"/>
      <c r="X771" s="173"/>
      <c r="Y771" s="173"/>
      <c r="Z771" s="173"/>
    </row>
    <row r="772" spans="1:26" ht="12.75" x14ac:dyDescent="0.2">
      <c r="A772" s="122"/>
      <c r="B772" s="122"/>
      <c r="C772" s="122"/>
      <c r="D772" s="122"/>
      <c r="E772" s="122"/>
      <c r="F772" s="122"/>
      <c r="G772" s="122"/>
      <c r="H772" s="122"/>
      <c r="I772" s="122"/>
      <c r="J772" s="122"/>
      <c r="K772" s="122"/>
      <c r="L772" s="122"/>
      <c r="M772" s="122"/>
      <c r="N772" s="122"/>
      <c r="O772" s="122"/>
      <c r="P772" s="122"/>
      <c r="Q772" s="122"/>
      <c r="R772" s="122"/>
      <c r="S772" s="122"/>
      <c r="T772" s="173"/>
      <c r="U772" s="173"/>
      <c r="V772" s="173"/>
      <c r="W772" s="173"/>
      <c r="X772" s="173"/>
      <c r="Y772" s="173"/>
      <c r="Z772" s="173"/>
    </row>
    <row r="773" spans="1:26" ht="12.75" x14ac:dyDescent="0.2">
      <c r="A773" s="122"/>
      <c r="B773" s="122"/>
      <c r="C773" s="122"/>
      <c r="D773" s="122"/>
      <c r="E773" s="122"/>
      <c r="F773" s="122"/>
      <c r="G773" s="122"/>
      <c r="H773" s="122"/>
      <c r="I773" s="122"/>
      <c r="J773" s="122"/>
      <c r="K773" s="122"/>
      <c r="L773" s="122"/>
      <c r="M773" s="122"/>
      <c r="N773" s="122"/>
      <c r="O773" s="122"/>
      <c r="P773" s="122"/>
      <c r="Q773" s="122"/>
      <c r="R773" s="122"/>
      <c r="S773" s="122"/>
      <c r="T773" s="173"/>
      <c r="U773" s="173"/>
      <c r="V773" s="173"/>
      <c r="W773" s="173"/>
      <c r="X773" s="173"/>
      <c r="Y773" s="173"/>
      <c r="Z773" s="173"/>
    </row>
    <row r="774" spans="1:26" ht="12.75" x14ac:dyDescent="0.2">
      <c r="A774" s="122"/>
      <c r="B774" s="122"/>
      <c r="C774" s="122"/>
      <c r="D774" s="122"/>
      <c r="E774" s="122"/>
      <c r="F774" s="122"/>
      <c r="G774" s="122"/>
      <c r="H774" s="122"/>
      <c r="I774" s="122"/>
      <c r="J774" s="122"/>
      <c r="K774" s="122"/>
      <c r="L774" s="122"/>
      <c r="M774" s="122"/>
      <c r="N774" s="122"/>
      <c r="O774" s="122"/>
      <c r="P774" s="122"/>
      <c r="Q774" s="122"/>
      <c r="R774" s="122"/>
      <c r="S774" s="122"/>
      <c r="T774" s="173"/>
      <c r="U774" s="173"/>
      <c r="V774" s="173"/>
      <c r="W774" s="173"/>
      <c r="X774" s="173"/>
      <c r="Y774" s="173"/>
      <c r="Z774" s="173"/>
    </row>
    <row r="775" spans="1:26" ht="12.75" x14ac:dyDescent="0.2">
      <c r="A775" s="122"/>
      <c r="B775" s="122"/>
      <c r="C775" s="122"/>
      <c r="D775" s="122"/>
      <c r="E775" s="122"/>
      <c r="F775" s="122"/>
      <c r="G775" s="122"/>
      <c r="H775" s="122"/>
      <c r="I775" s="122"/>
      <c r="J775" s="122"/>
      <c r="K775" s="122"/>
      <c r="L775" s="122"/>
      <c r="M775" s="122"/>
      <c r="N775" s="122"/>
      <c r="O775" s="122"/>
      <c r="P775" s="122"/>
      <c r="Q775" s="122"/>
      <c r="R775" s="122"/>
      <c r="S775" s="122"/>
      <c r="T775" s="173"/>
      <c r="U775" s="173"/>
      <c r="V775" s="173"/>
      <c r="W775" s="173"/>
      <c r="X775" s="173"/>
      <c r="Y775" s="173"/>
      <c r="Z775" s="173"/>
    </row>
    <row r="776" spans="1:26" ht="12.75" x14ac:dyDescent="0.2">
      <c r="A776" s="122"/>
      <c r="B776" s="122"/>
      <c r="C776" s="122"/>
      <c r="D776" s="122"/>
      <c r="E776" s="122"/>
      <c r="F776" s="122"/>
      <c r="G776" s="122"/>
      <c r="H776" s="122"/>
      <c r="I776" s="122"/>
      <c r="J776" s="122"/>
      <c r="K776" s="122"/>
      <c r="L776" s="122"/>
      <c r="M776" s="122"/>
      <c r="N776" s="122"/>
      <c r="O776" s="122"/>
      <c r="P776" s="122"/>
      <c r="Q776" s="122"/>
      <c r="R776" s="122"/>
      <c r="S776" s="122"/>
      <c r="T776" s="173"/>
      <c r="U776" s="173"/>
      <c r="V776" s="173"/>
      <c r="W776" s="173"/>
      <c r="X776" s="173"/>
      <c r="Y776" s="173"/>
      <c r="Z776" s="173"/>
    </row>
    <row r="777" spans="1:26" ht="12.75" x14ac:dyDescent="0.2">
      <c r="A777" s="122"/>
      <c r="B777" s="122"/>
      <c r="C777" s="122"/>
      <c r="D777" s="122"/>
      <c r="E777" s="122"/>
      <c r="F777" s="122"/>
      <c r="G777" s="122"/>
      <c r="H777" s="122"/>
      <c r="I777" s="122"/>
      <c r="J777" s="122"/>
      <c r="K777" s="122"/>
      <c r="L777" s="122"/>
      <c r="M777" s="122"/>
      <c r="N777" s="122"/>
      <c r="O777" s="122"/>
      <c r="P777" s="122"/>
      <c r="Q777" s="122"/>
      <c r="R777" s="122"/>
      <c r="S777" s="122"/>
      <c r="T777" s="173"/>
      <c r="U777" s="173"/>
      <c r="V777" s="173"/>
      <c r="W777" s="173"/>
      <c r="X777" s="173"/>
      <c r="Y777" s="173"/>
      <c r="Z777" s="173"/>
    </row>
    <row r="778" spans="1:26" ht="12.75" x14ac:dyDescent="0.2">
      <c r="A778" s="122"/>
      <c r="B778" s="122"/>
      <c r="C778" s="122"/>
      <c r="D778" s="122"/>
      <c r="E778" s="122"/>
      <c r="F778" s="122"/>
      <c r="G778" s="122"/>
      <c r="H778" s="122"/>
      <c r="I778" s="122"/>
      <c r="J778" s="122"/>
      <c r="K778" s="122"/>
      <c r="L778" s="122"/>
      <c r="M778" s="122"/>
      <c r="N778" s="122"/>
      <c r="O778" s="122"/>
      <c r="P778" s="122"/>
      <c r="Q778" s="122"/>
      <c r="R778" s="122"/>
      <c r="S778" s="122"/>
      <c r="T778" s="173"/>
      <c r="U778" s="173"/>
      <c r="V778" s="173"/>
      <c r="W778" s="173"/>
      <c r="X778" s="173"/>
      <c r="Y778" s="173"/>
      <c r="Z778" s="173"/>
    </row>
    <row r="779" spans="1:26" ht="12.75" x14ac:dyDescent="0.2">
      <c r="A779" s="122"/>
      <c r="B779" s="122"/>
      <c r="C779" s="122"/>
      <c r="D779" s="122"/>
      <c r="E779" s="122"/>
      <c r="F779" s="122"/>
      <c r="G779" s="122"/>
      <c r="H779" s="122"/>
      <c r="I779" s="122"/>
      <c r="J779" s="122"/>
      <c r="K779" s="122"/>
      <c r="L779" s="122"/>
      <c r="M779" s="122"/>
      <c r="N779" s="122"/>
      <c r="O779" s="122"/>
      <c r="P779" s="122"/>
      <c r="Q779" s="122"/>
      <c r="R779" s="122"/>
      <c r="S779" s="122"/>
      <c r="T779" s="173"/>
      <c r="U779" s="173"/>
      <c r="V779" s="173"/>
      <c r="W779" s="173"/>
      <c r="X779" s="173"/>
      <c r="Y779" s="173"/>
      <c r="Z779" s="173"/>
    </row>
    <row r="780" spans="1:26" ht="12.75" x14ac:dyDescent="0.2">
      <c r="A780" s="122"/>
      <c r="B780" s="122"/>
      <c r="C780" s="122"/>
      <c r="D780" s="122"/>
      <c r="E780" s="122"/>
      <c r="F780" s="122"/>
      <c r="G780" s="122"/>
      <c r="H780" s="122"/>
      <c r="I780" s="122"/>
      <c r="J780" s="122"/>
      <c r="K780" s="122"/>
      <c r="L780" s="122"/>
      <c r="M780" s="122"/>
      <c r="N780" s="122"/>
      <c r="O780" s="122"/>
      <c r="P780" s="122"/>
      <c r="Q780" s="122"/>
      <c r="R780" s="122"/>
      <c r="S780" s="122"/>
      <c r="T780" s="173"/>
      <c r="U780" s="173"/>
      <c r="V780" s="173"/>
      <c r="W780" s="173"/>
      <c r="X780" s="173"/>
      <c r="Y780" s="173"/>
      <c r="Z780" s="173"/>
    </row>
    <row r="781" spans="1:26" ht="12.75" x14ac:dyDescent="0.2">
      <c r="A781" s="122"/>
      <c r="B781" s="122"/>
      <c r="C781" s="122"/>
      <c r="D781" s="122"/>
      <c r="E781" s="122"/>
      <c r="F781" s="122"/>
      <c r="G781" s="122"/>
      <c r="H781" s="122"/>
      <c r="I781" s="122"/>
      <c r="J781" s="122"/>
      <c r="K781" s="122"/>
      <c r="L781" s="122"/>
      <c r="M781" s="122"/>
      <c r="N781" s="122"/>
      <c r="O781" s="122"/>
      <c r="P781" s="122"/>
      <c r="Q781" s="122"/>
      <c r="R781" s="122"/>
      <c r="S781" s="122"/>
      <c r="T781" s="173"/>
      <c r="U781" s="173"/>
      <c r="V781" s="173"/>
      <c r="W781" s="173"/>
      <c r="X781" s="173"/>
      <c r="Y781" s="173"/>
      <c r="Z781" s="173"/>
    </row>
    <row r="782" spans="1:26" ht="12.75" x14ac:dyDescent="0.2">
      <c r="A782" s="122"/>
      <c r="B782" s="122"/>
      <c r="C782" s="122"/>
      <c r="D782" s="122"/>
      <c r="E782" s="122"/>
      <c r="F782" s="122"/>
      <c r="G782" s="122"/>
      <c r="H782" s="122"/>
      <c r="I782" s="122"/>
      <c r="J782" s="122"/>
      <c r="K782" s="122"/>
      <c r="L782" s="122"/>
      <c r="M782" s="122"/>
      <c r="N782" s="122"/>
      <c r="O782" s="122"/>
      <c r="P782" s="122"/>
      <c r="Q782" s="122"/>
      <c r="R782" s="122"/>
      <c r="S782" s="122"/>
      <c r="T782" s="173"/>
      <c r="U782" s="173"/>
      <c r="V782" s="173"/>
      <c r="W782" s="173"/>
      <c r="X782" s="173"/>
      <c r="Y782" s="173"/>
      <c r="Z782" s="173"/>
    </row>
    <row r="783" spans="1:26" ht="12.75" x14ac:dyDescent="0.2">
      <c r="A783" s="122"/>
      <c r="B783" s="122"/>
      <c r="C783" s="122"/>
      <c r="D783" s="122"/>
      <c r="E783" s="122"/>
      <c r="F783" s="122"/>
      <c r="G783" s="122"/>
      <c r="H783" s="122"/>
      <c r="I783" s="122"/>
      <c r="J783" s="122"/>
      <c r="K783" s="122"/>
      <c r="L783" s="122"/>
      <c r="M783" s="122"/>
      <c r="N783" s="122"/>
      <c r="O783" s="122"/>
      <c r="P783" s="122"/>
      <c r="Q783" s="122"/>
      <c r="R783" s="122"/>
      <c r="S783" s="122"/>
      <c r="T783" s="173"/>
      <c r="U783" s="173"/>
      <c r="V783" s="173"/>
      <c r="W783" s="173"/>
      <c r="X783" s="173"/>
      <c r="Y783" s="173"/>
      <c r="Z783" s="173"/>
    </row>
    <row r="784" spans="1:26" ht="12.75" x14ac:dyDescent="0.2">
      <c r="A784" s="122"/>
      <c r="B784" s="122"/>
      <c r="C784" s="122"/>
      <c r="D784" s="122"/>
      <c r="E784" s="122"/>
      <c r="F784" s="122"/>
      <c r="G784" s="122"/>
      <c r="H784" s="122"/>
      <c r="I784" s="122"/>
      <c r="J784" s="122"/>
      <c r="K784" s="122"/>
      <c r="L784" s="122"/>
      <c r="M784" s="122"/>
      <c r="N784" s="122"/>
      <c r="O784" s="122"/>
      <c r="P784" s="122"/>
      <c r="Q784" s="122"/>
      <c r="R784" s="122"/>
      <c r="S784" s="122"/>
      <c r="T784" s="173"/>
      <c r="U784" s="173"/>
      <c r="V784" s="173"/>
      <c r="W784" s="173"/>
      <c r="X784" s="173"/>
      <c r="Y784" s="173"/>
      <c r="Z784" s="173"/>
    </row>
    <row r="785" spans="1:26" ht="12.75" x14ac:dyDescent="0.2">
      <c r="A785" s="122"/>
      <c r="B785" s="122"/>
      <c r="C785" s="122"/>
      <c r="D785" s="122"/>
      <c r="E785" s="122"/>
      <c r="F785" s="122"/>
      <c r="G785" s="122"/>
      <c r="H785" s="122"/>
      <c r="I785" s="122"/>
      <c r="J785" s="122"/>
      <c r="K785" s="122"/>
      <c r="L785" s="122"/>
      <c r="M785" s="122"/>
      <c r="N785" s="122"/>
      <c r="O785" s="122"/>
      <c r="P785" s="122"/>
      <c r="Q785" s="122"/>
      <c r="R785" s="122"/>
      <c r="S785" s="122"/>
      <c r="T785" s="173"/>
      <c r="U785" s="173"/>
      <c r="V785" s="173"/>
      <c r="W785" s="173"/>
      <c r="X785" s="173"/>
      <c r="Y785" s="173"/>
      <c r="Z785" s="173"/>
    </row>
    <row r="786" spans="1:26" ht="12.75" x14ac:dyDescent="0.2">
      <c r="A786" s="122"/>
      <c r="B786" s="122"/>
      <c r="C786" s="122"/>
      <c r="D786" s="122"/>
      <c r="E786" s="122"/>
      <c r="F786" s="122"/>
      <c r="G786" s="122"/>
      <c r="H786" s="122"/>
      <c r="I786" s="122"/>
      <c r="J786" s="122"/>
      <c r="K786" s="122"/>
      <c r="L786" s="122"/>
      <c r="M786" s="122"/>
      <c r="N786" s="122"/>
      <c r="O786" s="122"/>
      <c r="P786" s="122"/>
      <c r="Q786" s="122"/>
      <c r="R786" s="122"/>
      <c r="S786" s="122"/>
      <c r="T786" s="173"/>
      <c r="U786" s="173"/>
      <c r="V786" s="173"/>
      <c r="W786" s="173"/>
      <c r="X786" s="173"/>
      <c r="Y786" s="173"/>
      <c r="Z786" s="173"/>
    </row>
    <row r="787" spans="1:26" ht="12.75" x14ac:dyDescent="0.2">
      <c r="A787" s="122"/>
      <c r="B787" s="122"/>
      <c r="C787" s="122"/>
      <c r="D787" s="122"/>
      <c r="E787" s="122"/>
      <c r="F787" s="122"/>
      <c r="G787" s="122"/>
      <c r="H787" s="122"/>
      <c r="I787" s="122"/>
      <c r="J787" s="122"/>
      <c r="K787" s="122"/>
      <c r="L787" s="122"/>
      <c r="M787" s="122"/>
      <c r="N787" s="122"/>
      <c r="O787" s="122"/>
      <c r="P787" s="122"/>
      <c r="Q787" s="122"/>
      <c r="R787" s="122"/>
      <c r="S787" s="122"/>
      <c r="T787" s="173"/>
      <c r="U787" s="173"/>
      <c r="V787" s="173"/>
      <c r="W787" s="173"/>
      <c r="X787" s="173"/>
      <c r="Y787" s="173"/>
      <c r="Z787" s="173"/>
    </row>
    <row r="788" spans="1:26" ht="12.75" x14ac:dyDescent="0.2">
      <c r="A788" s="122"/>
      <c r="B788" s="122"/>
      <c r="C788" s="122"/>
      <c r="D788" s="122"/>
      <c r="E788" s="122"/>
      <c r="F788" s="122"/>
      <c r="G788" s="122"/>
      <c r="H788" s="122"/>
      <c r="I788" s="122"/>
      <c r="J788" s="122"/>
      <c r="K788" s="122"/>
      <c r="L788" s="122"/>
      <c r="M788" s="122"/>
      <c r="N788" s="122"/>
      <c r="O788" s="122"/>
      <c r="P788" s="122"/>
      <c r="Q788" s="122"/>
      <c r="R788" s="122"/>
      <c r="S788" s="122"/>
      <c r="T788" s="173"/>
      <c r="U788" s="173"/>
      <c r="V788" s="173"/>
      <c r="W788" s="173"/>
      <c r="X788" s="173"/>
      <c r="Y788" s="173"/>
      <c r="Z788" s="173"/>
    </row>
    <row r="789" spans="1:26" ht="12.75" x14ac:dyDescent="0.2">
      <c r="A789" s="122"/>
      <c r="B789" s="122"/>
      <c r="C789" s="122"/>
      <c r="D789" s="122"/>
      <c r="E789" s="122"/>
      <c r="F789" s="122"/>
      <c r="G789" s="122"/>
      <c r="H789" s="122"/>
      <c r="I789" s="122"/>
      <c r="J789" s="122"/>
      <c r="K789" s="122"/>
      <c r="L789" s="122"/>
      <c r="M789" s="122"/>
      <c r="N789" s="122"/>
      <c r="O789" s="122"/>
      <c r="P789" s="122"/>
      <c r="Q789" s="122"/>
      <c r="R789" s="122"/>
      <c r="S789" s="122"/>
      <c r="T789" s="173"/>
      <c r="U789" s="173"/>
      <c r="V789" s="173"/>
      <c r="W789" s="173"/>
      <c r="X789" s="173"/>
      <c r="Y789" s="173"/>
      <c r="Z789" s="173"/>
    </row>
    <row r="790" spans="1:26" ht="12.75" x14ac:dyDescent="0.2">
      <c r="A790" s="122"/>
      <c r="B790" s="122"/>
      <c r="C790" s="122"/>
      <c r="D790" s="122"/>
      <c r="E790" s="122"/>
      <c r="F790" s="122"/>
      <c r="G790" s="122"/>
      <c r="H790" s="122"/>
      <c r="I790" s="122"/>
      <c r="J790" s="122"/>
      <c r="K790" s="122"/>
      <c r="L790" s="122"/>
      <c r="M790" s="122"/>
      <c r="N790" s="122"/>
      <c r="O790" s="122"/>
      <c r="P790" s="122"/>
      <c r="Q790" s="122"/>
      <c r="R790" s="122"/>
      <c r="S790" s="122"/>
      <c r="T790" s="173"/>
      <c r="U790" s="173"/>
      <c r="V790" s="173"/>
      <c r="W790" s="173"/>
      <c r="X790" s="173"/>
      <c r="Y790" s="173"/>
      <c r="Z790" s="173"/>
    </row>
    <row r="791" spans="1:26" ht="12.75" x14ac:dyDescent="0.2">
      <c r="A791" s="122"/>
      <c r="B791" s="122"/>
      <c r="C791" s="122"/>
      <c r="D791" s="122"/>
      <c r="E791" s="122"/>
      <c r="F791" s="122"/>
      <c r="G791" s="122"/>
      <c r="H791" s="122"/>
      <c r="I791" s="122"/>
      <c r="J791" s="122"/>
      <c r="K791" s="122"/>
      <c r="L791" s="122"/>
      <c r="M791" s="122"/>
      <c r="N791" s="122"/>
      <c r="O791" s="122"/>
      <c r="P791" s="122"/>
      <c r="Q791" s="122"/>
      <c r="R791" s="122"/>
      <c r="S791" s="122"/>
      <c r="T791" s="173"/>
      <c r="U791" s="173"/>
      <c r="V791" s="173"/>
      <c r="W791" s="173"/>
      <c r="X791" s="173"/>
      <c r="Y791" s="173"/>
      <c r="Z791" s="173"/>
    </row>
    <row r="792" spans="1:26" ht="12.75" x14ac:dyDescent="0.2">
      <c r="A792" s="122"/>
      <c r="B792" s="122"/>
      <c r="C792" s="122"/>
      <c r="D792" s="122"/>
      <c r="E792" s="122"/>
      <c r="F792" s="122"/>
      <c r="G792" s="122"/>
      <c r="H792" s="122"/>
      <c r="I792" s="122"/>
      <c r="J792" s="122"/>
      <c r="K792" s="122"/>
      <c r="L792" s="122"/>
      <c r="M792" s="122"/>
      <c r="N792" s="122"/>
      <c r="O792" s="122"/>
      <c r="P792" s="122"/>
      <c r="Q792" s="122"/>
      <c r="R792" s="122"/>
      <c r="S792" s="122"/>
      <c r="T792" s="173"/>
      <c r="U792" s="173"/>
      <c r="V792" s="173"/>
      <c r="W792" s="173"/>
      <c r="X792" s="173"/>
      <c r="Y792" s="173"/>
      <c r="Z792" s="173"/>
    </row>
    <row r="793" spans="1:26" ht="12.75" x14ac:dyDescent="0.2">
      <c r="A793" s="122"/>
      <c r="B793" s="122"/>
      <c r="C793" s="122"/>
      <c r="D793" s="122"/>
      <c r="E793" s="122"/>
      <c r="F793" s="122"/>
      <c r="G793" s="122"/>
      <c r="H793" s="122"/>
      <c r="I793" s="122"/>
      <c r="J793" s="122"/>
      <c r="K793" s="122"/>
      <c r="L793" s="122"/>
      <c r="M793" s="122"/>
      <c r="N793" s="122"/>
      <c r="O793" s="122"/>
      <c r="P793" s="122"/>
      <c r="Q793" s="122"/>
      <c r="R793" s="122"/>
      <c r="S793" s="122"/>
      <c r="T793" s="173"/>
      <c r="U793" s="173"/>
      <c r="V793" s="173"/>
      <c r="W793" s="173"/>
      <c r="X793" s="173"/>
      <c r="Y793" s="173"/>
      <c r="Z793" s="173"/>
    </row>
    <row r="794" spans="1:26" ht="12.75" x14ac:dyDescent="0.2">
      <c r="A794" s="122"/>
      <c r="B794" s="122"/>
      <c r="C794" s="122"/>
      <c r="D794" s="122"/>
      <c r="E794" s="122"/>
      <c r="F794" s="122"/>
      <c r="G794" s="122"/>
      <c r="H794" s="122"/>
      <c r="I794" s="122"/>
      <c r="J794" s="122"/>
      <c r="K794" s="122"/>
      <c r="L794" s="122"/>
      <c r="M794" s="122"/>
      <c r="N794" s="122"/>
      <c r="O794" s="122"/>
      <c r="P794" s="122"/>
      <c r="Q794" s="122"/>
      <c r="R794" s="122"/>
      <c r="S794" s="122"/>
      <c r="T794" s="173"/>
      <c r="U794" s="173"/>
      <c r="V794" s="173"/>
      <c r="W794" s="173"/>
      <c r="X794" s="173"/>
      <c r="Y794" s="173"/>
      <c r="Z794" s="173"/>
    </row>
    <row r="795" spans="1:26" ht="12.75" x14ac:dyDescent="0.2">
      <c r="A795" s="122"/>
      <c r="B795" s="122"/>
      <c r="C795" s="122"/>
      <c r="D795" s="122"/>
      <c r="E795" s="122"/>
      <c r="F795" s="122"/>
      <c r="G795" s="122"/>
      <c r="H795" s="122"/>
      <c r="I795" s="122"/>
      <c r="J795" s="122"/>
      <c r="K795" s="122"/>
      <c r="L795" s="122"/>
      <c r="M795" s="122"/>
      <c r="N795" s="122"/>
      <c r="O795" s="122"/>
      <c r="P795" s="122"/>
      <c r="Q795" s="122"/>
      <c r="R795" s="122"/>
      <c r="S795" s="122"/>
      <c r="T795" s="173"/>
      <c r="U795" s="173"/>
      <c r="V795" s="173"/>
      <c r="W795" s="173"/>
      <c r="X795" s="173"/>
      <c r="Y795" s="173"/>
      <c r="Z795" s="173"/>
    </row>
    <row r="796" spans="1:26" ht="12.75" x14ac:dyDescent="0.2">
      <c r="A796" s="122"/>
      <c r="B796" s="122"/>
      <c r="C796" s="122"/>
      <c r="D796" s="122"/>
      <c r="E796" s="122"/>
      <c r="F796" s="122"/>
      <c r="G796" s="122"/>
      <c r="H796" s="122"/>
      <c r="I796" s="122"/>
      <c r="J796" s="122"/>
      <c r="K796" s="122"/>
      <c r="L796" s="122"/>
      <c r="M796" s="122"/>
      <c r="N796" s="122"/>
      <c r="O796" s="122"/>
      <c r="P796" s="122"/>
      <c r="Q796" s="122"/>
      <c r="R796" s="122"/>
      <c r="S796" s="122"/>
      <c r="T796" s="173"/>
      <c r="U796" s="173"/>
      <c r="V796" s="173"/>
      <c r="W796" s="173"/>
      <c r="X796" s="173"/>
      <c r="Y796" s="173"/>
      <c r="Z796" s="173"/>
    </row>
    <row r="797" spans="1:26" ht="12.75" x14ac:dyDescent="0.2">
      <c r="A797" s="122"/>
      <c r="B797" s="122"/>
      <c r="C797" s="122"/>
      <c r="D797" s="122"/>
      <c r="E797" s="122"/>
      <c r="F797" s="122"/>
      <c r="G797" s="122"/>
      <c r="H797" s="122"/>
      <c r="I797" s="122"/>
      <c r="J797" s="122"/>
      <c r="K797" s="122"/>
      <c r="L797" s="122"/>
      <c r="M797" s="122"/>
      <c r="N797" s="122"/>
      <c r="O797" s="122"/>
      <c r="P797" s="122"/>
      <c r="Q797" s="122"/>
      <c r="R797" s="122"/>
      <c r="S797" s="122"/>
      <c r="T797" s="173"/>
      <c r="U797" s="173"/>
      <c r="V797" s="173"/>
      <c r="W797" s="173"/>
      <c r="X797" s="173"/>
      <c r="Y797" s="173"/>
      <c r="Z797" s="173"/>
    </row>
    <row r="798" spans="1:26" ht="12.75" x14ac:dyDescent="0.2">
      <c r="A798" s="122"/>
      <c r="B798" s="122"/>
      <c r="C798" s="122"/>
      <c r="D798" s="122"/>
      <c r="E798" s="122"/>
      <c r="F798" s="122"/>
      <c r="G798" s="122"/>
      <c r="H798" s="122"/>
      <c r="I798" s="122"/>
      <c r="J798" s="122"/>
      <c r="K798" s="122"/>
      <c r="L798" s="122"/>
      <c r="M798" s="122"/>
      <c r="N798" s="122"/>
      <c r="O798" s="122"/>
      <c r="P798" s="122"/>
      <c r="Q798" s="122"/>
      <c r="R798" s="122"/>
      <c r="S798" s="122"/>
      <c r="T798" s="173"/>
      <c r="U798" s="173"/>
      <c r="V798" s="173"/>
      <c r="W798" s="173"/>
      <c r="X798" s="173"/>
      <c r="Y798" s="173"/>
      <c r="Z798" s="173"/>
    </row>
    <row r="799" spans="1:26" ht="12.75" x14ac:dyDescent="0.2">
      <c r="A799" s="122"/>
      <c r="B799" s="122"/>
      <c r="C799" s="122"/>
      <c r="D799" s="122"/>
      <c r="E799" s="122"/>
      <c r="F799" s="122"/>
      <c r="G799" s="122"/>
      <c r="H799" s="122"/>
      <c r="I799" s="122"/>
      <c r="J799" s="122"/>
      <c r="K799" s="122"/>
      <c r="L799" s="122"/>
      <c r="M799" s="122"/>
      <c r="N799" s="122"/>
      <c r="O799" s="122"/>
      <c r="P799" s="122"/>
      <c r="Q799" s="122"/>
      <c r="R799" s="122"/>
      <c r="S799" s="122"/>
      <c r="T799" s="173"/>
      <c r="U799" s="173"/>
      <c r="V799" s="173"/>
      <c r="W799" s="173"/>
      <c r="X799" s="173"/>
      <c r="Y799" s="173"/>
      <c r="Z799" s="173"/>
    </row>
    <row r="800" spans="1:26" ht="12.75" x14ac:dyDescent="0.2">
      <c r="A800" s="122"/>
      <c r="B800" s="122"/>
      <c r="C800" s="122"/>
      <c r="D800" s="122"/>
      <c r="E800" s="122"/>
      <c r="F800" s="122"/>
      <c r="G800" s="122"/>
      <c r="H800" s="122"/>
      <c r="I800" s="122"/>
      <c r="J800" s="122"/>
      <c r="K800" s="122"/>
      <c r="L800" s="122"/>
      <c r="M800" s="122"/>
      <c r="N800" s="122"/>
      <c r="O800" s="122"/>
      <c r="P800" s="122"/>
      <c r="Q800" s="122"/>
      <c r="R800" s="122"/>
      <c r="S800" s="122"/>
      <c r="T800" s="173"/>
      <c r="U800" s="173"/>
      <c r="V800" s="173"/>
      <c r="W800" s="173"/>
      <c r="X800" s="173"/>
      <c r="Y800" s="173"/>
      <c r="Z800" s="173"/>
    </row>
    <row r="801" spans="1:26" ht="12.75" x14ac:dyDescent="0.2">
      <c r="A801" s="122"/>
      <c r="B801" s="122"/>
      <c r="C801" s="122"/>
      <c r="D801" s="122"/>
      <c r="E801" s="122"/>
      <c r="F801" s="122"/>
      <c r="G801" s="122"/>
      <c r="H801" s="122"/>
      <c r="I801" s="122"/>
      <c r="J801" s="122"/>
      <c r="K801" s="122"/>
      <c r="L801" s="122"/>
      <c r="M801" s="122"/>
      <c r="N801" s="122"/>
      <c r="O801" s="122"/>
      <c r="P801" s="122"/>
      <c r="Q801" s="122"/>
      <c r="R801" s="122"/>
      <c r="S801" s="122"/>
      <c r="T801" s="173"/>
      <c r="U801" s="173"/>
      <c r="V801" s="173"/>
      <c r="W801" s="173"/>
      <c r="X801" s="173"/>
      <c r="Y801" s="173"/>
      <c r="Z801" s="173"/>
    </row>
    <row r="802" spans="1:26" ht="12.75" x14ac:dyDescent="0.2">
      <c r="A802" s="122"/>
      <c r="B802" s="122"/>
      <c r="C802" s="122"/>
      <c r="D802" s="122"/>
      <c r="E802" s="122"/>
      <c r="F802" s="122"/>
      <c r="G802" s="122"/>
      <c r="H802" s="122"/>
      <c r="I802" s="122"/>
      <c r="J802" s="122"/>
      <c r="K802" s="122"/>
      <c r="L802" s="122"/>
      <c r="M802" s="122"/>
      <c r="N802" s="122"/>
      <c r="O802" s="122"/>
      <c r="P802" s="122"/>
      <c r="Q802" s="122"/>
      <c r="R802" s="122"/>
      <c r="S802" s="122"/>
      <c r="T802" s="173"/>
      <c r="U802" s="173"/>
      <c r="V802" s="173"/>
      <c r="W802" s="173"/>
      <c r="X802" s="173"/>
      <c r="Y802" s="173"/>
      <c r="Z802" s="173"/>
    </row>
    <row r="803" spans="1:26" ht="12.75" x14ac:dyDescent="0.2">
      <c r="A803" s="122"/>
      <c r="B803" s="122"/>
      <c r="C803" s="122"/>
      <c r="D803" s="122"/>
      <c r="E803" s="122"/>
      <c r="F803" s="122"/>
      <c r="G803" s="122"/>
      <c r="H803" s="122"/>
      <c r="I803" s="122"/>
      <c r="J803" s="122"/>
      <c r="K803" s="122"/>
      <c r="L803" s="122"/>
      <c r="M803" s="122"/>
      <c r="N803" s="122"/>
      <c r="O803" s="122"/>
      <c r="P803" s="122"/>
      <c r="Q803" s="122"/>
      <c r="R803" s="122"/>
      <c r="S803" s="122"/>
      <c r="T803" s="173"/>
      <c r="U803" s="173"/>
      <c r="V803" s="173"/>
      <c r="W803" s="173"/>
      <c r="X803" s="173"/>
      <c r="Y803" s="173"/>
      <c r="Z803" s="173"/>
    </row>
    <row r="804" spans="1:26" ht="12.75" x14ac:dyDescent="0.2">
      <c r="A804" s="122"/>
      <c r="B804" s="122"/>
      <c r="C804" s="122"/>
      <c r="D804" s="122"/>
      <c r="E804" s="122"/>
      <c r="F804" s="122"/>
      <c r="G804" s="122"/>
      <c r="H804" s="122"/>
      <c r="I804" s="122"/>
      <c r="J804" s="122"/>
      <c r="K804" s="122"/>
      <c r="L804" s="122"/>
      <c r="M804" s="122"/>
      <c r="N804" s="122"/>
      <c r="O804" s="122"/>
      <c r="P804" s="122"/>
      <c r="Q804" s="122"/>
      <c r="R804" s="122"/>
      <c r="S804" s="122"/>
      <c r="T804" s="173"/>
      <c r="U804" s="173"/>
      <c r="V804" s="173"/>
      <c r="W804" s="173"/>
      <c r="X804" s="173"/>
      <c r="Y804" s="173"/>
      <c r="Z804" s="173"/>
    </row>
    <row r="805" spans="1:26" ht="12.75" x14ac:dyDescent="0.2">
      <c r="A805" s="122"/>
      <c r="B805" s="122"/>
      <c r="C805" s="122"/>
      <c r="D805" s="122"/>
      <c r="E805" s="122"/>
      <c r="F805" s="122"/>
      <c r="G805" s="122"/>
      <c r="H805" s="122"/>
      <c r="I805" s="122"/>
      <c r="J805" s="122"/>
      <c r="K805" s="122"/>
      <c r="L805" s="122"/>
      <c r="M805" s="122"/>
      <c r="N805" s="122"/>
      <c r="O805" s="122"/>
      <c r="P805" s="122"/>
      <c r="Q805" s="122"/>
      <c r="R805" s="122"/>
      <c r="S805" s="122"/>
      <c r="T805" s="173"/>
      <c r="U805" s="173"/>
      <c r="V805" s="173"/>
      <c r="W805" s="173"/>
      <c r="X805" s="173"/>
      <c r="Y805" s="173"/>
      <c r="Z805" s="173"/>
    </row>
    <row r="806" spans="1:26" ht="15.75" customHeight="1" x14ac:dyDescent="0.2">
      <c r="B806" s="122"/>
      <c r="C806" s="122"/>
      <c r="D806" s="122"/>
      <c r="E806" s="122"/>
      <c r="F806" s="122"/>
      <c r="G806" s="122"/>
      <c r="H806" s="122"/>
      <c r="I806" s="122"/>
      <c r="J806" s="122"/>
      <c r="K806" s="122"/>
      <c r="L806" s="122"/>
      <c r="M806" s="122"/>
    </row>
  </sheetData>
  <customSheetViews>
    <customSheetView guid="{1474D8E2-8801-474F-99A3-0D3DFA4B5FB3}" scale="85" hiddenRows="1" topLeftCell="A71">
      <selection activeCell="F90" sqref="F90:F91"/>
      <pageMargins left="0.7" right="0.7" top="0.75" bottom="0.75" header="0.3" footer="0.3"/>
      <pageSetup orientation="portrait" r:id="rId1"/>
    </customSheetView>
    <customSheetView guid="{0270675F-18D5-4C83-B813-43237B4A5065}" scale="85" hiddenRows="1">
      <selection activeCell="B423" sqref="B423"/>
      <pageMargins left="0.7" right="0.7" top="0.75" bottom="0.75" header="0.3" footer="0.3"/>
      <pageSetup orientation="portrait" r:id="rId2"/>
    </customSheetView>
    <customSheetView guid="{68E4D3DD-37C5-4451-9CB1-FD36A6953DAF}" scale="85" hiddenRows="1">
      <selection activeCell="J22" sqref="J22"/>
      <pageMargins left="0.7" right="0.7" top="0.75" bottom="0.75" header="0.3" footer="0.3"/>
      <pageSetup orientation="portrait" r:id="rId3"/>
    </customSheetView>
  </customSheetViews>
  <pageMargins left="0.7" right="0.7" top="0.75" bottom="0.75" header="0.3" footer="0.3"/>
  <pageSetup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51"/>
  <sheetViews>
    <sheetView zoomScale="85" zoomScaleNormal="85" workbookViewId="0">
      <selection activeCell="D517" sqref="D517"/>
    </sheetView>
  </sheetViews>
  <sheetFormatPr defaultColWidth="14.42578125" defaultRowHeight="15.75" customHeight="1" x14ac:dyDescent="0.2"/>
  <cols>
    <col min="1" max="1" width="3.85546875" style="241" customWidth="1"/>
    <col min="2" max="2" width="4.7109375" customWidth="1"/>
    <col min="3" max="3" width="15.28515625" customWidth="1"/>
    <col min="6" max="6" width="16.7109375" bestFit="1" customWidth="1"/>
  </cols>
  <sheetData>
    <row r="1" spans="1:26" ht="45" customHeight="1" x14ac:dyDescent="0.3">
      <c r="A1" s="1"/>
      <c r="B1" s="2"/>
      <c r="C1" s="2"/>
      <c r="D1" s="2"/>
      <c r="E1" s="2"/>
      <c r="F1" s="2"/>
      <c r="G1" s="2"/>
      <c r="H1" s="2"/>
      <c r="I1" s="2"/>
      <c r="J1" s="2"/>
      <c r="K1" s="2"/>
      <c r="L1" s="2"/>
      <c r="M1" s="2"/>
      <c r="N1" s="2"/>
      <c r="O1" s="2"/>
      <c r="P1" s="2"/>
      <c r="Q1" s="2"/>
      <c r="R1" s="2"/>
      <c r="S1" s="2"/>
      <c r="T1" s="2"/>
      <c r="U1" s="2"/>
      <c r="V1" s="2"/>
      <c r="W1" s="2"/>
      <c r="X1" s="2"/>
      <c r="Y1" s="2"/>
      <c r="Z1" s="2"/>
    </row>
    <row r="2" spans="1:26" ht="28.5" customHeight="1" x14ac:dyDescent="0.2">
      <c r="A2" s="225" t="s">
        <v>506</v>
      </c>
      <c r="B2" s="2"/>
      <c r="C2" s="2"/>
      <c r="D2" s="2"/>
      <c r="E2" s="2"/>
      <c r="F2" s="2"/>
      <c r="G2" s="2"/>
      <c r="H2" s="2"/>
      <c r="I2" s="2"/>
      <c r="J2" s="2"/>
      <c r="K2" s="2"/>
      <c r="L2" s="2"/>
      <c r="M2" s="2"/>
      <c r="N2" s="2"/>
      <c r="O2" s="2"/>
      <c r="P2" s="2"/>
      <c r="Q2" s="2"/>
      <c r="R2" s="2"/>
      <c r="S2" s="2"/>
      <c r="T2" s="2"/>
      <c r="U2" s="2"/>
      <c r="V2" s="2"/>
      <c r="W2" s="2"/>
      <c r="X2" s="2"/>
      <c r="Y2" s="2"/>
      <c r="Z2" s="2"/>
    </row>
    <row r="3" spans="1:26" ht="15.75" customHeight="1" x14ac:dyDescent="0.2">
      <c r="A3" s="3"/>
      <c r="B3" s="3"/>
      <c r="C3" s="3"/>
      <c r="D3" s="3"/>
      <c r="E3" s="3"/>
      <c r="F3" s="3"/>
      <c r="G3" s="3"/>
      <c r="H3" s="3"/>
      <c r="I3" s="3"/>
      <c r="J3" s="3"/>
      <c r="K3" s="3"/>
      <c r="L3" s="3"/>
      <c r="M3" s="3"/>
      <c r="N3" s="3"/>
      <c r="O3" s="3"/>
      <c r="P3" s="3"/>
      <c r="Q3" s="3"/>
      <c r="R3" s="3"/>
      <c r="S3" s="3"/>
      <c r="T3" s="3"/>
      <c r="U3" s="3"/>
      <c r="V3" s="3"/>
      <c r="W3" s="3"/>
      <c r="X3" s="3"/>
      <c r="Y3" s="3"/>
      <c r="Z3" s="3"/>
    </row>
    <row r="4" spans="1:26" ht="15.75" customHeight="1" x14ac:dyDescent="0.2">
      <c r="A4" s="29" t="s">
        <v>298</v>
      </c>
      <c r="B4" s="2"/>
      <c r="C4" s="2"/>
      <c r="D4" s="2"/>
      <c r="F4" s="785" t="s">
        <v>1017</v>
      </c>
      <c r="G4" s="5"/>
      <c r="H4" s="5"/>
      <c r="I4" s="5"/>
      <c r="J4" s="5"/>
      <c r="K4" s="2"/>
      <c r="L4" s="2"/>
      <c r="M4" s="2"/>
      <c r="N4" s="2"/>
      <c r="O4" s="2"/>
      <c r="P4" s="2"/>
      <c r="Q4" s="2"/>
      <c r="R4" s="2"/>
      <c r="S4" s="2"/>
      <c r="T4" s="2"/>
      <c r="U4" s="2"/>
      <c r="V4" s="2"/>
      <c r="W4" s="2"/>
      <c r="X4" s="2"/>
      <c r="Y4" s="2"/>
      <c r="Z4" s="2"/>
    </row>
    <row r="5" spans="1:26" ht="15.75" customHeight="1" x14ac:dyDescent="0.2">
      <c r="A5" s="11"/>
      <c r="B5" s="3"/>
      <c r="C5" s="3"/>
      <c r="D5" s="3"/>
      <c r="E5" s="3"/>
      <c r="F5" s="13"/>
      <c r="G5" s="13"/>
      <c r="H5" s="13"/>
      <c r="I5" s="13"/>
      <c r="J5" s="13"/>
      <c r="K5" s="3"/>
      <c r="L5" s="3"/>
      <c r="M5" s="3"/>
      <c r="N5" s="3"/>
      <c r="O5" s="3"/>
      <c r="P5" s="3"/>
      <c r="Q5" s="3"/>
      <c r="R5" s="3"/>
      <c r="S5" s="3"/>
      <c r="T5" s="3"/>
      <c r="U5" s="3"/>
      <c r="V5" s="3"/>
      <c r="W5" s="3"/>
      <c r="X5" s="3"/>
      <c r="Y5" s="3"/>
      <c r="Z5" s="3"/>
    </row>
    <row r="6" spans="1:26" ht="15.75" customHeight="1" x14ac:dyDescent="0.2">
      <c r="A6" s="4" t="s">
        <v>25</v>
      </c>
      <c r="B6" s="2"/>
      <c r="C6" s="2"/>
      <c r="D6" s="2"/>
      <c r="E6" s="2"/>
      <c r="F6" s="5" t="s">
        <v>0</v>
      </c>
      <c r="G6" s="5" t="s">
        <v>1</v>
      </c>
      <c r="H6" s="5" t="s">
        <v>2</v>
      </c>
      <c r="I6" s="5"/>
      <c r="J6" s="5"/>
      <c r="L6" s="2"/>
      <c r="M6" s="2"/>
      <c r="N6" s="2"/>
      <c r="O6" s="2"/>
      <c r="P6" s="2"/>
      <c r="Q6" s="2"/>
      <c r="R6" s="2"/>
      <c r="S6" s="2"/>
      <c r="T6" s="2"/>
      <c r="U6" s="2"/>
      <c r="V6" s="2"/>
      <c r="W6" s="2"/>
      <c r="X6" s="2"/>
      <c r="Y6" s="2"/>
      <c r="Z6" s="2"/>
    </row>
    <row r="7" spans="1:26" ht="15.75" customHeight="1" x14ac:dyDescent="0.2">
      <c r="A7" s="3"/>
      <c r="B7" s="392" t="s">
        <v>3</v>
      </c>
      <c r="C7" s="2"/>
      <c r="D7" s="2"/>
      <c r="E7" s="2"/>
      <c r="F7" s="2"/>
      <c r="G7" s="2"/>
      <c r="H7" s="2"/>
      <c r="I7" s="447"/>
      <c r="J7" s="447"/>
      <c r="K7" s="447"/>
      <c r="L7" s="447"/>
      <c r="M7" s="447"/>
      <c r="N7" s="447"/>
      <c r="O7" s="3"/>
      <c r="P7" s="3"/>
      <c r="Q7" s="3"/>
      <c r="R7" s="3"/>
      <c r="S7" s="3"/>
      <c r="T7" s="3"/>
      <c r="U7" s="3"/>
      <c r="V7" s="3"/>
      <c r="W7" s="3"/>
      <c r="X7" s="3"/>
      <c r="Y7" s="3"/>
      <c r="Z7" s="3"/>
    </row>
    <row r="8" spans="1:26" ht="15.75" customHeight="1" x14ac:dyDescent="0.2">
      <c r="A8" s="3"/>
      <c r="B8" s="2"/>
      <c r="C8" s="393" t="s">
        <v>4</v>
      </c>
      <c r="D8" s="2"/>
      <c r="E8" s="2"/>
      <c r="F8" s="448">
        <v>7.9000000000000001E-2</v>
      </c>
      <c r="G8" s="2" t="s">
        <v>5</v>
      </c>
      <c r="H8" s="2" t="s">
        <v>6</v>
      </c>
      <c r="I8" s="447"/>
      <c r="J8" s="447"/>
      <c r="K8" s="447"/>
      <c r="L8" s="447"/>
      <c r="M8" s="447"/>
      <c r="N8" s="447"/>
      <c r="O8" s="3"/>
      <c r="P8" s="3"/>
      <c r="Q8" s="3"/>
      <c r="R8" s="3"/>
      <c r="S8" s="3"/>
      <c r="T8" s="3"/>
      <c r="U8" s="3"/>
      <c r="V8" s="3"/>
      <c r="W8" s="3"/>
      <c r="X8" s="3"/>
      <c r="Y8" s="3"/>
      <c r="Z8" s="3"/>
    </row>
    <row r="9" spans="1:26" ht="15.75" customHeight="1" x14ac:dyDescent="0.2">
      <c r="A9" s="3"/>
      <c r="B9" s="2"/>
      <c r="C9" s="393" t="s">
        <v>7</v>
      </c>
      <c r="D9" s="2"/>
      <c r="E9" s="2"/>
      <c r="F9" s="448">
        <v>2.5000000000000001E-2</v>
      </c>
      <c r="G9" s="2" t="s">
        <v>5</v>
      </c>
      <c r="H9" s="2"/>
      <c r="I9" s="447"/>
      <c r="J9" s="447"/>
      <c r="K9" s="447"/>
      <c r="L9" s="447"/>
      <c r="M9" s="447"/>
      <c r="N9" s="447"/>
      <c r="O9" s="3"/>
      <c r="P9" s="3"/>
      <c r="Q9" s="3"/>
      <c r="R9" s="3"/>
      <c r="S9" s="3"/>
      <c r="T9" s="3"/>
      <c r="U9" s="3"/>
      <c r="V9" s="3"/>
      <c r="W9" s="3"/>
      <c r="X9" s="3"/>
      <c r="Y9" s="3"/>
      <c r="Z9" s="3"/>
    </row>
    <row r="10" spans="1:26" ht="15.75" customHeight="1" x14ac:dyDescent="0.2">
      <c r="A10" s="3"/>
      <c r="B10" s="2"/>
      <c r="C10" s="393" t="s">
        <v>8</v>
      </c>
      <c r="D10" s="2"/>
      <c r="E10" s="2"/>
      <c r="F10" s="531">
        <v>157.54</v>
      </c>
      <c r="G10" s="2" t="s">
        <v>9</v>
      </c>
      <c r="H10" s="2" t="s">
        <v>10</v>
      </c>
      <c r="I10" s="447"/>
      <c r="J10" s="447"/>
      <c r="K10" s="447"/>
      <c r="L10" s="447"/>
      <c r="M10" s="447"/>
      <c r="N10" s="447"/>
      <c r="O10" s="3"/>
      <c r="P10" s="3"/>
      <c r="Q10" s="3"/>
      <c r="R10" s="3"/>
      <c r="S10" s="3"/>
      <c r="T10" s="3"/>
      <c r="U10" s="3"/>
      <c r="V10" s="3"/>
      <c r="W10" s="3"/>
      <c r="X10" s="3"/>
      <c r="Y10" s="3"/>
      <c r="Z10" s="3"/>
    </row>
    <row r="11" spans="1:26" ht="15.75" customHeight="1" x14ac:dyDescent="0.2">
      <c r="A11" s="3"/>
      <c r="B11" s="2"/>
      <c r="C11" s="393" t="s">
        <v>11</v>
      </c>
      <c r="D11" s="2"/>
      <c r="E11" s="2"/>
      <c r="F11" s="450">
        <v>0</v>
      </c>
      <c r="G11" s="2" t="s">
        <v>5</v>
      </c>
      <c r="H11" s="2" t="s">
        <v>12</v>
      </c>
      <c r="I11" s="447"/>
      <c r="J11" s="447"/>
      <c r="K11" s="447"/>
      <c r="L11" s="447"/>
      <c r="M11" s="447"/>
      <c r="N11" s="447"/>
      <c r="O11" s="3"/>
      <c r="P11" s="3"/>
      <c r="Q11" s="3"/>
      <c r="R11" s="3"/>
      <c r="S11" s="3"/>
      <c r="T11" s="3"/>
      <c r="U11" s="3"/>
      <c r="V11" s="3"/>
      <c r="W11" s="3"/>
      <c r="X11" s="3"/>
      <c r="Y11" s="3"/>
      <c r="Z11" s="3"/>
    </row>
    <row r="12" spans="1:26" ht="15.75" customHeight="1" x14ac:dyDescent="0.2">
      <c r="A12" s="3"/>
      <c r="B12" s="2"/>
      <c r="C12" s="393" t="s">
        <v>13</v>
      </c>
      <c r="D12" s="2"/>
      <c r="E12" s="2"/>
      <c r="F12" s="448">
        <v>0.10199999999999999</v>
      </c>
      <c r="G12" s="2" t="s">
        <v>5</v>
      </c>
      <c r="H12" s="2" t="s">
        <v>14</v>
      </c>
      <c r="I12" s="447"/>
      <c r="J12" s="447"/>
      <c r="K12" s="447"/>
      <c r="L12" s="447"/>
      <c r="M12" s="447"/>
      <c r="N12" s="447"/>
      <c r="O12" s="3"/>
      <c r="P12" s="3"/>
      <c r="Q12" s="3"/>
      <c r="R12" s="3"/>
      <c r="S12" s="3"/>
      <c r="T12" s="3"/>
      <c r="U12" s="3"/>
      <c r="V12" s="3"/>
      <c r="W12" s="3"/>
      <c r="X12" s="3"/>
      <c r="Y12" s="3"/>
      <c r="Z12" s="3"/>
    </row>
    <row r="13" spans="1:26" ht="15.75" customHeight="1" x14ac:dyDescent="0.2">
      <c r="A13" s="3"/>
      <c r="B13" s="2"/>
      <c r="C13" s="393" t="s">
        <v>15</v>
      </c>
      <c r="D13" s="2"/>
      <c r="E13" s="2"/>
      <c r="F13" s="451">
        <v>173.60908000000001</v>
      </c>
      <c r="G13" s="2" t="s">
        <v>9</v>
      </c>
      <c r="H13" s="2"/>
      <c r="I13" s="447"/>
      <c r="J13" s="447"/>
      <c r="K13" s="447"/>
      <c r="L13" s="447"/>
      <c r="M13" s="447"/>
      <c r="N13" s="447"/>
      <c r="O13" s="3"/>
      <c r="P13" s="3"/>
      <c r="Q13" s="3"/>
      <c r="R13" s="3"/>
      <c r="S13" s="3"/>
      <c r="T13" s="3"/>
      <c r="U13" s="3"/>
      <c r="V13" s="3"/>
      <c r="W13" s="3"/>
      <c r="X13" s="3"/>
      <c r="Y13" s="3"/>
      <c r="Z13" s="3"/>
    </row>
    <row r="14" spans="1:26" ht="15.75" customHeight="1" x14ac:dyDescent="0.2">
      <c r="A14" s="3"/>
      <c r="B14" s="2"/>
      <c r="C14" s="393" t="s">
        <v>16</v>
      </c>
      <c r="D14" s="2"/>
      <c r="E14" s="2"/>
      <c r="F14" s="448">
        <v>8.4000000000000005E-2</v>
      </c>
      <c r="G14" s="2" t="s">
        <v>5</v>
      </c>
      <c r="H14" s="405" t="s">
        <v>1073</v>
      </c>
      <c r="I14" s="447"/>
      <c r="J14" s="447"/>
      <c r="K14" s="447"/>
      <c r="L14" s="447"/>
      <c r="M14" s="447"/>
      <c r="N14" s="447"/>
      <c r="O14" s="3"/>
      <c r="P14" s="3"/>
      <c r="Q14" s="3"/>
      <c r="R14" s="3"/>
      <c r="S14" s="3"/>
      <c r="T14" s="3"/>
      <c r="U14" s="3"/>
      <c r="V14" s="3"/>
      <c r="W14" s="3"/>
      <c r="X14" s="3"/>
      <c r="Y14" s="3"/>
      <c r="Z14" s="3"/>
    </row>
    <row r="15" spans="1:26" ht="15.75" customHeight="1" x14ac:dyDescent="0.2">
      <c r="A15" s="3"/>
      <c r="B15" s="2"/>
      <c r="C15" s="393" t="s">
        <v>17</v>
      </c>
      <c r="D15" s="2"/>
      <c r="E15" s="2"/>
      <c r="F15" s="448">
        <v>0.23977099999999996</v>
      </c>
      <c r="G15" s="2" t="s">
        <v>5</v>
      </c>
      <c r="H15" s="2"/>
      <c r="I15" s="447"/>
      <c r="J15" s="447"/>
      <c r="K15" s="447"/>
      <c r="L15" s="447"/>
      <c r="M15" s="447"/>
      <c r="N15" s="447"/>
      <c r="O15" s="3"/>
      <c r="P15" s="3"/>
      <c r="Q15" s="3"/>
      <c r="R15" s="3"/>
      <c r="S15" s="3"/>
      <c r="T15" s="3"/>
      <c r="U15" s="3"/>
      <c r="V15" s="3"/>
      <c r="W15" s="3"/>
      <c r="X15" s="3"/>
      <c r="Y15" s="3"/>
      <c r="Z15" s="3"/>
    </row>
    <row r="16" spans="1:26" ht="15.75" customHeight="1" x14ac:dyDescent="0.2">
      <c r="A16" s="3"/>
      <c r="B16" s="2"/>
      <c r="C16" s="393" t="s">
        <v>18</v>
      </c>
      <c r="D16" s="2"/>
      <c r="E16" s="2"/>
      <c r="F16" s="448">
        <v>0.14899999999999999</v>
      </c>
      <c r="G16" s="2" t="s">
        <v>5</v>
      </c>
      <c r="H16" s="2" t="s">
        <v>19</v>
      </c>
      <c r="I16" s="447"/>
      <c r="J16" s="447"/>
      <c r="K16" s="447"/>
      <c r="L16" s="447"/>
      <c r="M16" s="447"/>
      <c r="N16" s="447"/>
      <c r="O16" s="3"/>
      <c r="P16" s="3"/>
      <c r="Q16" s="3"/>
      <c r="R16" s="3"/>
      <c r="S16" s="3"/>
      <c r="T16" s="3"/>
      <c r="U16" s="3"/>
      <c r="V16" s="3"/>
      <c r="W16" s="3"/>
      <c r="X16" s="3"/>
      <c r="Y16" s="3"/>
      <c r="Z16" s="3"/>
    </row>
    <row r="17" spans="1:26" ht="15.75" customHeight="1" x14ac:dyDescent="0.2">
      <c r="A17" s="3"/>
      <c r="B17" s="452"/>
      <c r="C17" s="453"/>
      <c r="D17" s="447"/>
      <c r="E17" s="447"/>
      <c r="F17" s="447"/>
      <c r="G17" s="447"/>
      <c r="H17" s="447"/>
      <c r="I17" s="447"/>
      <c r="J17" s="447"/>
      <c r="K17" s="447"/>
      <c r="L17" s="447"/>
      <c r="M17" s="447"/>
      <c r="N17" s="447"/>
      <c r="O17" s="3"/>
      <c r="P17" s="3"/>
      <c r="Q17" s="3"/>
      <c r="R17" s="3"/>
      <c r="S17" s="3"/>
      <c r="T17" s="3"/>
      <c r="U17" s="3"/>
      <c r="V17" s="3"/>
      <c r="W17" s="3"/>
      <c r="X17" s="3"/>
      <c r="Y17" s="3"/>
      <c r="Z17" s="3"/>
    </row>
    <row r="18" spans="1:26" ht="15.75" customHeight="1" x14ac:dyDescent="0.2">
      <c r="A18" s="3"/>
      <c r="B18" s="392" t="s">
        <v>20</v>
      </c>
      <c r="C18" s="393"/>
      <c r="D18" s="2"/>
      <c r="E18" s="2"/>
      <c r="F18" s="2"/>
      <c r="G18" s="2"/>
      <c r="H18" s="2"/>
      <c r="I18" s="447"/>
      <c r="J18" s="447"/>
      <c r="K18" s="447"/>
      <c r="L18" s="447"/>
      <c r="M18" s="447"/>
      <c r="N18" s="447"/>
      <c r="O18" s="3"/>
      <c r="P18" s="3"/>
      <c r="Q18" s="3"/>
      <c r="R18" s="3"/>
      <c r="S18" s="3"/>
      <c r="T18" s="3"/>
      <c r="U18" s="3"/>
      <c r="V18" s="3"/>
      <c r="W18" s="3"/>
      <c r="X18" s="3"/>
      <c r="Y18" s="3"/>
      <c r="Z18" s="3"/>
    </row>
    <row r="19" spans="1:26" ht="15.75" customHeight="1" x14ac:dyDescent="0.2">
      <c r="A19" s="3"/>
      <c r="B19" s="2"/>
      <c r="C19" s="393" t="s">
        <v>21</v>
      </c>
      <c r="D19" s="2"/>
      <c r="E19" s="2"/>
      <c r="F19" s="448">
        <v>0.16800000000000001</v>
      </c>
      <c r="G19" s="393" t="s">
        <v>5</v>
      </c>
      <c r="H19" s="2" t="s">
        <v>22</v>
      </c>
      <c r="I19" s="447"/>
      <c r="J19" s="447"/>
      <c r="K19" s="447"/>
      <c r="L19" s="447"/>
      <c r="M19" s="447"/>
      <c r="N19" s="447"/>
      <c r="O19" s="3"/>
      <c r="P19" s="3"/>
      <c r="Q19" s="3"/>
      <c r="R19" s="3"/>
      <c r="S19" s="3"/>
      <c r="T19" s="3"/>
      <c r="U19" s="3"/>
      <c r="V19" s="3"/>
      <c r="W19" s="3"/>
      <c r="X19" s="3"/>
      <c r="Y19" s="3"/>
      <c r="Z19" s="3"/>
    </row>
    <row r="20" spans="1:26" ht="15.75" customHeight="1" x14ac:dyDescent="0.2">
      <c r="A20" s="3"/>
      <c r="B20" s="2"/>
      <c r="C20" s="393" t="s">
        <v>23</v>
      </c>
      <c r="D20" s="2"/>
      <c r="E20" s="2"/>
      <c r="F20" s="454">
        <v>0.12</v>
      </c>
      <c r="G20" s="393" t="s">
        <v>5</v>
      </c>
      <c r="H20" s="2"/>
      <c r="I20" s="447"/>
      <c r="J20" s="447"/>
      <c r="K20" s="447"/>
      <c r="L20" s="447"/>
      <c r="M20" s="447"/>
      <c r="N20" s="447"/>
      <c r="O20" s="3"/>
      <c r="P20" s="3"/>
      <c r="Q20" s="3"/>
      <c r="R20" s="3"/>
      <c r="S20" s="3"/>
      <c r="T20" s="3"/>
      <c r="U20" s="3"/>
      <c r="V20" s="3"/>
      <c r="W20" s="3"/>
      <c r="X20" s="3"/>
      <c r="Y20" s="3"/>
      <c r="Z20" s="3"/>
    </row>
    <row r="21" spans="1:26" ht="15.75" customHeight="1" x14ac:dyDescent="0.2">
      <c r="A21" s="3"/>
      <c r="B21" s="447"/>
      <c r="C21" s="447"/>
      <c r="D21" s="447"/>
      <c r="E21" s="447"/>
      <c r="F21" s="447"/>
      <c r="G21" s="447"/>
      <c r="H21" s="447"/>
      <c r="I21" s="447"/>
      <c r="J21" s="447"/>
      <c r="K21" s="447"/>
      <c r="L21" s="447"/>
      <c r="M21" s="447"/>
      <c r="N21" s="447"/>
      <c r="O21" s="3"/>
      <c r="P21" s="3"/>
      <c r="Q21" s="3"/>
      <c r="R21" s="3"/>
      <c r="S21" s="3"/>
      <c r="T21" s="3"/>
      <c r="U21" s="3"/>
      <c r="V21" s="3"/>
      <c r="W21" s="3"/>
      <c r="X21" s="3"/>
      <c r="Y21" s="3"/>
      <c r="Z21" s="3"/>
    </row>
    <row r="22" spans="1:26" ht="15.75" customHeight="1" x14ac:dyDescent="0.2">
      <c r="A22" s="3"/>
      <c r="B22" s="447"/>
      <c r="C22" s="447"/>
      <c r="D22" s="447"/>
      <c r="E22" s="447"/>
      <c r="F22" s="578" t="s">
        <v>44</v>
      </c>
      <c r="G22" s="579"/>
      <c r="H22" s="480"/>
      <c r="I22" s="578" t="s">
        <v>351</v>
      </c>
      <c r="J22" s="579"/>
      <c r="K22" s="579"/>
      <c r="L22" s="3"/>
      <c r="M22" s="3"/>
      <c r="N22" s="3"/>
      <c r="O22" s="3"/>
      <c r="P22" s="3"/>
      <c r="Q22" s="3"/>
      <c r="R22" s="3"/>
      <c r="S22" s="3"/>
      <c r="T22" s="3"/>
      <c r="U22" s="3"/>
      <c r="V22" s="3"/>
      <c r="W22" s="3"/>
      <c r="X22" s="3"/>
      <c r="Y22" s="3"/>
      <c r="Z22" s="3"/>
    </row>
    <row r="23" spans="1:26" ht="18" customHeight="1" x14ac:dyDescent="0.2">
      <c r="A23" s="3"/>
      <c r="B23" s="452"/>
      <c r="C23" s="447"/>
      <c r="D23" s="447"/>
      <c r="E23" s="447"/>
      <c r="F23" s="414" t="s">
        <v>0</v>
      </c>
      <c r="G23" s="5" t="s">
        <v>1</v>
      </c>
      <c r="H23" s="2"/>
      <c r="I23" s="414" t="s">
        <v>0</v>
      </c>
      <c r="J23" s="5" t="s">
        <v>1</v>
      </c>
      <c r="K23" s="5" t="s">
        <v>2</v>
      </c>
      <c r="L23" s="3"/>
      <c r="M23" s="3"/>
      <c r="N23" s="3"/>
      <c r="O23" s="3"/>
      <c r="P23" s="3"/>
      <c r="Q23" s="3"/>
      <c r="R23" s="3"/>
      <c r="S23" s="3"/>
      <c r="T23" s="3"/>
      <c r="U23" s="3"/>
      <c r="V23" s="3"/>
      <c r="W23" s="3"/>
      <c r="X23" s="3"/>
      <c r="Y23" s="3"/>
      <c r="Z23" s="3"/>
    </row>
    <row r="24" spans="1:26" ht="15.75" customHeight="1" x14ac:dyDescent="0.2">
      <c r="A24" s="3"/>
      <c r="B24" s="392" t="s">
        <v>46</v>
      </c>
      <c r="C24" s="2"/>
      <c r="D24" s="2"/>
      <c r="E24" s="2"/>
      <c r="F24" s="2"/>
      <c r="G24" s="2"/>
      <c r="H24" s="2"/>
      <c r="I24" s="2"/>
      <c r="J24" s="2"/>
      <c r="K24" s="2"/>
      <c r="L24" s="3"/>
      <c r="M24" s="3"/>
      <c r="N24" s="3"/>
      <c r="O24" s="3"/>
      <c r="P24" s="3"/>
      <c r="Q24" s="3"/>
      <c r="R24" s="3"/>
      <c r="S24" s="3"/>
      <c r="T24" s="3"/>
      <c r="U24" s="3"/>
      <c r="V24" s="3"/>
      <c r="W24" s="3"/>
      <c r="X24" s="3"/>
      <c r="Y24" s="3"/>
      <c r="Z24" s="3"/>
    </row>
    <row r="25" spans="1:26" ht="15.75" customHeight="1" x14ac:dyDescent="0.2">
      <c r="A25" s="3"/>
      <c r="B25" s="2"/>
      <c r="C25" s="393" t="s">
        <v>47</v>
      </c>
      <c r="D25" s="2"/>
      <c r="E25" s="2"/>
      <c r="F25" s="456">
        <v>1.1000000000000001</v>
      </c>
      <c r="G25" s="393" t="s">
        <v>48</v>
      </c>
      <c r="H25" s="2"/>
      <c r="I25" s="449">
        <v>1.1000000000000001</v>
      </c>
      <c r="J25" s="393" t="s">
        <v>48</v>
      </c>
      <c r="K25" s="393" t="s">
        <v>511</v>
      </c>
      <c r="L25" s="3"/>
      <c r="M25" s="3"/>
      <c r="N25" s="3"/>
      <c r="O25" s="3"/>
      <c r="P25" s="3"/>
      <c r="Q25" s="3"/>
      <c r="R25" s="3"/>
      <c r="S25" s="3"/>
      <c r="T25" s="3"/>
      <c r="U25" s="3"/>
      <c r="V25" s="3"/>
      <c r="W25" s="3"/>
      <c r="X25" s="3"/>
      <c r="Y25" s="3"/>
      <c r="Z25" s="3"/>
    </row>
    <row r="26" spans="1:26" ht="15.75" customHeight="1" x14ac:dyDescent="0.2">
      <c r="A26" s="3"/>
      <c r="B26" s="2"/>
      <c r="C26" s="393" t="s">
        <v>53</v>
      </c>
      <c r="D26" s="2"/>
      <c r="E26" s="2"/>
      <c r="F26" s="456">
        <v>6.7</v>
      </c>
      <c r="G26" s="393" t="s">
        <v>54</v>
      </c>
      <c r="H26" s="2"/>
      <c r="I26" s="457">
        <f>F26</f>
        <v>6.7</v>
      </c>
      <c r="J26" s="393" t="s">
        <v>54</v>
      </c>
      <c r="K26" s="393" t="s">
        <v>358</v>
      </c>
      <c r="L26" s="3"/>
      <c r="M26" s="3"/>
      <c r="N26" s="3"/>
      <c r="O26" s="3"/>
      <c r="P26" s="3"/>
      <c r="Q26" s="3"/>
      <c r="R26" s="3"/>
      <c r="S26" s="3"/>
      <c r="T26" s="3"/>
      <c r="U26" s="3"/>
      <c r="V26" s="3"/>
      <c r="W26" s="3"/>
      <c r="X26" s="3"/>
      <c r="Y26" s="3"/>
      <c r="Z26" s="3"/>
    </row>
    <row r="27" spans="1:26" ht="15.75" customHeight="1" x14ac:dyDescent="0.2">
      <c r="A27" s="3"/>
      <c r="B27" s="2"/>
      <c r="C27" s="393" t="s">
        <v>307</v>
      </c>
      <c r="D27" s="2"/>
      <c r="E27" s="2"/>
      <c r="F27" s="458">
        <v>533</v>
      </c>
      <c r="G27" s="393" t="s">
        <v>57</v>
      </c>
      <c r="H27" s="2"/>
      <c r="I27" s="459">
        <v>800</v>
      </c>
      <c r="J27" s="460" t="s">
        <v>57</v>
      </c>
      <c r="K27" s="460" t="s">
        <v>309</v>
      </c>
      <c r="L27" s="3"/>
      <c r="M27" s="3"/>
      <c r="N27" s="3"/>
      <c r="O27" s="3"/>
      <c r="P27" s="3"/>
      <c r="Q27" s="3"/>
      <c r="R27" s="3"/>
      <c r="S27" s="3"/>
      <c r="T27" s="3"/>
      <c r="U27" s="3"/>
      <c r="V27" s="3"/>
      <c r="W27" s="3"/>
      <c r="X27" s="3"/>
      <c r="Y27" s="3"/>
      <c r="Z27" s="3"/>
    </row>
    <row r="28" spans="1:26" ht="15.75" customHeight="1" x14ac:dyDescent="0.2">
      <c r="A28" s="3"/>
      <c r="B28" s="447"/>
      <c r="C28" s="447"/>
      <c r="D28" s="447"/>
      <c r="E28" s="447"/>
      <c r="F28" s="447"/>
      <c r="G28" s="447"/>
      <c r="H28" s="447"/>
      <c r="I28" s="447"/>
      <c r="J28" s="447"/>
      <c r="K28" s="447"/>
      <c r="L28" s="3"/>
      <c r="M28" s="3"/>
      <c r="N28" s="3"/>
      <c r="O28" s="3"/>
      <c r="P28" s="3"/>
      <c r="Q28" s="3"/>
      <c r="R28" s="3"/>
      <c r="S28" s="3"/>
      <c r="T28" s="3"/>
      <c r="U28" s="3"/>
      <c r="V28" s="3"/>
      <c r="W28" s="3"/>
      <c r="X28" s="3"/>
      <c r="Y28" s="3"/>
      <c r="Z28" s="3"/>
    </row>
    <row r="29" spans="1:26" ht="15.75" customHeight="1" x14ac:dyDescent="0.2">
      <c r="A29" s="3"/>
      <c r="B29" s="392" t="s">
        <v>308</v>
      </c>
      <c r="C29" s="2"/>
      <c r="D29" s="2"/>
      <c r="E29" s="2"/>
      <c r="F29" s="2"/>
      <c r="G29" s="2"/>
      <c r="H29" s="2"/>
      <c r="I29" s="2"/>
      <c r="J29" s="2"/>
      <c r="K29" s="2"/>
      <c r="L29" s="3"/>
      <c r="M29" s="3"/>
      <c r="N29" s="3"/>
      <c r="O29" s="3"/>
      <c r="P29" s="3"/>
      <c r="Q29" s="3"/>
      <c r="R29" s="3"/>
      <c r="S29" s="3"/>
      <c r="T29" s="3"/>
      <c r="U29" s="3"/>
      <c r="V29" s="3"/>
      <c r="W29" s="3"/>
      <c r="X29" s="3"/>
      <c r="Y29" s="3"/>
      <c r="Z29" s="3"/>
    </row>
    <row r="30" spans="1:26" ht="15.75" customHeight="1" x14ac:dyDescent="0.2">
      <c r="A30" s="3"/>
      <c r="B30" s="2"/>
      <c r="C30" s="393" t="s">
        <v>60</v>
      </c>
      <c r="D30" s="2"/>
      <c r="E30" s="2"/>
      <c r="F30" s="456">
        <v>11.18</v>
      </c>
      <c r="G30" s="393" t="s">
        <v>61</v>
      </c>
      <c r="H30" s="2"/>
      <c r="I30" s="461">
        <v>24.1</v>
      </c>
      <c r="J30" s="393" t="s">
        <v>61</v>
      </c>
      <c r="K30" s="393" t="s">
        <v>941</v>
      </c>
      <c r="L30" s="3"/>
      <c r="M30" s="3"/>
      <c r="N30" s="3"/>
      <c r="O30" s="3"/>
      <c r="P30" s="3"/>
      <c r="Q30" s="3"/>
      <c r="R30" s="3"/>
      <c r="S30" s="3"/>
      <c r="T30" s="3"/>
      <c r="U30" s="3"/>
      <c r="V30" s="3"/>
      <c r="W30" s="3"/>
      <c r="X30" s="3"/>
      <c r="Y30" s="3"/>
      <c r="Z30" s="3"/>
    </row>
    <row r="31" spans="1:26" ht="15.75" customHeight="1" x14ac:dyDescent="0.2">
      <c r="A31" s="3"/>
      <c r="B31" s="2"/>
      <c r="C31" s="393" t="s">
        <v>322</v>
      </c>
      <c r="D31" s="2"/>
      <c r="E31" s="2"/>
      <c r="F31" s="393"/>
      <c r="G31" s="393"/>
      <c r="H31" s="2"/>
      <c r="I31" s="462">
        <f>F30</f>
        <v>11.18</v>
      </c>
      <c r="J31" s="393" t="s">
        <v>61</v>
      </c>
      <c r="K31" s="393" t="s">
        <v>741</v>
      </c>
      <c r="L31" s="3"/>
      <c r="M31" s="3"/>
      <c r="N31" s="3"/>
      <c r="O31" s="3"/>
      <c r="P31" s="3"/>
      <c r="Q31" s="3"/>
      <c r="R31" s="3"/>
      <c r="S31" s="3"/>
      <c r="T31" s="3"/>
      <c r="U31" s="3"/>
      <c r="V31" s="3"/>
      <c r="W31" s="3"/>
      <c r="X31" s="3"/>
      <c r="Y31" s="3"/>
      <c r="Z31" s="3"/>
    </row>
    <row r="32" spans="1:26" ht="15.75" customHeight="1" x14ac:dyDescent="0.2">
      <c r="A32" s="3"/>
      <c r="B32" s="2"/>
      <c r="C32" s="393" t="s">
        <v>352</v>
      </c>
      <c r="D32" s="2"/>
      <c r="E32" s="2"/>
      <c r="F32" s="456">
        <v>1</v>
      </c>
      <c r="G32" s="393" t="s">
        <v>66</v>
      </c>
      <c r="H32" s="2"/>
      <c r="I32" s="456">
        <v>4</v>
      </c>
      <c r="J32" s="393" t="s">
        <v>66</v>
      </c>
      <c r="K32" s="2" t="s">
        <v>321</v>
      </c>
      <c r="L32" s="3"/>
      <c r="M32" s="3"/>
      <c r="N32" s="3"/>
      <c r="O32" s="3"/>
      <c r="P32" s="3"/>
      <c r="Q32" s="3"/>
      <c r="R32" s="3"/>
      <c r="S32" s="3"/>
      <c r="T32" s="3"/>
      <c r="U32" s="3"/>
      <c r="V32" s="3"/>
      <c r="W32" s="3"/>
      <c r="X32" s="3"/>
      <c r="Y32" s="3"/>
      <c r="Z32" s="3"/>
    </row>
    <row r="33" spans="1:26" ht="15.75" customHeight="1" x14ac:dyDescent="0.2">
      <c r="A33" s="3"/>
      <c r="B33" s="2"/>
      <c r="C33" s="393" t="s">
        <v>337</v>
      </c>
      <c r="D33" s="2"/>
      <c r="E33" s="2"/>
      <c r="F33" s="393"/>
      <c r="G33" s="393"/>
      <c r="H33" s="2"/>
      <c r="I33" s="463">
        <f>16/12</f>
        <v>1.3333333333333333</v>
      </c>
      <c r="J33" s="393" t="s">
        <v>66</v>
      </c>
      <c r="K33" s="2" t="s">
        <v>512</v>
      </c>
      <c r="L33" s="3"/>
      <c r="M33" s="3"/>
      <c r="N33" s="3"/>
      <c r="O33" s="3"/>
      <c r="P33" s="3"/>
      <c r="Q33" s="3"/>
      <c r="R33" s="3"/>
      <c r="S33" s="3"/>
      <c r="T33" s="3"/>
      <c r="U33" s="3"/>
      <c r="V33" s="3"/>
      <c r="W33" s="3"/>
      <c r="X33" s="3"/>
      <c r="Y33" s="3"/>
      <c r="Z33" s="3"/>
    </row>
    <row r="34" spans="1:26" ht="15.75" customHeight="1" x14ac:dyDescent="0.2">
      <c r="A34" s="3"/>
      <c r="B34" s="2"/>
      <c r="C34" s="393" t="s">
        <v>766</v>
      </c>
      <c r="D34" s="2"/>
      <c r="E34" s="2"/>
      <c r="F34" s="464">
        <v>0.01</v>
      </c>
      <c r="G34" s="393" t="s">
        <v>69</v>
      </c>
      <c r="H34" s="2"/>
      <c r="I34" s="465"/>
      <c r="J34" s="393"/>
      <c r="K34" s="393" t="s">
        <v>742</v>
      </c>
      <c r="L34" s="3"/>
      <c r="M34" s="3"/>
      <c r="N34" s="3"/>
      <c r="O34" s="3"/>
      <c r="P34" s="3"/>
      <c r="Q34" s="3"/>
      <c r="R34" s="3"/>
      <c r="S34" s="3"/>
      <c r="T34" s="3"/>
      <c r="U34" s="3"/>
      <c r="V34" s="3"/>
      <c r="W34" s="3"/>
      <c r="X34" s="3"/>
      <c r="Y34" s="3"/>
      <c r="Z34" s="3"/>
    </row>
    <row r="35" spans="1:26" ht="15.75" customHeight="1" x14ac:dyDescent="0.2">
      <c r="A35" s="3"/>
      <c r="B35" s="2"/>
      <c r="C35" s="393" t="s">
        <v>765</v>
      </c>
      <c r="D35" s="2"/>
      <c r="E35" s="2"/>
      <c r="F35" s="468">
        <f>I35</f>
        <v>-0.1</v>
      </c>
      <c r="G35" s="393" t="s">
        <v>513</v>
      </c>
      <c r="H35" s="2"/>
      <c r="I35" s="464">
        <v>-0.1</v>
      </c>
      <c r="J35" s="393" t="s">
        <v>69</v>
      </c>
      <c r="K35" s="393" t="s">
        <v>514</v>
      </c>
      <c r="L35" s="3"/>
      <c r="M35" s="3"/>
      <c r="N35" s="3"/>
      <c r="O35" s="3"/>
      <c r="P35" s="3"/>
      <c r="Q35" s="3"/>
      <c r="R35" s="3"/>
      <c r="S35" s="3"/>
      <c r="T35" s="3"/>
      <c r="U35" s="3"/>
      <c r="V35" s="3"/>
      <c r="W35" s="3"/>
      <c r="X35" s="3"/>
      <c r="Y35" s="3"/>
      <c r="Z35" s="3"/>
    </row>
    <row r="36" spans="1:26" ht="15.75" customHeight="1" x14ac:dyDescent="0.2">
      <c r="A36" s="3"/>
      <c r="B36" s="2"/>
      <c r="C36" s="785" t="s">
        <v>73</v>
      </c>
      <c r="D36" s="53"/>
      <c r="E36" s="53"/>
      <c r="F36" s="467">
        <v>0.35</v>
      </c>
      <c r="G36" s="785" t="s">
        <v>69</v>
      </c>
      <c r="H36" s="53"/>
      <c r="I36" s="468">
        <f>F36</f>
        <v>0.35</v>
      </c>
      <c r="J36" s="785" t="s">
        <v>69</v>
      </c>
      <c r="K36" s="785" t="s">
        <v>310</v>
      </c>
      <c r="L36" s="3"/>
      <c r="M36" s="3"/>
      <c r="N36" s="3"/>
      <c r="O36" s="3"/>
      <c r="P36" s="3"/>
      <c r="Q36" s="3"/>
      <c r="R36" s="3"/>
      <c r="S36" s="3"/>
      <c r="T36" s="3"/>
      <c r="U36" s="3"/>
      <c r="V36" s="3"/>
      <c r="W36" s="3"/>
      <c r="X36" s="3"/>
      <c r="Y36" s="3"/>
      <c r="Z36" s="3"/>
    </row>
    <row r="37" spans="1:26" ht="15.75" customHeight="1" x14ac:dyDescent="0.2">
      <c r="A37" s="3"/>
      <c r="B37" s="447"/>
      <c r="C37" s="453"/>
      <c r="D37" s="447"/>
      <c r="E37" s="447"/>
      <c r="F37" s="447"/>
      <c r="G37" s="447"/>
      <c r="H37" s="447"/>
      <c r="I37" s="447"/>
      <c r="J37" s="447"/>
      <c r="K37" s="447"/>
      <c r="L37" s="3"/>
      <c r="M37" s="3"/>
      <c r="N37" s="3"/>
      <c r="O37" s="3"/>
      <c r="P37" s="3"/>
      <c r="Q37" s="3"/>
      <c r="R37" s="3"/>
      <c r="S37" s="3"/>
      <c r="T37" s="3"/>
      <c r="U37" s="3"/>
      <c r="V37" s="3"/>
      <c r="W37" s="3"/>
      <c r="X37" s="3"/>
      <c r="Y37" s="3"/>
      <c r="Z37" s="3"/>
    </row>
    <row r="38" spans="1:26" ht="15.75" customHeight="1" x14ac:dyDescent="0.2">
      <c r="A38" s="3"/>
      <c r="B38" s="392" t="s">
        <v>76</v>
      </c>
      <c r="C38" s="393"/>
      <c r="D38" s="2"/>
      <c r="E38" s="2"/>
      <c r="F38" s="2"/>
      <c r="G38" s="2"/>
      <c r="H38" s="2"/>
      <c r="I38" s="2"/>
      <c r="J38" s="2"/>
      <c r="K38" s="2"/>
      <c r="L38" s="3"/>
      <c r="M38" s="3"/>
      <c r="N38" s="3"/>
      <c r="O38" s="3"/>
      <c r="P38" s="3"/>
      <c r="Q38" s="3"/>
      <c r="R38" s="3"/>
      <c r="S38" s="3"/>
      <c r="T38" s="3"/>
      <c r="U38" s="3"/>
      <c r="V38" s="3"/>
      <c r="W38" s="3"/>
      <c r="X38" s="3"/>
      <c r="Y38" s="3"/>
      <c r="Z38" s="3"/>
    </row>
    <row r="39" spans="1:26" ht="15.75" customHeight="1" x14ac:dyDescent="0.2">
      <c r="A39" s="3"/>
      <c r="B39" s="2"/>
      <c r="C39" s="393" t="s">
        <v>272</v>
      </c>
      <c r="D39" s="2"/>
      <c r="E39" s="2"/>
      <c r="F39" s="469">
        <v>6</v>
      </c>
      <c r="G39" s="393" t="s">
        <v>77</v>
      </c>
      <c r="H39" s="2"/>
      <c r="I39" s="470">
        <v>6</v>
      </c>
      <c r="J39" s="393" t="s">
        <v>77</v>
      </c>
      <c r="K39" s="393" t="s">
        <v>309</v>
      </c>
      <c r="L39" s="3"/>
      <c r="M39" s="3"/>
      <c r="N39" s="3"/>
      <c r="O39" s="3"/>
      <c r="P39" s="3"/>
      <c r="Q39" s="3"/>
      <c r="R39" s="3"/>
      <c r="S39" s="3"/>
      <c r="T39" s="3"/>
      <c r="U39" s="3"/>
      <c r="V39" s="3"/>
      <c r="W39" s="3"/>
      <c r="X39" s="3"/>
      <c r="Y39" s="3"/>
      <c r="Z39" s="3"/>
    </row>
    <row r="40" spans="1:26" ht="15.75" customHeight="1" x14ac:dyDescent="0.2">
      <c r="A40" s="3"/>
      <c r="B40" s="2"/>
      <c r="C40" s="393" t="s">
        <v>273</v>
      </c>
      <c r="D40" s="2"/>
      <c r="E40" s="2"/>
      <c r="F40" s="469">
        <v>6</v>
      </c>
      <c r="G40" s="393" t="s">
        <v>77</v>
      </c>
      <c r="H40" s="2"/>
      <c r="I40" s="470">
        <v>9</v>
      </c>
      <c r="J40" s="393" t="s">
        <v>77</v>
      </c>
      <c r="K40" s="393" t="s">
        <v>1021</v>
      </c>
      <c r="L40" s="3"/>
      <c r="M40" s="3"/>
      <c r="N40" s="3"/>
      <c r="O40" s="3"/>
      <c r="P40" s="3"/>
      <c r="Q40" s="3"/>
      <c r="R40" s="3"/>
      <c r="S40" s="3"/>
      <c r="T40" s="3"/>
      <c r="U40" s="3"/>
      <c r="V40" s="3"/>
      <c r="W40" s="3"/>
      <c r="X40" s="3"/>
      <c r="Y40" s="3"/>
      <c r="Z40" s="3"/>
    </row>
    <row r="41" spans="1:26" ht="12.75" x14ac:dyDescent="0.2">
      <c r="A41" s="3"/>
      <c r="B41" s="2"/>
      <c r="C41" s="393" t="s">
        <v>323</v>
      </c>
      <c r="D41" s="2"/>
      <c r="E41" s="2"/>
      <c r="F41" s="469">
        <v>3</v>
      </c>
      <c r="G41" s="393" t="s">
        <v>77</v>
      </c>
      <c r="H41" s="2"/>
      <c r="I41" s="470">
        <v>1</v>
      </c>
      <c r="J41" s="393" t="s">
        <v>77</v>
      </c>
      <c r="K41" s="393" t="s">
        <v>500</v>
      </c>
      <c r="L41" s="3"/>
      <c r="M41" s="3"/>
      <c r="N41" s="3"/>
      <c r="O41" s="3"/>
      <c r="P41" s="3"/>
      <c r="Q41" s="3"/>
      <c r="R41" s="3"/>
      <c r="S41" s="3"/>
      <c r="T41" s="3"/>
      <c r="U41" s="3"/>
      <c r="V41" s="3"/>
      <c r="W41" s="3"/>
      <c r="X41" s="3"/>
      <c r="Y41" s="3"/>
      <c r="Z41" s="3"/>
    </row>
    <row r="42" spans="1:26" ht="12.75" x14ac:dyDescent="0.2">
      <c r="A42" s="3"/>
      <c r="B42" s="2"/>
      <c r="C42" s="393" t="s">
        <v>331</v>
      </c>
      <c r="D42" s="2"/>
      <c r="E42" s="2"/>
      <c r="F42" s="469">
        <v>13</v>
      </c>
      <c r="G42" s="393" t="s">
        <v>77</v>
      </c>
      <c r="H42" s="2"/>
      <c r="I42" s="471">
        <v>23</v>
      </c>
      <c r="J42" s="393" t="s">
        <v>77</v>
      </c>
      <c r="K42" s="393" t="s">
        <v>627</v>
      </c>
      <c r="L42" s="3"/>
      <c r="M42" s="3"/>
      <c r="N42" s="3"/>
      <c r="O42" s="3"/>
      <c r="P42" s="3"/>
      <c r="Q42" s="3"/>
      <c r="R42" s="3"/>
      <c r="S42" s="3"/>
      <c r="T42" s="3"/>
      <c r="U42" s="3"/>
      <c r="V42" s="3"/>
      <c r="W42" s="3"/>
      <c r="X42" s="3"/>
      <c r="Y42" s="3"/>
      <c r="Z42" s="3"/>
    </row>
    <row r="43" spans="1:26" ht="12.75" x14ac:dyDescent="0.2">
      <c r="A43" s="3"/>
      <c r="B43" s="2"/>
      <c r="C43" s="393" t="s">
        <v>290</v>
      </c>
      <c r="D43" s="2"/>
      <c r="E43" s="2"/>
      <c r="F43" s="469">
        <v>1</v>
      </c>
      <c r="G43" s="393" t="s">
        <v>77</v>
      </c>
      <c r="H43" s="2"/>
      <c r="I43" s="472">
        <f>F43</f>
        <v>1</v>
      </c>
      <c r="J43" s="460" t="s">
        <v>77</v>
      </c>
      <c r="K43" s="460" t="s">
        <v>309</v>
      </c>
      <c r="L43" s="3"/>
      <c r="M43" s="3"/>
      <c r="N43" s="3"/>
      <c r="O43" s="3"/>
      <c r="P43" s="3"/>
      <c r="Q43" s="3"/>
      <c r="R43" s="3"/>
      <c r="S43" s="3"/>
      <c r="T43" s="3"/>
      <c r="U43" s="3"/>
      <c r="V43" s="3"/>
      <c r="W43" s="3"/>
      <c r="X43" s="3"/>
      <c r="Y43" s="3"/>
      <c r="Z43" s="3"/>
    </row>
    <row r="44" spans="1:26" ht="12.75" x14ac:dyDescent="0.2">
      <c r="A44" s="3"/>
      <c r="B44" s="2"/>
      <c r="C44" s="393" t="s">
        <v>277</v>
      </c>
      <c r="D44" s="2"/>
      <c r="E44" s="2"/>
      <c r="F44" s="469">
        <v>25</v>
      </c>
      <c r="G44" s="393" t="s">
        <v>77</v>
      </c>
      <c r="H44" s="2"/>
      <c r="I44" s="471">
        <v>25</v>
      </c>
      <c r="J44" s="460" t="s">
        <v>77</v>
      </c>
      <c r="K44" s="460"/>
      <c r="L44" s="3"/>
      <c r="M44" s="3"/>
      <c r="N44" s="3"/>
      <c r="O44" s="3"/>
      <c r="P44" s="3"/>
      <c r="Q44" s="3"/>
      <c r="R44" s="3"/>
      <c r="S44" s="3"/>
      <c r="T44" s="3"/>
      <c r="U44" s="3"/>
      <c r="V44" s="3"/>
      <c r="W44" s="3"/>
      <c r="X44" s="3"/>
      <c r="Y44" s="3"/>
      <c r="Z44" s="3"/>
    </row>
    <row r="45" spans="1:26" ht="12.75" x14ac:dyDescent="0.2">
      <c r="A45" s="3"/>
      <c r="B45" s="2"/>
      <c r="C45" s="393" t="s">
        <v>276</v>
      </c>
      <c r="D45" s="2"/>
      <c r="E45" s="2"/>
      <c r="F45" s="456">
        <v>0</v>
      </c>
      <c r="G45" s="393" t="s">
        <v>86</v>
      </c>
      <c r="H45" s="2"/>
      <c r="I45" s="459">
        <v>25</v>
      </c>
      <c r="J45" s="393" t="s">
        <v>86</v>
      </c>
      <c r="K45" s="393" t="s">
        <v>515</v>
      </c>
      <c r="L45" s="3"/>
      <c r="M45" s="3"/>
      <c r="N45" s="3"/>
      <c r="O45" s="3"/>
      <c r="P45" s="3"/>
      <c r="Q45" s="3"/>
      <c r="R45" s="3"/>
      <c r="S45" s="3"/>
      <c r="T45" s="3"/>
      <c r="U45" s="3"/>
      <c r="V45" s="3"/>
      <c r="W45" s="3"/>
      <c r="X45" s="3"/>
      <c r="Y45" s="3"/>
      <c r="Z45" s="3"/>
    </row>
    <row r="46" spans="1:26" ht="12.75" x14ac:dyDescent="0.2">
      <c r="A46" s="3"/>
      <c r="B46" s="2"/>
      <c r="C46" s="391" t="s">
        <v>757</v>
      </c>
      <c r="D46" s="2"/>
      <c r="E46" s="2"/>
      <c r="F46" s="393"/>
      <c r="G46" s="393"/>
      <c r="H46" s="2"/>
      <c r="I46" s="459">
        <v>4</v>
      </c>
      <c r="J46" s="393" t="s">
        <v>487</v>
      </c>
      <c r="K46" s="393"/>
      <c r="L46" s="3"/>
      <c r="M46" s="3"/>
      <c r="N46" s="3"/>
      <c r="O46" s="3"/>
      <c r="P46" s="3"/>
      <c r="Q46" s="3"/>
      <c r="R46" s="3"/>
      <c r="S46" s="3"/>
      <c r="T46" s="3"/>
      <c r="U46" s="3"/>
      <c r="V46" s="3"/>
      <c r="W46" s="3"/>
      <c r="X46" s="3"/>
      <c r="Y46" s="3"/>
      <c r="Z46" s="3"/>
    </row>
    <row r="47" spans="1:26" ht="12.75" x14ac:dyDescent="0.2">
      <c r="A47" s="3"/>
      <c r="B47" s="2"/>
      <c r="C47" s="393" t="s">
        <v>206</v>
      </c>
      <c r="D47" s="2"/>
      <c r="E47" s="2"/>
      <c r="F47" s="469">
        <v>1030</v>
      </c>
      <c r="G47" s="393" t="s">
        <v>87</v>
      </c>
      <c r="H47" s="473"/>
      <c r="I47" s="474">
        <f t="shared" ref="I47:I52" si="0">F47</f>
        <v>1030</v>
      </c>
      <c r="J47" s="393" t="s">
        <v>87</v>
      </c>
      <c r="K47" s="393" t="s">
        <v>501</v>
      </c>
      <c r="L47" s="3"/>
      <c r="M47" s="3"/>
      <c r="N47" s="3"/>
      <c r="O47" s="3"/>
      <c r="P47" s="3"/>
      <c r="Q47" s="3"/>
      <c r="R47" s="3"/>
      <c r="S47" s="3"/>
      <c r="T47" s="3"/>
      <c r="U47" s="3"/>
      <c r="V47" s="3"/>
      <c r="W47" s="3"/>
      <c r="X47" s="3"/>
      <c r="Y47" s="3"/>
      <c r="Z47" s="3"/>
    </row>
    <row r="48" spans="1:26" ht="12.75" x14ac:dyDescent="0.2">
      <c r="A48" s="3"/>
      <c r="B48" s="2"/>
      <c r="C48" s="393" t="s">
        <v>205</v>
      </c>
      <c r="D48" s="2"/>
      <c r="E48" s="2"/>
      <c r="F48" s="469">
        <v>914</v>
      </c>
      <c r="G48" s="393" t="s">
        <v>87</v>
      </c>
      <c r="H48" s="2"/>
      <c r="I48" s="474">
        <f t="shared" si="0"/>
        <v>914</v>
      </c>
      <c r="J48" s="393" t="s">
        <v>87</v>
      </c>
      <c r="K48" s="393" t="s">
        <v>501</v>
      </c>
      <c r="L48" s="3"/>
      <c r="M48" s="3"/>
      <c r="N48" s="3"/>
      <c r="O48" s="3"/>
      <c r="P48" s="3"/>
      <c r="Q48" s="3"/>
      <c r="R48" s="3"/>
      <c r="S48" s="3"/>
      <c r="T48" s="3"/>
      <c r="U48" s="3"/>
      <c r="V48" s="3"/>
      <c r="W48" s="3"/>
      <c r="X48" s="3"/>
      <c r="Y48" s="3"/>
      <c r="Z48" s="3"/>
    </row>
    <row r="49" spans="1:26" ht="12.75" x14ac:dyDescent="0.2">
      <c r="A49" s="3"/>
      <c r="B49" s="2"/>
      <c r="C49" s="393" t="s">
        <v>324</v>
      </c>
      <c r="D49" s="2"/>
      <c r="E49" s="2"/>
      <c r="F49" s="469">
        <v>1187</v>
      </c>
      <c r="G49" s="460" t="s">
        <v>87</v>
      </c>
      <c r="H49" s="53"/>
      <c r="I49" s="476">
        <f t="shared" si="0"/>
        <v>1187</v>
      </c>
      <c r="J49" s="460" t="s">
        <v>87</v>
      </c>
      <c r="K49" s="393" t="s">
        <v>501</v>
      </c>
      <c r="L49" s="3"/>
      <c r="M49" s="3"/>
      <c r="N49" s="3"/>
      <c r="O49" s="3"/>
      <c r="P49" s="3"/>
      <c r="Q49" s="3"/>
      <c r="R49" s="3"/>
      <c r="S49" s="3"/>
      <c r="T49" s="3"/>
      <c r="U49" s="3"/>
      <c r="V49" s="3"/>
      <c r="W49" s="3"/>
      <c r="X49" s="3"/>
      <c r="Y49" s="3"/>
      <c r="Z49" s="3"/>
    </row>
    <row r="50" spans="1:26" ht="12.75" x14ac:dyDescent="0.2">
      <c r="A50" s="3"/>
      <c r="B50" s="2"/>
      <c r="C50" s="393" t="s">
        <v>332</v>
      </c>
      <c r="D50" s="2"/>
      <c r="E50" s="2"/>
      <c r="F50" s="469">
        <v>861</v>
      </c>
      <c r="G50" s="393" t="s">
        <v>87</v>
      </c>
      <c r="H50" s="2"/>
      <c r="I50" s="474">
        <f>F50</f>
        <v>861</v>
      </c>
      <c r="J50" s="393" t="s">
        <v>87</v>
      </c>
      <c r="K50" s="393" t="s">
        <v>336</v>
      </c>
      <c r="L50" s="3"/>
      <c r="M50" s="3"/>
      <c r="N50" s="3"/>
      <c r="O50" s="3"/>
      <c r="P50" s="3"/>
      <c r="Q50" s="3"/>
      <c r="R50" s="3"/>
      <c r="S50" s="3"/>
      <c r="T50" s="3"/>
      <c r="U50" s="3"/>
      <c r="V50" s="3"/>
      <c r="W50" s="3"/>
      <c r="X50" s="3"/>
      <c r="Y50" s="3"/>
      <c r="Z50" s="3"/>
    </row>
    <row r="51" spans="1:26" ht="12.75" x14ac:dyDescent="0.2">
      <c r="A51" s="3"/>
      <c r="B51" s="2"/>
      <c r="C51" s="393" t="s">
        <v>291</v>
      </c>
      <c r="D51" s="2"/>
      <c r="E51" s="2"/>
      <c r="F51" s="469">
        <v>1341</v>
      </c>
      <c r="G51" s="393" t="s">
        <v>87</v>
      </c>
      <c r="H51" s="2"/>
      <c r="I51" s="474">
        <f t="shared" si="0"/>
        <v>1341</v>
      </c>
      <c r="J51" s="393" t="s">
        <v>87</v>
      </c>
      <c r="K51" s="393" t="s">
        <v>501</v>
      </c>
      <c r="L51" s="3"/>
      <c r="M51" s="3"/>
      <c r="N51" s="3"/>
      <c r="O51" s="3"/>
      <c r="P51" s="3"/>
      <c r="Q51" s="3"/>
      <c r="R51" s="3"/>
      <c r="S51" s="3"/>
      <c r="T51" s="3"/>
      <c r="U51" s="3"/>
      <c r="V51" s="3"/>
      <c r="W51" s="3"/>
      <c r="X51" s="3"/>
      <c r="Y51" s="3"/>
      <c r="Z51" s="3"/>
    </row>
    <row r="52" spans="1:26" ht="12.75" x14ac:dyDescent="0.2">
      <c r="A52" s="3"/>
      <c r="B52" s="2"/>
      <c r="C52" s="393" t="s">
        <v>271</v>
      </c>
      <c r="D52" s="2"/>
      <c r="E52" s="2"/>
      <c r="F52" s="469">
        <v>619</v>
      </c>
      <c r="G52" s="460" t="s">
        <v>87</v>
      </c>
      <c r="H52" s="53"/>
      <c r="I52" s="476">
        <f t="shared" si="0"/>
        <v>619</v>
      </c>
      <c r="J52" s="460" t="s">
        <v>87</v>
      </c>
      <c r="K52" s="393" t="s">
        <v>501</v>
      </c>
      <c r="L52" s="3"/>
      <c r="M52" s="3"/>
      <c r="N52" s="3"/>
      <c r="O52" s="3"/>
      <c r="P52" s="3"/>
      <c r="Q52" s="3"/>
      <c r="R52" s="3"/>
      <c r="S52" s="3"/>
      <c r="T52" s="3"/>
      <c r="U52" s="3"/>
      <c r="V52" s="3"/>
      <c r="W52" s="3"/>
      <c r="X52" s="3"/>
      <c r="Y52" s="3"/>
      <c r="Z52" s="3"/>
    </row>
    <row r="53" spans="1:26" ht="12.75" x14ac:dyDescent="0.2">
      <c r="A53" s="3"/>
      <c r="B53" s="2"/>
      <c r="C53" s="393" t="s">
        <v>89</v>
      </c>
      <c r="D53" s="2"/>
      <c r="E53" s="2"/>
      <c r="F53" s="478">
        <v>0</v>
      </c>
      <c r="G53" s="475" t="s">
        <v>69</v>
      </c>
      <c r="H53" s="473"/>
      <c r="I53" s="475"/>
      <c r="J53" s="475"/>
      <c r="K53" s="473"/>
      <c r="L53" s="3"/>
      <c r="M53" s="3"/>
      <c r="N53" s="3"/>
      <c r="O53" s="3"/>
      <c r="P53" s="3"/>
      <c r="Q53" s="3"/>
      <c r="R53" s="3"/>
      <c r="S53" s="3"/>
      <c r="T53" s="3"/>
      <c r="U53" s="3"/>
      <c r="V53" s="3"/>
      <c r="W53" s="3"/>
      <c r="X53" s="3"/>
      <c r="Y53" s="3"/>
      <c r="Z53" s="3"/>
    </row>
    <row r="54" spans="1:26" s="241" customFormat="1" ht="12.75" x14ac:dyDescent="0.2">
      <c r="A54" s="246"/>
      <c r="B54" s="243"/>
      <c r="C54" s="598"/>
      <c r="D54" s="243"/>
      <c r="E54" s="243"/>
      <c r="F54" s="599"/>
      <c r="G54" s="600"/>
      <c r="H54" s="601"/>
      <c r="I54" s="600"/>
      <c r="J54" s="600"/>
      <c r="K54" s="601"/>
      <c r="L54" s="3"/>
      <c r="M54" s="3"/>
      <c r="N54" s="3"/>
      <c r="O54" s="3"/>
      <c r="P54" s="246"/>
      <c r="Q54" s="246"/>
      <c r="R54" s="246"/>
      <c r="S54" s="246"/>
      <c r="T54" s="246"/>
      <c r="U54" s="246"/>
      <c r="V54" s="246"/>
      <c r="W54" s="246"/>
      <c r="X54" s="246"/>
      <c r="Y54" s="246"/>
      <c r="Z54" s="246"/>
    </row>
    <row r="55" spans="1:26" ht="12.75" x14ac:dyDescent="0.2">
      <c r="A55" s="3"/>
      <c r="B55" s="479" t="s">
        <v>215</v>
      </c>
      <c r="C55" s="480"/>
      <c r="D55" s="480"/>
      <c r="E55" s="480"/>
      <c r="F55" s="480"/>
      <c r="G55" s="480"/>
      <c r="H55" s="480"/>
      <c r="I55" s="480"/>
      <c r="J55" s="480"/>
      <c r="K55" s="480"/>
      <c r="L55" s="3"/>
      <c r="M55" s="3"/>
      <c r="N55" s="3"/>
      <c r="O55" s="3"/>
      <c r="P55" s="3"/>
      <c r="Q55" s="3"/>
      <c r="R55" s="3"/>
      <c r="S55" s="3"/>
      <c r="T55" s="3"/>
      <c r="U55" s="3"/>
      <c r="V55" s="3"/>
      <c r="W55" s="3"/>
      <c r="X55" s="3"/>
      <c r="Y55" s="3"/>
      <c r="Z55" s="3"/>
    </row>
    <row r="56" spans="1:26" ht="12.75" x14ac:dyDescent="0.2">
      <c r="A56" s="3"/>
      <c r="B56" s="2"/>
      <c r="C56" s="393" t="s">
        <v>110</v>
      </c>
      <c r="D56" s="2"/>
      <c r="E56" s="2"/>
      <c r="F56" s="481">
        <v>5136</v>
      </c>
      <c r="G56" s="460" t="s">
        <v>111</v>
      </c>
      <c r="H56" s="53"/>
      <c r="I56" s="482">
        <f>F56</f>
        <v>5136</v>
      </c>
      <c r="J56" s="460" t="s">
        <v>111</v>
      </c>
      <c r="K56" s="53" t="s">
        <v>326</v>
      </c>
      <c r="L56" s="3"/>
      <c r="M56" s="3"/>
      <c r="N56" s="3"/>
      <c r="O56" s="3"/>
      <c r="P56" s="3"/>
      <c r="Q56" s="3"/>
      <c r="R56" s="3"/>
      <c r="S56" s="3"/>
      <c r="T56" s="3"/>
      <c r="U56" s="3"/>
      <c r="V56" s="3"/>
      <c r="W56" s="3"/>
      <c r="X56" s="3"/>
      <c r="Y56" s="3"/>
      <c r="Z56" s="3"/>
    </row>
    <row r="57" spans="1:26" ht="12.75" x14ac:dyDescent="0.2">
      <c r="A57" s="3"/>
      <c r="B57" s="2"/>
      <c r="C57" s="460" t="s">
        <v>286</v>
      </c>
      <c r="D57" s="571"/>
      <c r="E57" s="571"/>
      <c r="F57" s="572">
        <v>0.5</v>
      </c>
      <c r="G57" s="333" t="s">
        <v>759</v>
      </c>
      <c r="H57" s="333" t="s">
        <v>760</v>
      </c>
      <c r="I57" s="483"/>
      <c r="J57" s="460"/>
      <c r="K57" s="53"/>
      <c r="L57" s="3"/>
      <c r="M57" s="3"/>
      <c r="N57" s="3"/>
      <c r="O57" s="3"/>
      <c r="P57" s="3"/>
      <c r="Q57" s="3"/>
      <c r="R57" s="3"/>
      <c r="S57" s="3"/>
      <c r="T57" s="3"/>
      <c r="U57" s="3"/>
      <c r="V57" s="3"/>
      <c r="W57" s="3"/>
      <c r="X57" s="3"/>
      <c r="Y57" s="3"/>
      <c r="Z57" s="3"/>
    </row>
    <row r="58" spans="1:26" ht="12.75" x14ac:dyDescent="0.2">
      <c r="A58" s="3"/>
      <c r="B58" s="2"/>
      <c r="C58" s="785" t="s">
        <v>283</v>
      </c>
      <c r="D58" s="53"/>
      <c r="E58" s="53"/>
      <c r="F58" s="484">
        <v>2504</v>
      </c>
      <c r="G58" s="390" t="s">
        <v>758</v>
      </c>
      <c r="H58" s="422" t="s">
        <v>357</v>
      </c>
      <c r="I58" s="483"/>
      <c r="J58" s="460"/>
      <c r="K58" s="53"/>
      <c r="L58" s="3"/>
      <c r="M58" s="3"/>
      <c r="N58" s="3"/>
      <c r="O58" s="3"/>
      <c r="P58" s="3"/>
      <c r="Q58" s="3"/>
      <c r="R58" s="3"/>
      <c r="S58" s="3"/>
      <c r="T58" s="3"/>
      <c r="U58" s="3"/>
      <c r="V58" s="3"/>
      <c r="W58" s="3"/>
      <c r="X58" s="3"/>
      <c r="Y58" s="3"/>
      <c r="Z58" s="3"/>
    </row>
    <row r="59" spans="1:26" ht="12.75" x14ac:dyDescent="0.2">
      <c r="A59" s="3"/>
      <c r="B59" s="447"/>
      <c r="C59" s="447"/>
      <c r="D59" s="447"/>
      <c r="E59" s="447"/>
      <c r="F59" s="447"/>
      <c r="G59" s="447"/>
      <c r="H59" s="447"/>
      <c r="I59" s="447"/>
      <c r="J59" s="447"/>
      <c r="K59" s="447"/>
      <c r="L59" s="3"/>
      <c r="M59" s="3"/>
      <c r="N59" s="3"/>
      <c r="O59" s="3"/>
      <c r="P59" s="3"/>
      <c r="Q59" s="3"/>
      <c r="R59" s="3"/>
      <c r="S59" s="3"/>
      <c r="T59" s="3"/>
      <c r="U59" s="3"/>
      <c r="V59" s="3"/>
      <c r="W59" s="3"/>
      <c r="X59" s="3"/>
      <c r="Y59" s="3"/>
      <c r="Z59" s="3"/>
    </row>
    <row r="60" spans="1:26" ht="12.75" x14ac:dyDescent="0.2">
      <c r="A60" s="3"/>
      <c r="B60" s="392" t="s">
        <v>91</v>
      </c>
      <c r="C60" s="2"/>
      <c r="D60" s="2"/>
      <c r="E60" s="2"/>
      <c r="F60" s="2"/>
      <c r="G60" s="2"/>
      <c r="H60" s="2"/>
      <c r="I60" s="2"/>
      <c r="J60" s="2"/>
      <c r="K60" s="2"/>
      <c r="L60" s="3"/>
      <c r="M60" s="3"/>
      <c r="N60" s="3"/>
      <c r="O60" s="3"/>
      <c r="P60" s="3"/>
      <c r="Q60" s="3"/>
      <c r="R60" s="3"/>
      <c r="S60" s="3"/>
      <c r="T60" s="3"/>
      <c r="U60" s="3"/>
      <c r="V60" s="3"/>
      <c r="W60" s="3"/>
      <c r="X60" s="3"/>
      <c r="Y60" s="3"/>
      <c r="Z60" s="3"/>
    </row>
    <row r="61" spans="1:26" ht="12.75" x14ac:dyDescent="0.2">
      <c r="A61" s="3"/>
      <c r="B61" s="2"/>
      <c r="C61" s="393" t="s">
        <v>312</v>
      </c>
      <c r="D61" s="2"/>
      <c r="E61" s="2"/>
      <c r="F61" s="459">
        <v>41.49</v>
      </c>
      <c r="G61" s="393" t="s">
        <v>314</v>
      </c>
      <c r="H61" s="2"/>
      <c r="I61" s="462">
        <f>F61</f>
        <v>41.49</v>
      </c>
      <c r="J61" s="393" t="s">
        <v>314</v>
      </c>
      <c r="K61" s="393" t="s">
        <v>894</v>
      </c>
      <c r="L61" s="3"/>
      <c r="M61" s="3"/>
      <c r="N61" s="3"/>
      <c r="O61" s="3"/>
      <c r="P61" s="3"/>
      <c r="Q61" s="3"/>
      <c r="R61" s="3"/>
      <c r="S61" s="3"/>
      <c r="T61" s="3"/>
      <c r="U61" s="3"/>
      <c r="V61" s="3"/>
      <c r="W61" s="3"/>
      <c r="X61" s="3"/>
      <c r="Y61" s="3"/>
      <c r="Z61" s="3"/>
    </row>
    <row r="62" spans="1:26" ht="12.75" x14ac:dyDescent="0.2">
      <c r="A62" s="3"/>
      <c r="B62" s="2"/>
      <c r="C62" s="393" t="s">
        <v>313</v>
      </c>
      <c r="D62" s="2"/>
      <c r="E62" s="2"/>
      <c r="F62" s="459">
        <v>0</v>
      </c>
      <c r="G62" s="460" t="s">
        <v>314</v>
      </c>
      <c r="H62" s="53"/>
      <c r="I62" s="459">
        <v>60</v>
      </c>
      <c r="J62" s="393" t="s">
        <v>314</v>
      </c>
      <c r="K62" s="393" t="s">
        <v>1052</v>
      </c>
      <c r="L62" s="3"/>
      <c r="M62" s="3"/>
      <c r="N62" s="3"/>
      <c r="O62" s="3"/>
      <c r="P62" s="3"/>
      <c r="Q62" s="3"/>
      <c r="R62" s="3"/>
      <c r="S62" s="3"/>
      <c r="T62" s="3"/>
      <c r="U62" s="3"/>
      <c r="V62" s="3"/>
      <c r="W62" s="3"/>
      <c r="X62" s="3"/>
      <c r="Y62" s="3"/>
      <c r="Z62" s="3"/>
    </row>
    <row r="63" spans="1:26" ht="12.75" x14ac:dyDescent="0.2">
      <c r="A63" s="3"/>
      <c r="B63" s="2"/>
      <c r="C63" s="393" t="s">
        <v>102</v>
      </c>
      <c r="D63" s="2"/>
      <c r="E63" s="2"/>
      <c r="F63" s="470">
        <v>0</v>
      </c>
      <c r="G63" s="393" t="s">
        <v>93</v>
      </c>
      <c r="H63" s="2"/>
      <c r="I63" s="459">
        <v>200</v>
      </c>
      <c r="J63" s="393" t="s">
        <v>93</v>
      </c>
      <c r="K63" s="393" t="s">
        <v>516</v>
      </c>
      <c r="L63" s="3"/>
      <c r="M63" s="3"/>
      <c r="N63" s="3"/>
      <c r="O63" s="3"/>
      <c r="P63" s="3"/>
      <c r="Q63" s="3"/>
      <c r="R63" s="3"/>
      <c r="S63" s="3"/>
      <c r="T63" s="3"/>
      <c r="U63" s="3"/>
      <c r="V63" s="3"/>
      <c r="W63" s="3"/>
      <c r="X63" s="3"/>
      <c r="Y63" s="3"/>
      <c r="Z63" s="3"/>
    </row>
    <row r="64" spans="1:26" ht="12.75" x14ac:dyDescent="0.2">
      <c r="A64" s="3"/>
      <c r="B64" s="2"/>
      <c r="C64" s="393" t="s">
        <v>334</v>
      </c>
      <c r="D64" s="2"/>
      <c r="E64" s="2"/>
      <c r="F64" s="459">
        <v>0</v>
      </c>
      <c r="G64" s="393" t="s">
        <v>106</v>
      </c>
      <c r="H64" s="2"/>
      <c r="I64" s="456">
        <v>2</v>
      </c>
      <c r="J64" s="393" t="s">
        <v>106</v>
      </c>
      <c r="K64" s="393" t="s">
        <v>502</v>
      </c>
      <c r="L64" s="3"/>
      <c r="M64" s="3"/>
      <c r="N64" s="3"/>
      <c r="O64" s="3"/>
      <c r="P64" s="3"/>
      <c r="Q64" s="3"/>
      <c r="R64" s="3"/>
      <c r="S64" s="3"/>
      <c r="T64" s="3"/>
      <c r="U64" s="3"/>
      <c r="V64" s="3"/>
      <c r="W64" s="3"/>
      <c r="X64" s="3"/>
      <c r="Y64" s="3"/>
      <c r="Z64" s="3"/>
    </row>
    <row r="65" spans="1:26" ht="12.75" x14ac:dyDescent="0.2">
      <c r="A65" s="3"/>
      <c r="B65" s="2"/>
      <c r="C65" s="393" t="s">
        <v>105</v>
      </c>
      <c r="D65" s="2"/>
      <c r="E65" s="2"/>
      <c r="F65" s="459">
        <v>0</v>
      </c>
      <c r="G65" s="393" t="s">
        <v>106</v>
      </c>
      <c r="H65" s="2"/>
      <c r="I65" s="470">
        <v>4.5</v>
      </c>
      <c r="J65" s="393" t="s">
        <v>106</v>
      </c>
      <c r="K65" s="393" t="s">
        <v>309</v>
      </c>
      <c r="L65" s="3"/>
      <c r="M65" s="3"/>
      <c r="N65" s="3"/>
      <c r="O65" s="3"/>
      <c r="P65" s="3"/>
      <c r="Q65" s="3"/>
      <c r="R65" s="3"/>
      <c r="S65" s="3"/>
      <c r="T65" s="3"/>
      <c r="U65" s="3"/>
      <c r="V65" s="3"/>
      <c r="W65" s="3"/>
      <c r="X65" s="3"/>
      <c r="Y65" s="3"/>
      <c r="Z65" s="3"/>
    </row>
    <row r="66" spans="1:26" ht="12.75" x14ac:dyDescent="0.2">
      <c r="A66" s="3"/>
      <c r="B66" s="2"/>
      <c r="C66" s="393" t="s">
        <v>108</v>
      </c>
      <c r="D66" s="2"/>
      <c r="E66" s="2"/>
      <c r="F66" s="456">
        <v>0</v>
      </c>
      <c r="G66" s="393" t="s">
        <v>311</v>
      </c>
      <c r="H66" s="2"/>
      <c r="I66" s="485"/>
      <c r="J66" s="393"/>
      <c r="K66" s="2"/>
      <c r="L66" s="3"/>
      <c r="M66" s="3"/>
      <c r="N66" s="3"/>
      <c r="O66" s="3"/>
      <c r="P66" s="3"/>
      <c r="Q66" s="3"/>
      <c r="R66" s="3"/>
      <c r="S66" s="3"/>
      <c r="T66" s="3"/>
      <c r="U66" s="3"/>
      <c r="V66" s="3"/>
      <c r="W66" s="3"/>
      <c r="X66" s="3"/>
      <c r="Y66" s="3"/>
      <c r="Z66" s="3"/>
    </row>
    <row r="67" spans="1:26" ht="12.75" x14ac:dyDescent="0.2">
      <c r="A67" s="3"/>
      <c r="B67" s="447"/>
      <c r="C67" s="447"/>
      <c r="D67" s="447"/>
      <c r="E67" s="447"/>
      <c r="F67" s="447"/>
      <c r="G67" s="447"/>
      <c r="H67" s="447"/>
      <c r="I67" s="447"/>
      <c r="J67" s="447"/>
      <c r="K67" s="447"/>
      <c r="L67" s="3"/>
      <c r="M67" s="3"/>
      <c r="N67" s="3"/>
      <c r="O67" s="3"/>
      <c r="P67" s="3"/>
      <c r="Q67" s="3"/>
      <c r="R67" s="3"/>
      <c r="S67" s="3"/>
      <c r="T67" s="3"/>
      <c r="U67" s="3"/>
      <c r="V67" s="3"/>
      <c r="W67" s="3"/>
      <c r="X67" s="3"/>
      <c r="Y67" s="3"/>
      <c r="Z67" s="3"/>
    </row>
    <row r="68" spans="1:26" ht="12.75" x14ac:dyDescent="0.2">
      <c r="A68" s="3"/>
      <c r="B68" s="392" t="s">
        <v>109</v>
      </c>
      <c r="C68" s="2"/>
      <c r="D68" s="2"/>
      <c r="E68" s="2"/>
      <c r="F68" s="2"/>
      <c r="G68" s="2"/>
      <c r="H68" s="2"/>
      <c r="I68" s="2"/>
      <c r="J68" s="2"/>
      <c r="K68" s="2"/>
      <c r="L68" s="3"/>
      <c r="M68" s="3"/>
      <c r="N68" s="3"/>
      <c r="O68" s="3"/>
      <c r="P68" s="3"/>
      <c r="Q68" s="3"/>
      <c r="R68" s="3"/>
      <c r="S68" s="3"/>
      <c r="T68" s="3"/>
      <c r="U68" s="3"/>
      <c r="V68" s="3"/>
      <c r="W68" s="3"/>
      <c r="X68" s="3"/>
      <c r="Y68" s="3"/>
      <c r="Z68" s="3"/>
    </row>
    <row r="69" spans="1:26" ht="12.75" x14ac:dyDescent="0.2">
      <c r="A69" s="3"/>
      <c r="B69" s="2"/>
      <c r="C69" s="393" t="s">
        <v>312</v>
      </c>
      <c r="D69" s="2"/>
      <c r="E69" s="2"/>
      <c r="F69" s="459">
        <v>100</v>
      </c>
      <c r="G69" s="393" t="s">
        <v>315</v>
      </c>
      <c r="H69" s="2"/>
      <c r="I69" s="486">
        <f>F69</f>
        <v>100</v>
      </c>
      <c r="J69" s="393" t="s">
        <v>315</v>
      </c>
      <c r="K69" s="2"/>
      <c r="L69" s="3"/>
      <c r="M69" s="3"/>
      <c r="N69" s="3"/>
      <c r="O69" s="3"/>
      <c r="P69" s="3"/>
      <c r="Q69" s="3"/>
      <c r="R69" s="3"/>
      <c r="S69" s="3"/>
      <c r="T69" s="3"/>
      <c r="U69" s="3"/>
      <c r="V69" s="3"/>
      <c r="W69" s="3"/>
      <c r="X69" s="3"/>
      <c r="Y69" s="3"/>
      <c r="Z69" s="3"/>
    </row>
    <row r="70" spans="1:26" ht="12.75" x14ac:dyDescent="0.2">
      <c r="A70" s="3"/>
      <c r="B70" s="2"/>
      <c r="C70" s="393" t="s">
        <v>313</v>
      </c>
      <c r="D70" s="2"/>
      <c r="E70" s="2"/>
      <c r="F70" s="449">
        <v>250</v>
      </c>
      <c r="G70" s="393" t="s">
        <v>315</v>
      </c>
      <c r="H70" s="2"/>
      <c r="I70" s="449">
        <v>250</v>
      </c>
      <c r="J70" s="393" t="s">
        <v>315</v>
      </c>
      <c r="K70" s="2" t="s">
        <v>325</v>
      </c>
      <c r="L70" s="3"/>
      <c r="M70" s="3"/>
      <c r="N70" s="3"/>
      <c r="O70" s="3"/>
      <c r="P70" s="3"/>
      <c r="Q70" s="3"/>
      <c r="R70" s="3"/>
      <c r="S70" s="3"/>
      <c r="T70" s="3"/>
      <c r="U70" s="3"/>
      <c r="V70" s="3"/>
      <c r="W70" s="3"/>
      <c r="X70" s="3"/>
      <c r="Y70" s="3"/>
      <c r="Z70" s="3"/>
    </row>
    <row r="71" spans="1:26" ht="12.75" x14ac:dyDescent="0.2">
      <c r="A71" s="3"/>
      <c r="B71" s="2"/>
      <c r="C71" s="393" t="s">
        <v>102</v>
      </c>
      <c r="D71" s="2"/>
      <c r="E71" s="2"/>
      <c r="F71" s="456">
        <v>0.60899999999999999</v>
      </c>
      <c r="G71" s="781" t="s">
        <v>1038</v>
      </c>
      <c r="H71" s="749"/>
      <c r="I71" s="486">
        <f>F71</f>
        <v>0.60899999999999999</v>
      </c>
      <c r="J71" s="781" t="s">
        <v>1038</v>
      </c>
      <c r="K71" s="749" t="s">
        <v>281</v>
      </c>
      <c r="L71" s="3"/>
      <c r="M71" s="3"/>
      <c r="N71" s="3"/>
      <c r="O71" s="3"/>
      <c r="P71" s="3"/>
      <c r="Q71" s="3"/>
      <c r="R71" s="3"/>
      <c r="S71" s="3"/>
      <c r="T71" s="3"/>
      <c r="U71" s="3"/>
      <c r="V71" s="3"/>
      <c r="W71" s="3"/>
      <c r="X71" s="3"/>
      <c r="Y71" s="3"/>
      <c r="Z71" s="3"/>
    </row>
    <row r="72" spans="1:26" ht="12.75" x14ac:dyDescent="0.2">
      <c r="A72" s="3"/>
      <c r="B72" s="2"/>
      <c r="C72" s="393" t="s">
        <v>333</v>
      </c>
      <c r="D72" s="2"/>
      <c r="E72" s="2"/>
      <c r="F72" s="461">
        <v>6.3475942620000003</v>
      </c>
      <c r="G72" s="393" t="s">
        <v>1039</v>
      </c>
      <c r="H72" s="2"/>
      <c r="I72" s="486">
        <f>F72</f>
        <v>6.3475942620000003</v>
      </c>
      <c r="J72" s="781" t="s">
        <v>1039</v>
      </c>
      <c r="K72" s="2" t="s">
        <v>335</v>
      </c>
      <c r="L72" s="3"/>
      <c r="M72" s="3"/>
      <c r="N72" s="3"/>
      <c r="O72" s="3"/>
      <c r="P72" s="3"/>
      <c r="Q72" s="3"/>
      <c r="R72" s="3"/>
      <c r="S72" s="3"/>
      <c r="T72" s="3"/>
      <c r="U72" s="3"/>
      <c r="V72" s="3"/>
      <c r="W72" s="3"/>
      <c r="X72" s="3"/>
      <c r="Y72" s="3"/>
      <c r="Z72" s="3"/>
    </row>
    <row r="73" spans="1:26" ht="12.75" x14ac:dyDescent="0.2">
      <c r="A73" s="3"/>
      <c r="B73" s="2"/>
      <c r="C73" s="393" t="s">
        <v>105</v>
      </c>
      <c r="D73" s="2"/>
      <c r="E73" s="2"/>
      <c r="F73" s="527">
        <v>5.0780754094198297</v>
      </c>
      <c r="G73" s="781" t="s">
        <v>1039</v>
      </c>
      <c r="H73" s="749"/>
      <c r="I73" s="824">
        <f>F73</f>
        <v>5.0780754094198297</v>
      </c>
      <c r="J73" s="781" t="s">
        <v>1039</v>
      </c>
      <c r="K73" s="781" t="s">
        <v>122</v>
      </c>
      <c r="L73" s="3"/>
      <c r="M73" s="3"/>
      <c r="N73" s="3"/>
      <c r="O73" s="3"/>
      <c r="P73" s="3"/>
      <c r="Q73" s="3"/>
      <c r="R73" s="3"/>
      <c r="S73" s="3"/>
      <c r="T73" s="3"/>
      <c r="U73" s="3"/>
      <c r="V73" s="3"/>
      <c r="W73" s="3"/>
      <c r="X73" s="3"/>
      <c r="Y73" s="3"/>
      <c r="Z73" s="3"/>
    </row>
    <row r="74" spans="1:26" ht="12.75" x14ac:dyDescent="0.2">
      <c r="A74" s="3"/>
      <c r="B74" s="2"/>
      <c r="C74" s="393" t="s">
        <v>338</v>
      </c>
      <c r="D74" s="2"/>
      <c r="E74" s="2"/>
      <c r="F74" s="478">
        <v>0</v>
      </c>
      <c r="G74" s="475" t="s">
        <v>69</v>
      </c>
      <c r="H74" s="473"/>
      <c r="I74" s="475"/>
      <c r="J74" s="475"/>
      <c r="K74" s="473"/>
      <c r="L74" s="3"/>
      <c r="M74" s="3"/>
      <c r="N74" s="3"/>
      <c r="O74" s="3"/>
      <c r="P74" s="3"/>
      <c r="Q74" s="3"/>
      <c r="R74" s="3"/>
      <c r="S74" s="3"/>
      <c r="T74" s="3"/>
      <c r="U74" s="3"/>
      <c r="V74" s="3"/>
      <c r="W74" s="3"/>
      <c r="X74" s="3"/>
      <c r="Y74" s="3"/>
      <c r="Z74" s="3"/>
    </row>
    <row r="75" spans="1:26" ht="12.75" x14ac:dyDescent="0.2">
      <c r="A75" s="3"/>
      <c r="B75" s="2"/>
      <c r="C75" s="393" t="s">
        <v>911</v>
      </c>
      <c r="D75" s="2"/>
      <c r="E75" s="2"/>
      <c r="F75" s="478">
        <v>0</v>
      </c>
      <c r="G75" s="475" t="s">
        <v>5</v>
      </c>
      <c r="H75" s="473"/>
      <c r="I75" s="475"/>
      <c r="J75" s="475"/>
      <c r="K75" s="473" t="s">
        <v>912</v>
      </c>
      <c r="L75" s="3"/>
      <c r="M75" s="3"/>
      <c r="N75" s="3"/>
      <c r="O75" s="3"/>
      <c r="P75" s="3"/>
      <c r="Q75" s="3"/>
      <c r="R75" s="3"/>
      <c r="S75" s="3"/>
      <c r="T75" s="3"/>
      <c r="U75" s="3"/>
      <c r="V75" s="3"/>
      <c r="W75" s="3"/>
      <c r="X75" s="3"/>
      <c r="Y75" s="3"/>
      <c r="Z75" s="3"/>
    </row>
    <row r="76" spans="1:26" ht="12.75" x14ac:dyDescent="0.2">
      <c r="A76" s="3"/>
      <c r="B76" s="447"/>
      <c r="C76" s="447"/>
      <c r="D76" s="447"/>
      <c r="E76" s="447"/>
      <c r="F76" s="447"/>
      <c r="G76" s="447"/>
      <c r="H76" s="447"/>
      <c r="I76" s="447"/>
      <c r="J76" s="447"/>
      <c r="K76" s="447"/>
      <c r="L76" s="3"/>
      <c r="M76" s="3"/>
      <c r="N76" s="3"/>
      <c r="O76" s="3"/>
      <c r="P76" s="3"/>
      <c r="Q76" s="3"/>
      <c r="R76" s="3"/>
      <c r="S76" s="3"/>
      <c r="T76" s="3"/>
      <c r="U76" s="3"/>
      <c r="V76" s="3"/>
      <c r="W76" s="3"/>
      <c r="X76" s="3"/>
      <c r="Y76" s="3"/>
      <c r="Z76" s="3"/>
    </row>
    <row r="77" spans="1:26" ht="12.75" x14ac:dyDescent="0.2">
      <c r="A77" s="3"/>
      <c r="B77" s="392" t="s">
        <v>287</v>
      </c>
      <c r="C77" s="20"/>
      <c r="D77" s="2"/>
      <c r="E77" s="2"/>
      <c r="F77" s="2"/>
      <c r="G77" s="393"/>
      <c r="H77" s="2"/>
      <c r="I77" s="2"/>
      <c r="J77" s="393"/>
      <c r="K77" s="2"/>
      <c r="L77" s="3"/>
      <c r="M77" s="3"/>
      <c r="N77" s="3"/>
      <c r="O77" s="3"/>
      <c r="P77" s="3"/>
      <c r="Q77" s="3"/>
      <c r="R77" s="3"/>
      <c r="S77" s="3"/>
      <c r="T77" s="3"/>
      <c r="U77" s="3"/>
      <c r="V77" s="3"/>
      <c r="W77" s="3"/>
      <c r="X77" s="3"/>
      <c r="Y77" s="3"/>
      <c r="Z77" s="3"/>
    </row>
    <row r="78" spans="1:26" ht="12.75" x14ac:dyDescent="0.2">
      <c r="A78" s="3"/>
      <c r="B78" s="2"/>
      <c r="C78" s="393" t="s">
        <v>282</v>
      </c>
      <c r="D78" s="2"/>
      <c r="E78" s="2"/>
      <c r="F78" s="484">
        <v>2031</v>
      </c>
      <c r="G78" s="460" t="s">
        <v>288</v>
      </c>
      <c r="H78" s="53"/>
      <c r="I78" s="482">
        <f>F78</f>
        <v>2031</v>
      </c>
      <c r="J78" s="460" t="s">
        <v>288</v>
      </c>
      <c r="K78" s="53" t="s">
        <v>1053</v>
      </c>
      <c r="L78" s="3"/>
      <c r="M78" s="3"/>
      <c r="N78" s="3"/>
      <c r="O78" s="3"/>
      <c r="P78" s="3"/>
      <c r="Q78" s="3"/>
      <c r="R78" s="3"/>
      <c r="S78" s="3"/>
      <c r="T78" s="3"/>
      <c r="U78" s="3"/>
      <c r="V78" s="3"/>
      <c r="W78" s="3"/>
      <c r="X78" s="3"/>
      <c r="Y78" s="3"/>
      <c r="Z78" s="3"/>
    </row>
    <row r="79" spans="1:26" ht="12.75" x14ac:dyDescent="0.2">
      <c r="A79" s="3"/>
      <c r="B79" s="2"/>
      <c r="C79" s="393" t="s">
        <v>284</v>
      </c>
      <c r="D79" s="2"/>
      <c r="E79" s="2"/>
      <c r="F79" s="484">
        <v>251</v>
      </c>
      <c r="G79" s="460" t="s">
        <v>288</v>
      </c>
      <c r="H79" s="53"/>
      <c r="I79" s="482">
        <f>F79</f>
        <v>251</v>
      </c>
      <c r="J79" s="460" t="s">
        <v>288</v>
      </c>
      <c r="K79" s="53" t="s">
        <v>309</v>
      </c>
      <c r="L79" s="3"/>
      <c r="M79" s="3"/>
      <c r="N79" s="3"/>
      <c r="O79" s="3"/>
      <c r="P79" s="3"/>
      <c r="Q79" s="3"/>
      <c r="R79" s="3"/>
      <c r="S79" s="3"/>
      <c r="T79" s="3"/>
      <c r="U79" s="3"/>
      <c r="V79" s="3"/>
      <c r="W79" s="3"/>
      <c r="X79" s="3"/>
      <c r="Y79" s="3"/>
      <c r="Z79" s="3"/>
    </row>
    <row r="80" spans="1:26" ht="12.75" x14ac:dyDescent="0.2">
      <c r="A80" s="3"/>
      <c r="B80" s="447"/>
      <c r="C80" s="447"/>
      <c r="D80" s="447"/>
      <c r="E80" s="447"/>
      <c r="F80" s="447"/>
      <c r="G80" s="447"/>
      <c r="H80" s="447"/>
      <c r="I80" s="447"/>
      <c r="J80" s="447"/>
      <c r="K80" s="447"/>
      <c r="L80" s="3"/>
      <c r="M80" s="3"/>
      <c r="N80" s="3"/>
      <c r="O80" s="3"/>
      <c r="P80" s="3"/>
      <c r="Q80" s="3"/>
      <c r="R80" s="3"/>
      <c r="S80" s="3"/>
      <c r="T80" s="3"/>
      <c r="U80" s="3"/>
      <c r="V80" s="3"/>
      <c r="W80" s="3"/>
      <c r="X80" s="3"/>
      <c r="Y80" s="3"/>
      <c r="Z80" s="3"/>
    </row>
    <row r="81" spans="1:26" ht="12.75" x14ac:dyDescent="0.2">
      <c r="A81" s="3"/>
      <c r="B81" s="392" t="s">
        <v>131</v>
      </c>
      <c r="C81" s="2"/>
      <c r="D81" s="2"/>
      <c r="E81" s="2"/>
      <c r="F81" s="393"/>
      <c r="G81" s="2"/>
      <c r="H81" s="2"/>
      <c r="I81" s="2"/>
      <c r="J81" s="2"/>
      <c r="K81" s="2"/>
      <c r="L81" s="3"/>
      <c r="M81" s="3"/>
      <c r="N81" s="3"/>
      <c r="O81" s="3"/>
      <c r="P81" s="3"/>
      <c r="Q81" s="3"/>
      <c r="R81" s="3"/>
      <c r="S81" s="3"/>
      <c r="T81" s="3"/>
      <c r="U81" s="3"/>
      <c r="V81" s="3"/>
      <c r="W81" s="3"/>
      <c r="X81" s="3"/>
      <c r="Y81" s="3"/>
      <c r="Z81" s="3"/>
    </row>
    <row r="82" spans="1:26" ht="12.75" x14ac:dyDescent="0.2">
      <c r="A82" s="3"/>
      <c r="B82" s="2"/>
      <c r="C82" s="393" t="s">
        <v>299</v>
      </c>
      <c r="D82" s="2"/>
      <c r="E82" s="2"/>
      <c r="F82" s="487">
        <f>F83+F78/1000</f>
        <v>11.031000000000001</v>
      </c>
      <c r="G82" s="393" t="s">
        <v>113</v>
      </c>
      <c r="H82" s="2"/>
      <c r="I82" s="488">
        <f>F82</f>
        <v>11.031000000000001</v>
      </c>
      <c r="J82" s="393" t="s">
        <v>113</v>
      </c>
      <c r="K82" s="393" t="s">
        <v>1054</v>
      </c>
      <c r="L82" s="3"/>
      <c r="M82" s="3"/>
      <c r="N82" s="3"/>
      <c r="O82" s="3"/>
      <c r="P82" s="3"/>
      <c r="Q82" s="3"/>
      <c r="R82" s="3"/>
      <c r="S82" s="3"/>
      <c r="T82" s="3"/>
      <c r="U82" s="3"/>
      <c r="V82" s="3"/>
      <c r="W82" s="3"/>
      <c r="X82" s="3"/>
      <c r="Y82" s="3"/>
      <c r="Z82" s="3"/>
    </row>
    <row r="83" spans="1:26" ht="12.75" x14ac:dyDescent="0.2">
      <c r="A83" s="3"/>
      <c r="B83" s="2"/>
      <c r="C83" s="393" t="s">
        <v>300</v>
      </c>
      <c r="D83" s="2"/>
      <c r="E83" s="2"/>
      <c r="F83" s="459">
        <v>9</v>
      </c>
      <c r="G83" s="393" t="s">
        <v>113</v>
      </c>
      <c r="H83" s="2"/>
      <c r="I83" s="486">
        <f>F83</f>
        <v>9</v>
      </c>
      <c r="J83" s="393" t="s">
        <v>113</v>
      </c>
      <c r="K83" s="393" t="s">
        <v>1054</v>
      </c>
      <c r="L83" s="3"/>
      <c r="M83" s="3"/>
      <c r="N83" s="3"/>
      <c r="O83" s="3"/>
      <c r="P83" s="3"/>
      <c r="Q83" s="3"/>
      <c r="R83" s="3"/>
      <c r="S83" s="3"/>
      <c r="T83" s="3"/>
      <c r="U83" s="3"/>
      <c r="V83" s="3"/>
      <c r="W83" s="3"/>
      <c r="X83" s="3"/>
      <c r="Y83" s="3"/>
      <c r="Z83" s="3"/>
    </row>
    <row r="84" spans="1:26" ht="12.75" x14ac:dyDescent="0.2">
      <c r="A84" s="3"/>
      <c r="B84" s="2"/>
      <c r="C84" s="393" t="s">
        <v>138</v>
      </c>
      <c r="D84" s="2"/>
      <c r="E84" s="2"/>
      <c r="F84" s="459">
        <v>0</v>
      </c>
      <c r="G84" s="393" t="s">
        <v>139</v>
      </c>
      <c r="H84" s="2"/>
      <c r="I84" s="489">
        <v>79663.952886374012</v>
      </c>
      <c r="J84" s="393" t="s">
        <v>139</v>
      </c>
      <c r="K84" s="393" t="s">
        <v>942</v>
      </c>
      <c r="L84" s="3"/>
      <c r="M84" s="3"/>
      <c r="N84" s="3"/>
      <c r="O84" s="3"/>
      <c r="P84" s="3"/>
      <c r="Q84" s="3"/>
      <c r="R84" s="3"/>
      <c r="S84" s="3"/>
      <c r="T84" s="3"/>
      <c r="U84" s="3"/>
      <c r="V84" s="3"/>
      <c r="W84" s="3"/>
      <c r="X84" s="3"/>
      <c r="Y84" s="3"/>
      <c r="Z84" s="3"/>
    </row>
    <row r="85" spans="1:26" ht="12.75" x14ac:dyDescent="0.2">
      <c r="A85" s="3"/>
      <c r="B85" s="2"/>
      <c r="C85" s="393" t="s">
        <v>301</v>
      </c>
      <c r="D85" s="2"/>
      <c r="E85" s="2"/>
      <c r="F85" s="478">
        <v>0</v>
      </c>
      <c r="G85" s="393" t="s">
        <v>5</v>
      </c>
      <c r="H85" s="2"/>
      <c r="I85" s="475"/>
      <c r="J85" s="393"/>
      <c r="K85" s="2"/>
      <c r="L85" s="3"/>
      <c r="M85" s="3"/>
      <c r="N85" s="3"/>
      <c r="O85" s="3"/>
      <c r="P85" s="3"/>
      <c r="Q85" s="3"/>
      <c r="R85" s="3"/>
      <c r="S85" s="3"/>
      <c r="T85" s="3"/>
      <c r="U85" s="3"/>
      <c r="V85" s="3"/>
      <c r="W85" s="3"/>
      <c r="X85" s="3"/>
      <c r="Y85" s="3"/>
      <c r="Z85" s="3"/>
    </row>
    <row r="86" spans="1:26" ht="12.75" x14ac:dyDescent="0.2">
      <c r="A86" s="3"/>
      <c r="B86" s="447"/>
      <c r="C86" s="447"/>
      <c r="D86" s="447"/>
      <c r="E86" s="447"/>
      <c r="F86" s="447"/>
      <c r="G86" s="447"/>
      <c r="H86" s="447"/>
      <c r="I86" s="447"/>
      <c r="J86" s="447"/>
      <c r="K86" s="447"/>
      <c r="L86" s="3"/>
      <c r="M86" s="3"/>
      <c r="N86" s="3"/>
      <c r="O86" s="3"/>
      <c r="P86" s="3"/>
      <c r="Q86" s="3"/>
      <c r="R86" s="3"/>
      <c r="S86" s="3"/>
      <c r="T86" s="3"/>
      <c r="U86" s="3"/>
      <c r="V86" s="3"/>
      <c r="W86" s="3"/>
      <c r="X86" s="3"/>
      <c r="Y86" s="3"/>
      <c r="Z86" s="3"/>
    </row>
    <row r="87" spans="1:26" ht="12.75" x14ac:dyDescent="0.2">
      <c r="A87" s="3"/>
      <c r="B87" s="392" t="s">
        <v>209</v>
      </c>
      <c r="C87" s="2"/>
      <c r="D87" s="2"/>
      <c r="E87" s="2"/>
      <c r="F87" s="2"/>
      <c r="G87" s="2"/>
      <c r="H87" s="2"/>
      <c r="I87" s="2"/>
      <c r="J87" s="2"/>
      <c r="K87" s="2"/>
      <c r="L87" s="3"/>
      <c r="M87" s="3"/>
      <c r="N87" s="3"/>
      <c r="O87" s="3"/>
      <c r="P87" s="3"/>
      <c r="Q87" s="3"/>
      <c r="R87" s="3"/>
      <c r="S87" s="3"/>
      <c r="T87" s="3"/>
      <c r="U87" s="3"/>
      <c r="V87" s="3"/>
      <c r="W87" s="3"/>
      <c r="X87" s="3"/>
      <c r="Y87" s="3"/>
      <c r="Z87" s="3"/>
    </row>
    <row r="88" spans="1:26" ht="12.75" x14ac:dyDescent="0.2">
      <c r="A88" s="3"/>
      <c r="B88" s="2"/>
      <c r="C88" s="393" t="s">
        <v>145</v>
      </c>
      <c r="D88" s="2"/>
      <c r="E88" s="2"/>
      <c r="F88" s="456">
        <v>0</v>
      </c>
      <c r="G88" s="393" t="s">
        <v>146</v>
      </c>
      <c r="H88" s="2"/>
      <c r="I88" s="477">
        <v>0</v>
      </c>
      <c r="J88" s="393" t="s">
        <v>146</v>
      </c>
      <c r="K88" s="2"/>
      <c r="L88" s="3"/>
      <c r="M88" s="3"/>
      <c r="N88" s="3"/>
      <c r="O88" s="3"/>
      <c r="P88" s="3"/>
      <c r="Q88" s="3"/>
      <c r="R88" s="3"/>
      <c r="S88" s="3"/>
      <c r="T88" s="3"/>
      <c r="U88" s="3"/>
      <c r="V88" s="3"/>
      <c r="W88" s="3"/>
      <c r="X88" s="3"/>
      <c r="Y88" s="3"/>
      <c r="Z88" s="3"/>
    </row>
    <row r="89" spans="1:26" ht="12.75" x14ac:dyDescent="0.2">
      <c r="A89" s="3"/>
      <c r="B89" s="2"/>
      <c r="C89" s="393" t="s">
        <v>148</v>
      </c>
      <c r="D89" s="2"/>
      <c r="E89" s="2"/>
      <c r="F89" s="478">
        <v>0.1</v>
      </c>
      <c r="G89" s="393" t="s">
        <v>5</v>
      </c>
      <c r="H89" s="2"/>
      <c r="I89" s="478">
        <v>0.1</v>
      </c>
      <c r="J89" s="393" t="s">
        <v>5</v>
      </c>
      <c r="K89" s="2"/>
      <c r="L89" s="3"/>
      <c r="M89" s="3"/>
      <c r="N89" s="3"/>
      <c r="O89" s="3"/>
      <c r="P89" s="3"/>
      <c r="Q89" s="3"/>
      <c r="R89" s="3"/>
      <c r="S89" s="3"/>
      <c r="T89" s="3"/>
      <c r="U89" s="3"/>
      <c r="V89" s="3"/>
      <c r="W89" s="3"/>
      <c r="X89" s="3"/>
      <c r="Y89" s="3"/>
      <c r="Z89" s="3"/>
    </row>
    <row r="90" spans="1:26" ht="12.75" x14ac:dyDescent="0.2">
      <c r="A90" s="3"/>
      <c r="B90" s="2"/>
      <c r="C90" s="393" t="s">
        <v>151</v>
      </c>
      <c r="D90" s="2"/>
      <c r="E90" s="2"/>
      <c r="F90" s="456">
        <v>5</v>
      </c>
      <c r="G90" s="393" t="s">
        <v>152</v>
      </c>
      <c r="H90" s="2"/>
      <c r="I90" s="456">
        <v>5</v>
      </c>
      <c r="J90" s="393" t="s">
        <v>152</v>
      </c>
      <c r="K90" s="2"/>
      <c r="L90" s="3"/>
      <c r="M90" s="3"/>
      <c r="N90" s="3"/>
      <c r="O90" s="3"/>
      <c r="P90" s="3"/>
      <c r="Q90" s="3"/>
      <c r="R90" s="3"/>
      <c r="S90" s="3"/>
      <c r="T90" s="3"/>
      <c r="U90" s="3"/>
      <c r="V90" s="3"/>
      <c r="W90" s="3"/>
      <c r="X90" s="3"/>
      <c r="Y90" s="3"/>
      <c r="Z90" s="3"/>
    </row>
    <row r="91" spans="1:26" ht="12.75" x14ac:dyDescent="0.2">
      <c r="A91" s="3"/>
      <c r="B91" s="2"/>
      <c r="C91" s="393" t="s">
        <v>154</v>
      </c>
      <c r="D91" s="2"/>
      <c r="E91" s="2"/>
      <c r="F91" s="456">
        <v>3</v>
      </c>
      <c r="G91" s="393" t="s">
        <v>152</v>
      </c>
      <c r="H91" s="2"/>
      <c r="I91" s="456">
        <v>3</v>
      </c>
      <c r="J91" s="393" t="s">
        <v>152</v>
      </c>
      <c r="K91" s="2"/>
      <c r="L91" s="3"/>
      <c r="M91" s="3"/>
      <c r="N91" s="3"/>
      <c r="O91" s="3"/>
      <c r="P91" s="3"/>
      <c r="Q91" s="3"/>
      <c r="R91" s="3"/>
      <c r="S91" s="3"/>
      <c r="T91" s="3"/>
      <c r="U91" s="3"/>
      <c r="V91" s="3"/>
      <c r="W91" s="3"/>
      <c r="X91" s="3"/>
      <c r="Y91" s="3"/>
      <c r="Z91" s="3"/>
    </row>
    <row r="92" spans="1:26" ht="12.75" x14ac:dyDescent="0.2">
      <c r="A92" s="3"/>
      <c r="B92" s="2"/>
      <c r="C92" s="393" t="s">
        <v>157</v>
      </c>
      <c r="D92" s="2"/>
      <c r="E92" s="2"/>
      <c r="F92" s="486">
        <f>F90+F91</f>
        <v>8</v>
      </c>
      <c r="G92" s="393" t="s">
        <v>152</v>
      </c>
      <c r="H92" s="2"/>
      <c r="I92" s="456">
        <v>8</v>
      </c>
      <c r="J92" s="393" t="s">
        <v>152</v>
      </c>
      <c r="K92" s="2"/>
      <c r="L92" s="3"/>
      <c r="M92" s="3"/>
      <c r="N92" s="3"/>
      <c r="O92" s="3"/>
      <c r="P92" s="3"/>
      <c r="Q92" s="3"/>
      <c r="R92" s="3"/>
      <c r="S92" s="3"/>
      <c r="T92" s="3"/>
      <c r="U92" s="3"/>
      <c r="V92" s="3"/>
      <c r="W92" s="3"/>
      <c r="X92" s="3"/>
      <c r="Y92" s="3"/>
      <c r="Z92" s="3"/>
    </row>
    <row r="93" spans="1:26" ht="12.75" x14ac:dyDescent="0.2">
      <c r="A93" s="3"/>
      <c r="B93" s="2"/>
      <c r="C93" s="393" t="s">
        <v>160</v>
      </c>
      <c r="D93" s="2"/>
      <c r="E93" s="2"/>
      <c r="F93" s="456">
        <v>12</v>
      </c>
      <c r="G93" s="393" t="s">
        <v>152</v>
      </c>
      <c r="H93" s="2"/>
      <c r="I93" s="456">
        <v>12</v>
      </c>
      <c r="J93" s="393" t="s">
        <v>152</v>
      </c>
      <c r="K93" s="393"/>
      <c r="L93" s="3"/>
      <c r="M93" s="3"/>
      <c r="N93" s="3"/>
      <c r="O93" s="3"/>
      <c r="P93" s="3"/>
      <c r="Q93" s="3"/>
      <c r="R93" s="3"/>
      <c r="S93" s="3"/>
      <c r="T93" s="3"/>
      <c r="U93" s="3"/>
      <c r="V93" s="3"/>
      <c r="W93" s="3"/>
      <c r="X93" s="3"/>
      <c r="Y93" s="3"/>
      <c r="Z93" s="3"/>
    </row>
    <row r="94" spans="1:26" ht="12.75" x14ac:dyDescent="0.2">
      <c r="A94" s="3"/>
      <c r="B94" s="447"/>
      <c r="C94" s="447"/>
      <c r="D94" s="447"/>
      <c r="E94" s="447"/>
      <c r="F94" s="447"/>
      <c r="G94" s="447"/>
      <c r="H94" s="447"/>
      <c r="I94" s="447"/>
      <c r="J94" s="447"/>
      <c r="K94" s="447"/>
      <c r="L94" s="3"/>
      <c r="M94" s="3"/>
      <c r="N94" s="3"/>
      <c r="O94" s="3"/>
      <c r="P94" s="3"/>
      <c r="Q94" s="3"/>
      <c r="R94" s="3"/>
      <c r="S94" s="3"/>
      <c r="T94" s="3"/>
      <c r="U94" s="3"/>
      <c r="V94" s="3"/>
      <c r="W94" s="3"/>
      <c r="X94" s="3"/>
      <c r="Y94" s="3"/>
      <c r="Z94" s="3"/>
    </row>
    <row r="95" spans="1:26" ht="12.75" x14ac:dyDescent="0.2">
      <c r="A95" s="3"/>
      <c r="B95" s="392" t="s">
        <v>161</v>
      </c>
      <c r="C95" s="2"/>
      <c r="D95" s="2"/>
      <c r="E95" s="2"/>
      <c r="F95" s="2"/>
      <c r="G95" s="2"/>
      <c r="H95" s="2"/>
      <c r="I95" s="2"/>
      <c r="J95" s="2"/>
      <c r="K95" s="2"/>
      <c r="L95" s="3"/>
      <c r="M95" s="3"/>
      <c r="N95" s="3"/>
      <c r="O95" s="3"/>
      <c r="P95" s="3"/>
      <c r="Q95" s="3"/>
      <c r="R95" s="3"/>
      <c r="S95" s="3"/>
      <c r="T95" s="3"/>
      <c r="U95" s="3"/>
      <c r="V95" s="3"/>
      <c r="W95" s="3"/>
      <c r="X95" s="3"/>
      <c r="Y95" s="3"/>
      <c r="Z95" s="3"/>
    </row>
    <row r="96" spans="1:26" ht="12.75" x14ac:dyDescent="0.2">
      <c r="A96" s="3"/>
      <c r="B96" s="2"/>
      <c r="C96" s="393" t="s">
        <v>250</v>
      </c>
      <c r="D96" s="2"/>
      <c r="E96" s="2"/>
      <c r="F96" s="2"/>
      <c r="G96" s="393"/>
      <c r="H96" s="2"/>
      <c r="I96" s="490">
        <v>0</v>
      </c>
      <c r="J96" s="393" t="s">
        <v>163</v>
      </c>
      <c r="K96" s="2" t="s">
        <v>854</v>
      </c>
      <c r="L96" s="3"/>
      <c r="M96" s="3"/>
      <c r="N96" s="3"/>
      <c r="O96" s="3"/>
      <c r="P96" s="3"/>
      <c r="Q96" s="3"/>
      <c r="R96" s="3"/>
      <c r="S96" s="3"/>
      <c r="T96" s="3"/>
      <c r="U96" s="3"/>
      <c r="V96" s="3"/>
      <c r="W96" s="3"/>
      <c r="X96" s="3"/>
      <c r="Y96" s="3"/>
      <c r="Z96" s="3"/>
    </row>
    <row r="97" spans="1:26" ht="12.75" x14ac:dyDescent="0.2">
      <c r="A97" s="3"/>
      <c r="B97" s="2"/>
      <c r="C97" s="393" t="s">
        <v>162</v>
      </c>
      <c r="D97" s="2"/>
      <c r="E97" s="2"/>
      <c r="F97" s="2"/>
      <c r="G97" s="393"/>
      <c r="H97" s="2"/>
      <c r="I97" s="492">
        <v>5500</v>
      </c>
      <c r="J97" s="393" t="s">
        <v>163</v>
      </c>
      <c r="K97" s="2" t="s">
        <v>854</v>
      </c>
      <c r="L97" s="3"/>
      <c r="M97" s="3"/>
      <c r="N97" s="3"/>
      <c r="O97" s="3"/>
      <c r="P97" s="3"/>
      <c r="Q97" s="3"/>
      <c r="R97" s="3"/>
      <c r="S97" s="3"/>
      <c r="T97" s="3"/>
      <c r="U97" s="3"/>
      <c r="V97" s="3"/>
      <c r="W97" s="3"/>
      <c r="X97" s="3"/>
      <c r="Y97" s="3"/>
      <c r="Z97" s="3"/>
    </row>
    <row r="98" spans="1:26" ht="12.75" x14ac:dyDescent="0.2">
      <c r="A98" s="3"/>
      <c r="B98" s="2"/>
      <c r="C98" s="393" t="s">
        <v>164</v>
      </c>
      <c r="D98" s="2"/>
      <c r="E98" s="2"/>
      <c r="F98" s="2"/>
      <c r="G98" s="393"/>
      <c r="H98" s="2"/>
      <c r="I98" s="492">
        <v>7500</v>
      </c>
      <c r="J98" s="393" t="s">
        <v>163</v>
      </c>
      <c r="K98" s="2" t="s">
        <v>854</v>
      </c>
      <c r="L98" s="3"/>
      <c r="M98" s="3"/>
      <c r="N98" s="3"/>
      <c r="O98" s="3"/>
      <c r="P98" s="3"/>
      <c r="Q98" s="3"/>
      <c r="R98" s="3"/>
      <c r="S98" s="3"/>
      <c r="T98" s="3"/>
      <c r="U98" s="3"/>
      <c r="V98" s="3"/>
      <c r="W98" s="3"/>
      <c r="X98" s="3"/>
      <c r="Y98" s="3"/>
      <c r="Z98" s="3"/>
    </row>
    <row r="99" spans="1:26" ht="12.75" x14ac:dyDescent="0.2">
      <c r="A99" s="3"/>
      <c r="B99" s="2"/>
      <c r="C99" s="393" t="s">
        <v>166</v>
      </c>
      <c r="D99" s="2"/>
      <c r="E99" s="2"/>
      <c r="F99" s="2"/>
      <c r="G99" s="393"/>
      <c r="H99" s="2"/>
      <c r="I99" s="492">
        <v>10000</v>
      </c>
      <c r="J99" s="393" t="s">
        <v>163</v>
      </c>
      <c r="K99" s="2" t="s">
        <v>854</v>
      </c>
      <c r="L99" s="3"/>
      <c r="M99" s="3"/>
      <c r="N99" s="3"/>
      <c r="O99" s="3"/>
      <c r="P99" s="3"/>
      <c r="Q99" s="3"/>
      <c r="R99" s="3"/>
      <c r="S99" s="3"/>
      <c r="T99" s="3"/>
      <c r="U99" s="3"/>
      <c r="V99" s="3"/>
      <c r="W99" s="3"/>
      <c r="X99" s="3"/>
      <c r="Y99" s="3"/>
      <c r="Z99" s="3"/>
    </row>
    <row r="100" spans="1:26" ht="12.75" x14ac:dyDescent="0.2">
      <c r="A100" s="3"/>
      <c r="B100" s="2"/>
      <c r="C100" s="393" t="s">
        <v>168</v>
      </c>
      <c r="D100" s="2"/>
      <c r="E100" s="2"/>
      <c r="F100" s="2"/>
      <c r="G100" s="393"/>
      <c r="H100" s="2"/>
      <c r="I100" s="492">
        <v>12000</v>
      </c>
      <c r="J100" s="393" t="s">
        <v>163</v>
      </c>
      <c r="K100" s="2" t="s">
        <v>854</v>
      </c>
      <c r="L100" s="3"/>
      <c r="M100" s="3"/>
      <c r="N100" s="3"/>
      <c r="O100" s="3"/>
      <c r="P100" s="3"/>
      <c r="Q100" s="3"/>
      <c r="R100" s="3"/>
      <c r="S100" s="3"/>
      <c r="T100" s="3"/>
      <c r="U100" s="3"/>
      <c r="V100" s="3"/>
      <c r="W100" s="3"/>
      <c r="X100" s="3"/>
      <c r="Y100" s="3"/>
      <c r="Z100" s="3"/>
    </row>
    <row r="101" spans="1:26" ht="12.75" x14ac:dyDescent="0.2">
      <c r="A101" s="3"/>
      <c r="B101" s="2"/>
      <c r="C101" s="393" t="s">
        <v>171</v>
      </c>
      <c r="D101" s="2"/>
      <c r="E101" s="2"/>
      <c r="F101" s="2"/>
      <c r="G101" s="393"/>
      <c r="H101" s="2"/>
      <c r="I101" s="444">
        <v>0.9</v>
      </c>
      <c r="J101" s="393" t="s">
        <v>256</v>
      </c>
      <c r="K101" s="491" t="s">
        <v>1054</v>
      </c>
      <c r="L101" s="3"/>
      <c r="M101" s="3"/>
      <c r="N101" s="3"/>
      <c r="O101" s="3"/>
      <c r="P101" s="3"/>
      <c r="Q101" s="3"/>
      <c r="R101" s="3"/>
      <c r="S101" s="3"/>
      <c r="T101" s="3"/>
      <c r="U101" s="3"/>
      <c r="V101" s="3"/>
      <c r="W101" s="3"/>
      <c r="X101" s="3"/>
      <c r="Y101" s="3"/>
      <c r="Z101" s="3"/>
    </row>
    <row r="102" spans="1:26" ht="12.75" x14ac:dyDescent="0.2">
      <c r="A102" s="3"/>
      <c r="B102" s="2"/>
      <c r="C102" s="393" t="s">
        <v>251</v>
      </c>
      <c r="D102" s="2"/>
      <c r="E102" s="2"/>
      <c r="F102" s="2"/>
      <c r="G102" s="393"/>
      <c r="H102" s="2"/>
      <c r="I102" s="444">
        <v>0.2</v>
      </c>
      <c r="J102" s="393" t="s">
        <v>256</v>
      </c>
      <c r="K102" s="491" t="s">
        <v>12</v>
      </c>
      <c r="L102" s="3"/>
      <c r="M102" s="3"/>
      <c r="N102" s="3"/>
      <c r="O102" s="3"/>
      <c r="P102" s="3"/>
      <c r="Q102" s="3"/>
      <c r="R102" s="3"/>
      <c r="S102" s="3"/>
      <c r="T102" s="3"/>
      <c r="U102" s="3"/>
      <c r="V102" s="3"/>
      <c r="W102" s="3"/>
      <c r="X102" s="3"/>
      <c r="Y102" s="3"/>
      <c r="Z102" s="3"/>
    </row>
    <row r="103" spans="1:26" ht="12.75" x14ac:dyDescent="0.2">
      <c r="A103" s="3"/>
      <c r="B103" s="2"/>
      <c r="C103" s="393" t="s">
        <v>257</v>
      </c>
      <c r="D103" s="2"/>
      <c r="E103" s="2"/>
      <c r="F103" s="2"/>
      <c r="G103" s="393"/>
      <c r="H103" s="2"/>
      <c r="I103" s="493">
        <v>5</v>
      </c>
      <c r="J103" s="393" t="s">
        <v>12</v>
      </c>
      <c r="K103" s="491" t="s">
        <v>12</v>
      </c>
      <c r="L103" s="3"/>
      <c r="M103" s="3"/>
      <c r="N103" s="3"/>
      <c r="O103" s="3"/>
      <c r="P103" s="3"/>
      <c r="Q103" s="3"/>
      <c r="R103" s="3"/>
      <c r="S103" s="3"/>
      <c r="T103" s="3"/>
      <c r="U103" s="3"/>
      <c r="V103" s="3"/>
      <c r="W103" s="3"/>
      <c r="X103" s="3"/>
      <c r="Y103" s="3"/>
      <c r="Z103" s="3"/>
    </row>
    <row r="104" spans="1:26" ht="12.75" x14ac:dyDescent="0.2">
      <c r="A104" s="3"/>
      <c r="B104" s="2"/>
      <c r="C104" s="393" t="s">
        <v>710</v>
      </c>
      <c r="D104" s="2"/>
      <c r="E104" s="2"/>
      <c r="F104" s="2"/>
      <c r="G104" s="393"/>
      <c r="H104" s="2"/>
      <c r="I104" s="573">
        <f>'Total Beneficiaries and Funding'!E12</f>
        <v>3038652.2303779121</v>
      </c>
      <c r="J104" s="393" t="s">
        <v>172</v>
      </c>
      <c r="K104" s="405" t="s">
        <v>711</v>
      </c>
      <c r="L104" s="3"/>
      <c r="M104" s="3"/>
      <c r="N104" s="3"/>
      <c r="O104" s="3"/>
      <c r="P104" s="3"/>
      <c r="Q104" s="3"/>
      <c r="R104" s="3"/>
      <c r="S104" s="3"/>
      <c r="T104" s="3"/>
      <c r="U104" s="3"/>
      <c r="V104" s="3"/>
      <c r="W104" s="3"/>
      <c r="X104" s="3"/>
      <c r="Y104" s="3"/>
      <c r="Z104" s="3"/>
    </row>
    <row r="105" spans="1:26" ht="12.75" x14ac:dyDescent="0.2">
      <c r="A105" s="3"/>
      <c r="B105" s="2"/>
      <c r="C105" s="393" t="s">
        <v>939</v>
      </c>
      <c r="D105" s="2"/>
      <c r="E105" s="2"/>
      <c r="F105" s="2"/>
      <c r="G105" s="393"/>
      <c r="H105" s="2"/>
      <c r="I105" s="444">
        <v>0</v>
      </c>
      <c r="J105" s="393" t="s">
        <v>5</v>
      </c>
      <c r="K105" s="422" t="s">
        <v>940</v>
      </c>
      <c r="L105" s="3"/>
      <c r="M105" s="3"/>
      <c r="N105" s="3"/>
      <c r="O105" s="3"/>
      <c r="P105" s="3"/>
      <c r="Q105" s="3"/>
      <c r="R105" s="3"/>
      <c r="S105" s="3"/>
      <c r="T105" s="3"/>
      <c r="U105" s="3"/>
      <c r="V105" s="3"/>
      <c r="W105" s="3"/>
      <c r="X105" s="3"/>
      <c r="Y105" s="3"/>
      <c r="Z105" s="3"/>
    </row>
    <row r="106" spans="1:26" ht="12.75" x14ac:dyDescent="0.2">
      <c r="A106" s="3"/>
      <c r="B106" s="2"/>
      <c r="C106" s="393" t="s">
        <v>268</v>
      </c>
      <c r="D106" s="2"/>
      <c r="E106" s="2"/>
      <c r="F106" s="2"/>
      <c r="G106" s="393"/>
      <c r="H106" s="2"/>
      <c r="I106" s="495">
        <v>0</v>
      </c>
      <c r="J106" s="460" t="s">
        <v>269</v>
      </c>
      <c r="K106" s="53"/>
      <c r="L106" s="3"/>
      <c r="M106" s="3"/>
      <c r="N106" s="3"/>
      <c r="O106" s="3"/>
      <c r="P106" s="3"/>
      <c r="Q106" s="3"/>
      <c r="R106" s="3"/>
      <c r="S106" s="3"/>
      <c r="T106" s="3"/>
      <c r="U106" s="3"/>
      <c r="V106" s="3"/>
      <c r="W106" s="3"/>
      <c r="X106" s="3"/>
      <c r="Y106" s="3"/>
      <c r="Z106" s="3"/>
    </row>
    <row r="107" spans="1:26" ht="12.75" x14ac:dyDescent="0.2">
      <c r="A107" s="3"/>
      <c r="B107" s="2"/>
      <c r="C107" s="393" t="s">
        <v>270</v>
      </c>
      <c r="D107" s="2"/>
      <c r="E107" s="2"/>
      <c r="F107" s="2"/>
      <c r="G107" s="393"/>
      <c r="H107" s="2"/>
      <c r="I107" s="493">
        <v>5</v>
      </c>
      <c r="J107" s="460" t="s">
        <v>66</v>
      </c>
      <c r="K107" s="53"/>
      <c r="L107" s="3"/>
      <c r="M107" s="3"/>
      <c r="N107" s="3"/>
      <c r="O107" s="3"/>
      <c r="P107" s="3"/>
      <c r="Q107" s="3"/>
      <c r="R107" s="3"/>
      <c r="S107" s="3"/>
      <c r="T107" s="3"/>
      <c r="U107" s="3"/>
      <c r="V107" s="3"/>
      <c r="W107" s="3"/>
      <c r="X107" s="3"/>
      <c r="Y107" s="3"/>
      <c r="Z107" s="3"/>
    </row>
    <row r="108" spans="1:26" s="159" customFormat="1" ht="12.75" x14ac:dyDescent="0.2">
      <c r="A108" s="122"/>
      <c r="B108" s="405"/>
      <c r="C108" s="395" t="s">
        <v>909</v>
      </c>
      <c r="D108" s="405"/>
      <c r="E108" s="405"/>
      <c r="F108" s="157"/>
      <c r="G108" s="157"/>
      <c r="H108" s="157"/>
      <c r="I108" s="444">
        <v>0</v>
      </c>
      <c r="J108" s="391" t="s">
        <v>5</v>
      </c>
      <c r="K108" s="422" t="s">
        <v>910</v>
      </c>
      <c r="L108" s="3"/>
      <c r="M108" s="3"/>
      <c r="N108" s="3"/>
      <c r="O108" s="3"/>
      <c r="P108" s="122"/>
      <c r="Q108" s="122"/>
      <c r="R108" s="122"/>
      <c r="S108" s="122"/>
      <c r="T108" s="173"/>
      <c r="U108" s="173"/>
      <c r="V108" s="173"/>
      <c r="W108" s="173"/>
    </row>
    <row r="109" spans="1:26" ht="12.75"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x14ac:dyDescent="0.2">
      <c r="A110" s="4" t="s">
        <v>173</v>
      </c>
      <c r="B110" s="2"/>
      <c r="C110" s="2"/>
      <c r="D110" s="6" t="s">
        <v>174</v>
      </c>
      <c r="E110" s="21"/>
      <c r="F110" s="51">
        <v>0</v>
      </c>
      <c r="G110" s="51">
        <v>1</v>
      </c>
      <c r="H110" s="51">
        <v>2</v>
      </c>
      <c r="I110" s="51">
        <v>3</v>
      </c>
      <c r="J110" s="51">
        <v>4</v>
      </c>
      <c r="K110" s="51">
        <v>5</v>
      </c>
      <c r="L110" s="51">
        <v>6</v>
      </c>
      <c r="M110" s="51">
        <v>7</v>
      </c>
      <c r="N110" s="51">
        <v>8</v>
      </c>
      <c r="O110" s="51">
        <v>9</v>
      </c>
      <c r="P110" s="112">
        <v>10</v>
      </c>
      <c r="Q110" s="2"/>
      <c r="R110" s="2"/>
      <c r="S110" s="2"/>
      <c r="T110" s="2"/>
      <c r="U110" s="2"/>
      <c r="V110" s="2"/>
      <c r="W110" s="2"/>
      <c r="X110" s="2"/>
      <c r="Y110" s="2"/>
      <c r="Z110" s="2"/>
    </row>
    <row r="111" spans="1:26" ht="12.75" x14ac:dyDescent="0.2">
      <c r="A111" s="3"/>
      <c r="B111" s="4" t="s">
        <v>175</v>
      </c>
      <c r="C111" s="2"/>
      <c r="P111" s="12"/>
      <c r="Q111" s="3"/>
      <c r="R111" s="3"/>
      <c r="S111" s="3"/>
      <c r="T111" s="3"/>
      <c r="U111" s="3"/>
      <c r="V111" s="3"/>
      <c r="W111" s="3"/>
      <c r="X111" s="3"/>
      <c r="Y111" s="3"/>
      <c r="Z111" s="3"/>
    </row>
    <row r="112" spans="1:26" ht="12.75" x14ac:dyDescent="0.2">
      <c r="A112" s="3"/>
      <c r="B112" s="2"/>
      <c r="C112" s="9" t="s">
        <v>176</v>
      </c>
      <c r="D112" s="2"/>
      <c r="E112" s="2"/>
      <c r="F112" s="14">
        <f t="shared" ref="F112:O112" si="1">$F$8</f>
        <v>7.9000000000000001E-2</v>
      </c>
      <c r="G112" s="14">
        <f t="shared" si="1"/>
        <v>7.9000000000000001E-2</v>
      </c>
      <c r="H112" s="14">
        <f t="shared" si="1"/>
        <v>7.9000000000000001E-2</v>
      </c>
      <c r="I112" s="14">
        <f t="shared" si="1"/>
        <v>7.9000000000000001E-2</v>
      </c>
      <c r="J112" s="14">
        <f t="shared" si="1"/>
        <v>7.9000000000000001E-2</v>
      </c>
      <c r="K112" s="14">
        <f t="shared" si="1"/>
        <v>7.9000000000000001E-2</v>
      </c>
      <c r="L112" s="14">
        <f t="shared" si="1"/>
        <v>7.9000000000000001E-2</v>
      </c>
      <c r="M112" s="14">
        <f t="shared" si="1"/>
        <v>7.9000000000000001E-2</v>
      </c>
      <c r="N112" s="14">
        <f t="shared" si="1"/>
        <v>7.9000000000000001E-2</v>
      </c>
      <c r="O112" s="14">
        <f t="shared" si="1"/>
        <v>7.9000000000000001E-2</v>
      </c>
      <c r="P112" s="3"/>
      <c r="Q112" s="3"/>
      <c r="R112" s="3"/>
      <c r="S112" s="3"/>
      <c r="T112" s="3"/>
      <c r="U112" s="3"/>
      <c r="V112" s="3"/>
      <c r="W112" s="3"/>
      <c r="X112" s="3"/>
      <c r="Y112" s="3"/>
      <c r="Z112" s="3"/>
    </row>
    <row r="113" spans="1:26" ht="12.75" x14ac:dyDescent="0.2">
      <c r="A113" s="3"/>
      <c r="B113" s="2"/>
      <c r="C113" s="9" t="s">
        <v>177</v>
      </c>
      <c r="D113" s="2"/>
      <c r="E113" s="2"/>
      <c r="F113" s="22">
        <v>1</v>
      </c>
      <c r="G113" s="23">
        <f>F113*(1+G112)</f>
        <v>1.079</v>
      </c>
      <c r="H113" s="23">
        <f t="shared" ref="H113:O113" si="2">G113*(1+H112)</f>
        <v>1.1642409999999999</v>
      </c>
      <c r="I113" s="23">
        <f t="shared" si="2"/>
        <v>1.2562160389999999</v>
      </c>
      <c r="J113" s="23">
        <f t="shared" si="2"/>
        <v>1.3554571060809999</v>
      </c>
      <c r="K113" s="23">
        <f t="shared" si="2"/>
        <v>1.4625382174613988</v>
      </c>
      <c r="L113" s="23">
        <f t="shared" si="2"/>
        <v>1.5780787366408493</v>
      </c>
      <c r="M113" s="23">
        <f t="shared" si="2"/>
        <v>1.7027469568354763</v>
      </c>
      <c r="N113" s="23">
        <f t="shared" si="2"/>
        <v>1.8372639664254788</v>
      </c>
      <c r="O113" s="23">
        <f t="shared" si="2"/>
        <v>1.9824078197730917</v>
      </c>
      <c r="P113" s="3"/>
      <c r="Q113" s="3"/>
      <c r="R113" s="3"/>
      <c r="S113" s="3"/>
      <c r="T113" s="3"/>
      <c r="U113" s="3"/>
      <c r="V113" s="3"/>
      <c r="W113" s="3"/>
      <c r="X113" s="3"/>
      <c r="Y113" s="3"/>
      <c r="Z113" s="3"/>
    </row>
    <row r="114" spans="1:26" ht="12.75" x14ac:dyDescent="0.2">
      <c r="A114" s="3"/>
      <c r="B114" s="2"/>
      <c r="C114" s="9" t="s">
        <v>7</v>
      </c>
      <c r="D114" s="2"/>
      <c r="E114" s="2"/>
      <c r="F114" s="14">
        <f t="shared" ref="F114:O114" si="3">$F$9</f>
        <v>2.5000000000000001E-2</v>
      </c>
      <c r="G114" s="14">
        <f t="shared" si="3"/>
        <v>2.5000000000000001E-2</v>
      </c>
      <c r="H114" s="14">
        <f t="shared" si="3"/>
        <v>2.5000000000000001E-2</v>
      </c>
      <c r="I114" s="14">
        <f t="shared" si="3"/>
        <v>2.5000000000000001E-2</v>
      </c>
      <c r="J114" s="14">
        <f t="shared" si="3"/>
        <v>2.5000000000000001E-2</v>
      </c>
      <c r="K114" s="14">
        <f t="shared" si="3"/>
        <v>2.5000000000000001E-2</v>
      </c>
      <c r="L114" s="14">
        <f t="shared" si="3"/>
        <v>2.5000000000000001E-2</v>
      </c>
      <c r="M114" s="14">
        <f t="shared" si="3"/>
        <v>2.5000000000000001E-2</v>
      </c>
      <c r="N114" s="14">
        <f t="shared" si="3"/>
        <v>2.5000000000000001E-2</v>
      </c>
      <c r="O114" s="14">
        <f t="shared" si="3"/>
        <v>2.5000000000000001E-2</v>
      </c>
      <c r="P114" s="3"/>
      <c r="Q114" s="3"/>
      <c r="R114" s="3"/>
      <c r="S114" s="3"/>
      <c r="T114" s="3"/>
      <c r="U114" s="3"/>
      <c r="V114" s="3"/>
      <c r="W114" s="3"/>
      <c r="X114" s="3"/>
      <c r="Y114" s="3"/>
      <c r="Z114" s="3"/>
    </row>
    <row r="115" spans="1:26" ht="12.75" x14ac:dyDescent="0.2">
      <c r="A115" s="3"/>
      <c r="B115" s="2"/>
      <c r="C115" s="9" t="s">
        <v>179</v>
      </c>
      <c r="D115" s="2"/>
      <c r="E115" s="2"/>
      <c r="F115" s="10">
        <v>1</v>
      </c>
      <c r="G115" s="10">
        <f t="shared" ref="G115:O115" si="4">F115*(1+G114)</f>
        <v>1.0249999999999999</v>
      </c>
      <c r="H115" s="10">
        <f t="shared" si="4"/>
        <v>1.0506249999999999</v>
      </c>
      <c r="I115" s="10">
        <f t="shared" si="4"/>
        <v>1.0768906249999999</v>
      </c>
      <c r="J115" s="10">
        <f t="shared" si="4"/>
        <v>1.1038128906249998</v>
      </c>
      <c r="K115" s="10">
        <f t="shared" si="4"/>
        <v>1.1314082128906247</v>
      </c>
      <c r="L115" s="10">
        <f t="shared" si="4"/>
        <v>1.1596934182128902</v>
      </c>
      <c r="M115" s="10">
        <f t="shared" si="4"/>
        <v>1.1886857536682123</v>
      </c>
      <c r="N115" s="10">
        <f t="shared" si="4"/>
        <v>1.2184028975099175</v>
      </c>
      <c r="O115" s="10">
        <f t="shared" si="4"/>
        <v>1.2488629699476652</v>
      </c>
      <c r="P115" s="3"/>
      <c r="Q115" s="3"/>
      <c r="R115" s="3"/>
      <c r="S115" s="3"/>
      <c r="T115" s="3"/>
      <c r="U115" s="3"/>
      <c r="V115" s="3"/>
      <c r="W115" s="3"/>
      <c r="X115" s="3"/>
      <c r="Y115" s="3"/>
      <c r="Z115" s="3"/>
    </row>
    <row r="116" spans="1:26" ht="12.75" x14ac:dyDescent="0.2">
      <c r="A116" s="3"/>
      <c r="B116" s="2"/>
      <c r="C116" s="9" t="s">
        <v>180</v>
      </c>
      <c r="D116" s="2"/>
      <c r="E116" s="2"/>
      <c r="F116" s="10">
        <f t="shared" ref="F116:O116" si="5">F113/F115</f>
        <v>1</v>
      </c>
      <c r="G116" s="10">
        <f t="shared" si="5"/>
        <v>1.0526829268292683</v>
      </c>
      <c r="H116" s="10">
        <f t="shared" si="5"/>
        <v>1.1081413444378345</v>
      </c>
      <c r="I116" s="10">
        <f t="shared" si="5"/>
        <v>1.16652147380334</v>
      </c>
      <c r="J116" s="10">
        <f t="shared" si="5"/>
        <v>1.2279772392524917</v>
      </c>
      <c r="K116" s="10">
        <f t="shared" si="5"/>
        <v>1.2926706742960377</v>
      </c>
      <c r="L116" s="10">
        <f t="shared" si="5"/>
        <v>1.3607723488443169</v>
      </c>
      <c r="M116" s="10">
        <f t="shared" si="5"/>
        <v>1.4324618189297738</v>
      </c>
      <c r="N116" s="10">
        <f t="shared" si="5"/>
        <v>1.5079281001221716</v>
      </c>
      <c r="O116" s="10">
        <f t="shared" si="5"/>
        <v>1.5873701658847057</v>
      </c>
      <c r="P116" s="3"/>
      <c r="Q116" s="3"/>
      <c r="R116" s="3"/>
      <c r="S116" s="3"/>
      <c r="T116" s="3"/>
      <c r="U116" s="3"/>
      <c r="V116" s="3"/>
      <c r="W116" s="3"/>
      <c r="X116" s="3"/>
      <c r="Y116" s="3"/>
      <c r="Z116" s="3"/>
    </row>
    <row r="117" spans="1:26" ht="12.75" x14ac:dyDescent="0.2">
      <c r="A117" s="3"/>
      <c r="B117" s="2"/>
      <c r="C117" s="9" t="s">
        <v>181</v>
      </c>
      <c r="D117" s="2"/>
      <c r="E117" s="2"/>
      <c r="F117" s="23">
        <f t="shared" ref="F117:O117" si="6">$F$10</f>
        <v>157.54</v>
      </c>
      <c r="G117" s="23">
        <f t="shared" si="6"/>
        <v>157.54</v>
      </c>
      <c r="H117" s="23">
        <f t="shared" si="6"/>
        <v>157.54</v>
      </c>
      <c r="I117" s="23">
        <f t="shared" si="6"/>
        <v>157.54</v>
      </c>
      <c r="J117" s="23">
        <f t="shared" si="6"/>
        <v>157.54</v>
      </c>
      <c r="K117" s="23">
        <f t="shared" si="6"/>
        <v>157.54</v>
      </c>
      <c r="L117" s="23">
        <f t="shared" si="6"/>
        <v>157.54</v>
      </c>
      <c r="M117" s="23">
        <f t="shared" si="6"/>
        <v>157.54</v>
      </c>
      <c r="N117" s="23">
        <f t="shared" si="6"/>
        <v>157.54</v>
      </c>
      <c r="O117" s="23">
        <f t="shared" si="6"/>
        <v>157.54</v>
      </c>
      <c r="P117" s="3"/>
      <c r="Q117" s="3"/>
      <c r="R117" s="3"/>
      <c r="S117" s="3"/>
      <c r="T117" s="3"/>
      <c r="U117" s="3"/>
      <c r="V117" s="3"/>
      <c r="W117" s="3"/>
      <c r="X117" s="3"/>
      <c r="Y117" s="3"/>
      <c r="Z117" s="3"/>
    </row>
    <row r="118" spans="1:26" ht="12.75" x14ac:dyDescent="0.2">
      <c r="A118" s="3"/>
      <c r="B118" s="2"/>
      <c r="C118" s="9" t="s">
        <v>182</v>
      </c>
      <c r="D118" s="2"/>
      <c r="E118" s="2"/>
      <c r="F118" s="14">
        <f t="shared" ref="F118:O118" si="7">$F$11</f>
        <v>0</v>
      </c>
      <c r="G118" s="14">
        <f t="shared" si="7"/>
        <v>0</v>
      </c>
      <c r="H118" s="14">
        <f t="shared" si="7"/>
        <v>0</v>
      </c>
      <c r="I118" s="14">
        <f t="shared" si="7"/>
        <v>0</v>
      </c>
      <c r="J118" s="14">
        <f t="shared" si="7"/>
        <v>0</v>
      </c>
      <c r="K118" s="14">
        <f t="shared" si="7"/>
        <v>0</v>
      </c>
      <c r="L118" s="14">
        <f t="shared" si="7"/>
        <v>0</v>
      </c>
      <c r="M118" s="14">
        <f t="shared" si="7"/>
        <v>0</v>
      </c>
      <c r="N118" s="14">
        <f t="shared" si="7"/>
        <v>0</v>
      </c>
      <c r="O118" s="14">
        <f t="shared" si="7"/>
        <v>0</v>
      </c>
      <c r="P118" s="3"/>
      <c r="Q118" s="3"/>
      <c r="R118" s="3"/>
      <c r="S118" s="3"/>
      <c r="T118" s="3"/>
      <c r="U118" s="3"/>
      <c r="V118" s="3"/>
      <c r="W118" s="3"/>
      <c r="X118" s="3"/>
      <c r="Y118" s="3"/>
      <c r="Z118" s="3"/>
    </row>
    <row r="119" spans="1:26" ht="12.75" x14ac:dyDescent="0.2">
      <c r="A119" s="3"/>
      <c r="B119" s="2"/>
      <c r="C119" s="9" t="s">
        <v>183</v>
      </c>
      <c r="D119" s="2"/>
      <c r="E119" s="2"/>
      <c r="F119" s="23">
        <f>F117*(1+F118)^F110</f>
        <v>157.54</v>
      </c>
      <c r="G119" s="23">
        <f t="shared" ref="G119:O119" si="8">G117*(1+G118)^G110</f>
        <v>157.54</v>
      </c>
      <c r="H119" s="23">
        <f t="shared" si="8"/>
        <v>157.54</v>
      </c>
      <c r="I119" s="23">
        <f t="shared" si="8"/>
        <v>157.54</v>
      </c>
      <c r="J119" s="23">
        <f t="shared" si="8"/>
        <v>157.54</v>
      </c>
      <c r="K119" s="23">
        <f t="shared" si="8"/>
        <v>157.54</v>
      </c>
      <c r="L119" s="23">
        <f t="shared" si="8"/>
        <v>157.54</v>
      </c>
      <c r="M119" s="23">
        <f t="shared" si="8"/>
        <v>157.54</v>
      </c>
      <c r="N119" s="23">
        <f t="shared" si="8"/>
        <v>157.54</v>
      </c>
      <c r="O119" s="23">
        <f t="shared" si="8"/>
        <v>157.54</v>
      </c>
      <c r="P119" s="3"/>
      <c r="Q119" s="3"/>
      <c r="R119" s="3"/>
      <c r="S119" s="3"/>
      <c r="T119" s="3"/>
      <c r="U119" s="3"/>
      <c r="V119" s="3"/>
      <c r="W119" s="3"/>
      <c r="X119" s="3"/>
      <c r="Y119" s="3"/>
      <c r="Z119" s="3"/>
    </row>
    <row r="120" spans="1:26" ht="12.75" x14ac:dyDescent="0.2">
      <c r="A120" s="3"/>
      <c r="B120" s="2"/>
      <c r="C120" s="9" t="s">
        <v>184</v>
      </c>
      <c r="D120" s="2"/>
      <c r="E120" s="2"/>
      <c r="F120" s="23">
        <f t="shared" ref="F120:O120" si="9">F119*F116</f>
        <v>157.54</v>
      </c>
      <c r="G120" s="23">
        <f t="shared" si="9"/>
        <v>165.83966829268292</v>
      </c>
      <c r="H120" s="23">
        <f t="shared" si="9"/>
        <v>174.57658740273644</v>
      </c>
      <c r="I120" s="23">
        <f t="shared" si="9"/>
        <v>183.77379298297819</v>
      </c>
      <c r="J120" s="23">
        <f t="shared" si="9"/>
        <v>193.45553427183754</v>
      </c>
      <c r="K120" s="23">
        <f t="shared" si="9"/>
        <v>203.64733802859777</v>
      </c>
      <c r="L120" s="23">
        <f t="shared" si="9"/>
        <v>214.37607583693367</v>
      </c>
      <c r="M120" s="23">
        <f t="shared" si="9"/>
        <v>225.67003495419655</v>
      </c>
      <c r="N120" s="23">
        <f t="shared" si="9"/>
        <v>237.55899289324691</v>
      </c>
      <c r="O120" s="23">
        <f t="shared" si="9"/>
        <v>250.07429593347652</v>
      </c>
      <c r="P120" s="3"/>
      <c r="Q120" s="3"/>
      <c r="R120" s="3"/>
      <c r="S120" s="3"/>
      <c r="T120" s="3"/>
      <c r="U120" s="3"/>
      <c r="V120" s="3"/>
      <c r="W120" s="3"/>
      <c r="X120" s="3"/>
      <c r="Y120" s="3"/>
      <c r="Z120" s="3"/>
    </row>
    <row r="121" spans="1:26" ht="12.75"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x14ac:dyDescent="0.2">
      <c r="A122" s="11"/>
      <c r="B122" s="4" t="s">
        <v>185</v>
      </c>
      <c r="C122" s="2"/>
      <c r="D122" s="4"/>
      <c r="E122" s="24"/>
      <c r="F122" s="4"/>
      <c r="G122" s="4"/>
      <c r="H122" s="4"/>
      <c r="I122" s="4"/>
      <c r="J122" s="4"/>
      <c r="K122" s="4"/>
      <c r="L122" s="4"/>
      <c r="M122" s="4"/>
      <c r="N122" s="4"/>
      <c r="O122" s="2"/>
      <c r="P122" s="3"/>
      <c r="Q122" s="3"/>
      <c r="R122" s="3"/>
      <c r="S122" s="3"/>
      <c r="T122" s="3"/>
      <c r="U122" s="3"/>
      <c r="V122" s="3"/>
      <c r="W122" s="3"/>
      <c r="X122" s="3"/>
      <c r="Y122" s="3"/>
      <c r="Z122" s="3"/>
    </row>
    <row r="123" spans="1:26" ht="12.75" x14ac:dyDescent="0.2">
      <c r="A123" s="11"/>
      <c r="B123" s="4"/>
      <c r="C123" s="111" t="s">
        <v>339</v>
      </c>
      <c r="D123" s="4"/>
      <c r="E123" s="24"/>
      <c r="F123" s="15">
        <f>$F$34</f>
        <v>0.01</v>
      </c>
      <c r="G123" s="15">
        <f t="shared" ref="G123:O123" si="10">$F$34</f>
        <v>0.01</v>
      </c>
      <c r="H123" s="15">
        <f t="shared" si="10"/>
        <v>0.01</v>
      </c>
      <c r="I123" s="15">
        <f t="shared" si="10"/>
        <v>0.01</v>
      </c>
      <c r="J123" s="15">
        <f t="shared" si="10"/>
        <v>0.01</v>
      </c>
      <c r="K123" s="15">
        <f t="shared" si="10"/>
        <v>0.01</v>
      </c>
      <c r="L123" s="15">
        <f t="shared" si="10"/>
        <v>0.01</v>
      </c>
      <c r="M123" s="15">
        <f t="shared" si="10"/>
        <v>0.01</v>
      </c>
      <c r="N123" s="15">
        <f t="shared" si="10"/>
        <v>0.01</v>
      </c>
      <c r="O123" s="15">
        <f t="shared" si="10"/>
        <v>0.01</v>
      </c>
      <c r="P123" s="3"/>
      <c r="Q123" s="3"/>
      <c r="R123" s="3"/>
      <c r="S123" s="3"/>
      <c r="T123" s="3"/>
      <c r="U123" s="3"/>
      <c r="V123" s="3"/>
      <c r="W123" s="3"/>
      <c r="X123" s="3"/>
      <c r="Y123" s="3"/>
      <c r="Z123" s="3"/>
    </row>
    <row r="124" spans="1:26" ht="12.75" x14ac:dyDescent="0.2">
      <c r="A124" s="11"/>
      <c r="B124" s="4"/>
      <c r="C124" s="111" t="s">
        <v>340</v>
      </c>
      <c r="D124" s="4"/>
      <c r="E124" s="24"/>
      <c r="F124" s="25">
        <v>1</v>
      </c>
      <c r="G124" s="25">
        <f t="shared" ref="G124:O124" si="11">F124*(1+G123)</f>
        <v>1.01</v>
      </c>
      <c r="H124" s="25">
        <f t="shared" si="11"/>
        <v>1.0201</v>
      </c>
      <c r="I124" s="25">
        <f t="shared" si="11"/>
        <v>1.0303009999999999</v>
      </c>
      <c r="J124" s="25">
        <f t="shared" si="11"/>
        <v>1.04060401</v>
      </c>
      <c r="K124" s="25">
        <f t="shared" si="11"/>
        <v>1.0510100500999999</v>
      </c>
      <c r="L124" s="25">
        <f t="shared" si="11"/>
        <v>1.0615201506009999</v>
      </c>
      <c r="M124" s="25">
        <f t="shared" si="11"/>
        <v>1.0721353521070098</v>
      </c>
      <c r="N124" s="25">
        <f t="shared" si="11"/>
        <v>1.08285670562808</v>
      </c>
      <c r="O124" s="25">
        <f t="shared" si="11"/>
        <v>1.0936852726843609</v>
      </c>
      <c r="P124" s="3"/>
      <c r="Q124" s="3"/>
      <c r="R124" s="3"/>
      <c r="S124" s="3"/>
      <c r="T124" s="3"/>
      <c r="U124" s="3"/>
      <c r="V124" s="3"/>
      <c r="W124" s="3"/>
      <c r="X124" s="3"/>
      <c r="Y124" s="3"/>
      <c r="Z124" s="3"/>
    </row>
    <row r="125" spans="1:26" ht="12.75" x14ac:dyDescent="0.2">
      <c r="A125" s="11"/>
      <c r="B125" s="4"/>
      <c r="C125" s="393" t="s">
        <v>895</v>
      </c>
      <c r="D125" s="4"/>
      <c r="E125" s="24"/>
      <c r="F125" s="15">
        <f t="shared" ref="F125:O125" si="12">$I$35</f>
        <v>-0.1</v>
      </c>
      <c r="G125" s="15">
        <f t="shared" si="12"/>
        <v>-0.1</v>
      </c>
      <c r="H125" s="15">
        <f t="shared" si="12"/>
        <v>-0.1</v>
      </c>
      <c r="I125" s="15">
        <f t="shared" si="12"/>
        <v>-0.1</v>
      </c>
      <c r="J125" s="15">
        <f t="shared" si="12"/>
        <v>-0.1</v>
      </c>
      <c r="K125" s="15">
        <f t="shared" si="12"/>
        <v>-0.1</v>
      </c>
      <c r="L125" s="15">
        <f t="shared" si="12"/>
        <v>-0.1</v>
      </c>
      <c r="M125" s="15">
        <f t="shared" si="12"/>
        <v>-0.1</v>
      </c>
      <c r="N125" s="15">
        <f t="shared" si="12"/>
        <v>-0.1</v>
      </c>
      <c r="O125" s="15">
        <f t="shared" si="12"/>
        <v>-0.1</v>
      </c>
      <c r="P125" s="3"/>
      <c r="Q125" s="3"/>
      <c r="R125" s="3"/>
      <c r="S125" s="3"/>
      <c r="T125" s="3"/>
      <c r="U125" s="3"/>
      <c r="V125" s="3"/>
      <c r="W125" s="3"/>
      <c r="X125" s="3"/>
      <c r="Y125" s="3"/>
      <c r="Z125" s="3"/>
    </row>
    <row r="126" spans="1:26" ht="12.75" x14ac:dyDescent="0.2">
      <c r="A126" s="11"/>
      <c r="B126" s="4"/>
      <c r="C126" s="393" t="s">
        <v>896</v>
      </c>
      <c r="D126" s="4"/>
      <c r="E126" s="24"/>
      <c r="F126" s="25">
        <f t="shared" ref="F126:O126" si="13">IF(E139=0,1,E126*(1+F125))</f>
        <v>1</v>
      </c>
      <c r="G126" s="25">
        <f t="shared" si="13"/>
        <v>1</v>
      </c>
      <c r="H126" s="25">
        <f t="shared" si="13"/>
        <v>0.9</v>
      </c>
      <c r="I126" s="25">
        <f t="shared" si="13"/>
        <v>0.81</v>
      </c>
      <c r="J126" s="25">
        <f t="shared" si="13"/>
        <v>0.72900000000000009</v>
      </c>
      <c r="K126" s="25">
        <f t="shared" si="13"/>
        <v>1</v>
      </c>
      <c r="L126" s="25">
        <f t="shared" si="13"/>
        <v>0.9</v>
      </c>
      <c r="M126" s="25">
        <f t="shared" si="13"/>
        <v>0.81</v>
      </c>
      <c r="N126" s="25">
        <f t="shared" si="13"/>
        <v>0.72900000000000009</v>
      </c>
      <c r="O126" s="25">
        <f t="shared" si="13"/>
        <v>1</v>
      </c>
      <c r="P126" s="3"/>
      <c r="Q126" s="3"/>
      <c r="R126" s="3"/>
      <c r="S126" s="3"/>
      <c r="T126" s="3"/>
      <c r="U126" s="3"/>
      <c r="V126" s="3"/>
      <c r="W126" s="3"/>
      <c r="X126" s="3"/>
      <c r="Y126" s="3"/>
      <c r="Z126" s="3"/>
    </row>
    <row r="127" spans="1:26" ht="12.75" x14ac:dyDescent="0.2">
      <c r="A127" s="11"/>
      <c r="B127" s="4"/>
      <c r="C127" s="9" t="s">
        <v>190</v>
      </c>
      <c r="D127" s="4"/>
      <c r="E127" s="24"/>
      <c r="F127" s="15">
        <f t="shared" ref="F127:O127" si="14">$F$53</f>
        <v>0</v>
      </c>
      <c r="G127" s="15">
        <f t="shared" si="14"/>
        <v>0</v>
      </c>
      <c r="H127" s="15">
        <f t="shared" si="14"/>
        <v>0</v>
      </c>
      <c r="I127" s="15">
        <f t="shared" si="14"/>
        <v>0</v>
      </c>
      <c r="J127" s="15">
        <f t="shared" si="14"/>
        <v>0</v>
      </c>
      <c r="K127" s="15">
        <f t="shared" si="14"/>
        <v>0</v>
      </c>
      <c r="L127" s="15">
        <f t="shared" si="14"/>
        <v>0</v>
      </c>
      <c r="M127" s="15">
        <f t="shared" si="14"/>
        <v>0</v>
      </c>
      <c r="N127" s="15">
        <f t="shared" si="14"/>
        <v>0</v>
      </c>
      <c r="O127" s="15">
        <f t="shared" si="14"/>
        <v>0</v>
      </c>
      <c r="P127" s="3"/>
      <c r="Q127" s="3"/>
      <c r="R127" s="3"/>
      <c r="S127" s="3"/>
      <c r="T127" s="3"/>
      <c r="U127" s="3"/>
      <c r="V127" s="3"/>
      <c r="W127" s="3"/>
      <c r="X127" s="3"/>
      <c r="Y127" s="3"/>
      <c r="Z127" s="3"/>
    </row>
    <row r="128" spans="1:26" ht="12.75" x14ac:dyDescent="0.2">
      <c r="A128" s="11"/>
      <c r="B128" s="4"/>
      <c r="C128" s="9" t="s">
        <v>191</v>
      </c>
      <c r="D128" s="4"/>
      <c r="E128" s="24"/>
      <c r="F128" s="25">
        <v>1</v>
      </c>
      <c r="G128" s="25">
        <f t="shared" ref="G128:O128" si="15">F128*(1+G127)</f>
        <v>1</v>
      </c>
      <c r="H128" s="25">
        <f t="shared" si="15"/>
        <v>1</v>
      </c>
      <c r="I128" s="25">
        <f t="shared" si="15"/>
        <v>1</v>
      </c>
      <c r="J128" s="25">
        <f t="shared" si="15"/>
        <v>1</v>
      </c>
      <c r="K128" s="25">
        <f t="shared" si="15"/>
        <v>1</v>
      </c>
      <c r="L128" s="25">
        <f t="shared" si="15"/>
        <v>1</v>
      </c>
      <c r="M128" s="25">
        <f t="shared" si="15"/>
        <v>1</v>
      </c>
      <c r="N128" s="25">
        <f t="shared" si="15"/>
        <v>1</v>
      </c>
      <c r="O128" s="25">
        <f t="shared" si="15"/>
        <v>1</v>
      </c>
      <c r="P128" s="3"/>
      <c r="Q128" s="3"/>
      <c r="R128" s="3"/>
      <c r="S128" s="3"/>
      <c r="T128" s="3"/>
      <c r="U128" s="3"/>
      <c r="V128" s="3"/>
      <c r="W128" s="3"/>
      <c r="X128" s="3"/>
      <c r="Y128" s="3"/>
      <c r="Z128" s="3"/>
    </row>
    <row r="129" spans="1:26" ht="12.75" x14ac:dyDescent="0.2">
      <c r="A129" s="11"/>
      <c r="B129" s="4"/>
      <c r="C129" s="27" t="s">
        <v>341</v>
      </c>
      <c r="D129" s="4"/>
      <c r="E129" s="24"/>
      <c r="F129" s="15">
        <f t="shared" ref="F129:O129" si="16">$F$74</f>
        <v>0</v>
      </c>
      <c r="G129" s="15">
        <f t="shared" si="16"/>
        <v>0</v>
      </c>
      <c r="H129" s="15">
        <f t="shared" si="16"/>
        <v>0</v>
      </c>
      <c r="I129" s="15">
        <f t="shared" si="16"/>
        <v>0</v>
      </c>
      <c r="J129" s="15">
        <f t="shared" si="16"/>
        <v>0</v>
      </c>
      <c r="K129" s="15">
        <f t="shared" si="16"/>
        <v>0</v>
      </c>
      <c r="L129" s="15">
        <f t="shared" si="16"/>
        <v>0</v>
      </c>
      <c r="M129" s="15">
        <f t="shared" si="16"/>
        <v>0</v>
      </c>
      <c r="N129" s="15">
        <f t="shared" si="16"/>
        <v>0</v>
      </c>
      <c r="O129" s="15">
        <f t="shared" si="16"/>
        <v>0</v>
      </c>
      <c r="P129" s="3"/>
      <c r="Q129" s="3"/>
      <c r="R129" s="3"/>
      <c r="S129" s="3"/>
      <c r="T129" s="3"/>
      <c r="U129" s="3"/>
      <c r="V129" s="3"/>
      <c r="W129" s="3"/>
      <c r="X129" s="3"/>
      <c r="Y129" s="3"/>
      <c r="Z129" s="3"/>
    </row>
    <row r="130" spans="1:26" ht="12.75" x14ac:dyDescent="0.2">
      <c r="A130" s="11"/>
      <c r="B130" s="4"/>
      <c r="C130" s="27" t="s">
        <v>342</v>
      </c>
      <c r="D130" s="4"/>
      <c r="E130" s="24"/>
      <c r="F130" s="25">
        <v>1</v>
      </c>
      <c r="G130" s="25">
        <f t="shared" ref="G130:O130" si="17">F130*(1+G129)</f>
        <v>1</v>
      </c>
      <c r="H130" s="25">
        <f t="shared" si="17"/>
        <v>1</v>
      </c>
      <c r="I130" s="25">
        <f t="shared" si="17"/>
        <v>1</v>
      </c>
      <c r="J130" s="25">
        <f t="shared" si="17"/>
        <v>1</v>
      </c>
      <c r="K130" s="25">
        <f t="shared" si="17"/>
        <v>1</v>
      </c>
      <c r="L130" s="25">
        <f t="shared" si="17"/>
        <v>1</v>
      </c>
      <c r="M130" s="25">
        <f t="shared" si="17"/>
        <v>1</v>
      </c>
      <c r="N130" s="25">
        <f t="shared" si="17"/>
        <v>1</v>
      </c>
      <c r="O130" s="25">
        <f t="shared" si="17"/>
        <v>1</v>
      </c>
      <c r="P130" s="3"/>
      <c r="Q130" s="3"/>
      <c r="R130" s="3"/>
      <c r="S130" s="3"/>
      <c r="T130" s="3"/>
      <c r="U130" s="3"/>
      <c r="V130" s="3"/>
      <c r="W130" s="3"/>
      <c r="X130" s="3"/>
      <c r="Y130" s="3"/>
      <c r="Z130" s="3"/>
    </row>
    <row r="131" spans="1:26" ht="12.75" x14ac:dyDescent="0.2">
      <c r="A131" s="11"/>
      <c r="B131" s="11"/>
      <c r="C131" s="3"/>
      <c r="D131" s="11"/>
      <c r="E131" s="26"/>
      <c r="F131" s="11"/>
      <c r="G131" s="11"/>
      <c r="H131" s="11"/>
      <c r="I131" s="11"/>
      <c r="J131" s="11"/>
      <c r="K131" s="11"/>
      <c r="L131" s="11"/>
      <c r="M131" s="11"/>
      <c r="N131" s="11"/>
      <c r="O131" s="3"/>
      <c r="P131" s="3"/>
      <c r="Q131" s="3"/>
      <c r="R131" s="3"/>
      <c r="S131" s="3"/>
      <c r="T131" s="3"/>
      <c r="U131" s="3"/>
      <c r="V131" s="3"/>
      <c r="W131" s="3"/>
      <c r="X131" s="3"/>
      <c r="Y131" s="3"/>
      <c r="Z131" s="3"/>
    </row>
    <row r="132" spans="1:26" ht="12.75" x14ac:dyDescent="0.2">
      <c r="A132" s="11"/>
      <c r="B132" s="42" t="s">
        <v>211</v>
      </c>
      <c r="C132" s="43"/>
      <c r="D132" s="44"/>
      <c r="E132" s="45"/>
      <c r="F132" s="44"/>
      <c r="G132" s="44"/>
      <c r="H132" s="44"/>
      <c r="I132" s="44"/>
      <c r="J132" s="44"/>
      <c r="K132" s="44"/>
      <c r="L132" s="44"/>
      <c r="M132" s="44"/>
      <c r="N132" s="44"/>
      <c r="O132" s="43"/>
      <c r="P132" s="3"/>
      <c r="Q132" s="3"/>
      <c r="R132" s="3"/>
      <c r="S132" s="3"/>
      <c r="T132" s="3"/>
      <c r="U132" s="3"/>
      <c r="V132" s="3"/>
      <c r="W132" s="3"/>
      <c r="X132" s="3"/>
      <c r="Y132" s="3"/>
      <c r="Z132" s="3"/>
    </row>
    <row r="133" spans="1:26" ht="12.75" x14ac:dyDescent="0.2">
      <c r="A133" s="11"/>
      <c r="B133" s="42"/>
      <c r="C133" s="46" t="s">
        <v>44</v>
      </c>
      <c r="D133" s="44"/>
      <c r="E133" s="45"/>
      <c r="F133" s="47">
        <f>$F$25</f>
        <v>1.1000000000000001</v>
      </c>
      <c r="G133" s="47">
        <f t="shared" ref="G133:O133" si="18">$F$25</f>
        <v>1.1000000000000001</v>
      </c>
      <c r="H133" s="47">
        <f t="shared" si="18"/>
        <v>1.1000000000000001</v>
      </c>
      <c r="I133" s="47">
        <f t="shared" si="18"/>
        <v>1.1000000000000001</v>
      </c>
      <c r="J133" s="47">
        <f t="shared" si="18"/>
        <v>1.1000000000000001</v>
      </c>
      <c r="K133" s="47">
        <f t="shared" si="18"/>
        <v>1.1000000000000001</v>
      </c>
      <c r="L133" s="47">
        <f t="shared" si="18"/>
        <v>1.1000000000000001</v>
      </c>
      <c r="M133" s="47">
        <f t="shared" si="18"/>
        <v>1.1000000000000001</v>
      </c>
      <c r="N133" s="47">
        <f t="shared" si="18"/>
        <v>1.1000000000000001</v>
      </c>
      <c r="O133" s="47">
        <f t="shared" si="18"/>
        <v>1.1000000000000001</v>
      </c>
      <c r="P133" s="3"/>
      <c r="Q133" s="3"/>
      <c r="R133" s="3"/>
      <c r="S133" s="3"/>
      <c r="T133" s="3"/>
      <c r="U133" s="3"/>
      <c r="V133" s="3"/>
      <c r="W133" s="3"/>
      <c r="X133" s="3"/>
      <c r="Y133" s="3"/>
      <c r="Z133" s="3"/>
    </row>
    <row r="134" spans="1:26" ht="12.75" x14ac:dyDescent="0.2">
      <c r="A134" s="11"/>
      <c r="B134" s="44"/>
      <c r="C134" s="46" t="s">
        <v>317</v>
      </c>
      <c r="D134" s="44"/>
      <c r="E134" s="45"/>
      <c r="F134" s="47">
        <f>$I$25</f>
        <v>1.1000000000000001</v>
      </c>
      <c r="G134" s="47">
        <f t="shared" ref="G134:O134" si="19">$I$25</f>
        <v>1.1000000000000001</v>
      </c>
      <c r="H134" s="47">
        <f t="shared" si="19"/>
        <v>1.1000000000000001</v>
      </c>
      <c r="I134" s="47">
        <f t="shared" si="19"/>
        <v>1.1000000000000001</v>
      </c>
      <c r="J134" s="47">
        <f t="shared" si="19"/>
        <v>1.1000000000000001</v>
      </c>
      <c r="K134" s="47">
        <f t="shared" si="19"/>
        <v>1.1000000000000001</v>
      </c>
      <c r="L134" s="47">
        <f t="shared" si="19"/>
        <v>1.1000000000000001</v>
      </c>
      <c r="M134" s="47">
        <f t="shared" si="19"/>
        <v>1.1000000000000001</v>
      </c>
      <c r="N134" s="47">
        <f t="shared" si="19"/>
        <v>1.1000000000000001</v>
      </c>
      <c r="O134" s="47">
        <f t="shared" si="19"/>
        <v>1.1000000000000001</v>
      </c>
      <c r="P134" s="3"/>
      <c r="Q134" s="3"/>
      <c r="R134" s="3"/>
      <c r="S134" s="3"/>
      <c r="T134" s="3"/>
      <c r="U134" s="3"/>
      <c r="V134" s="3"/>
      <c r="W134" s="3"/>
      <c r="X134" s="3"/>
      <c r="Y134" s="3"/>
      <c r="Z134" s="3"/>
    </row>
    <row r="135" spans="1:26" ht="12.75" hidden="1" x14ac:dyDescent="0.2">
      <c r="A135" s="11"/>
      <c r="B135" s="44"/>
      <c r="C135" s="46" t="s">
        <v>318</v>
      </c>
      <c r="D135" s="44"/>
      <c r="E135" s="45"/>
      <c r="F135" s="47">
        <f>$M$25</f>
        <v>0</v>
      </c>
      <c r="G135" s="47">
        <f t="shared" ref="G135:O135" si="20">$M$25</f>
        <v>0</v>
      </c>
      <c r="H135" s="47">
        <f t="shared" si="20"/>
        <v>0</v>
      </c>
      <c r="I135" s="47">
        <f t="shared" si="20"/>
        <v>0</v>
      </c>
      <c r="J135" s="47">
        <f t="shared" si="20"/>
        <v>0</v>
      </c>
      <c r="K135" s="47">
        <f t="shared" si="20"/>
        <v>0</v>
      </c>
      <c r="L135" s="47">
        <f t="shared" si="20"/>
        <v>0</v>
      </c>
      <c r="M135" s="47">
        <f t="shared" si="20"/>
        <v>0</v>
      </c>
      <c r="N135" s="47">
        <f t="shared" si="20"/>
        <v>0</v>
      </c>
      <c r="O135" s="47">
        <f t="shared" si="20"/>
        <v>0</v>
      </c>
      <c r="P135" s="3"/>
      <c r="Q135" s="3"/>
      <c r="R135" s="3"/>
      <c r="S135" s="3"/>
      <c r="T135" s="3"/>
      <c r="U135" s="3"/>
      <c r="V135" s="3"/>
      <c r="W135" s="3"/>
      <c r="X135" s="3"/>
      <c r="Y135" s="3"/>
      <c r="Z135" s="3"/>
    </row>
    <row r="136" spans="1:26" ht="12.75" x14ac:dyDescent="0.2">
      <c r="A136" s="11"/>
      <c r="B136" s="11"/>
      <c r="C136" s="3"/>
      <c r="D136" s="11"/>
      <c r="E136" s="26"/>
      <c r="F136" s="11"/>
      <c r="G136" s="11"/>
      <c r="H136" s="11"/>
      <c r="I136" s="11"/>
      <c r="J136" s="11"/>
      <c r="K136" s="11"/>
      <c r="L136" s="11"/>
      <c r="M136" s="11"/>
      <c r="N136" s="11"/>
      <c r="O136" s="3"/>
      <c r="P136" s="3"/>
      <c r="Q136" s="3"/>
      <c r="R136" s="3"/>
      <c r="S136" s="3"/>
      <c r="T136" s="3"/>
      <c r="U136" s="3"/>
      <c r="V136" s="3"/>
      <c r="W136" s="3"/>
      <c r="X136" s="3"/>
      <c r="Y136" s="3"/>
      <c r="Z136" s="3"/>
    </row>
    <row r="137" spans="1:26" ht="12.75" x14ac:dyDescent="0.2">
      <c r="A137" s="11"/>
      <c r="B137" s="42" t="s">
        <v>319</v>
      </c>
      <c r="C137" s="46"/>
      <c r="D137" s="44"/>
      <c r="E137" s="45"/>
      <c r="F137" s="47"/>
      <c r="G137" s="47"/>
      <c r="H137" s="47"/>
      <c r="I137" s="47"/>
      <c r="J137" s="47"/>
      <c r="K137" s="47"/>
      <c r="L137" s="47"/>
      <c r="M137" s="47"/>
      <c r="N137" s="47"/>
      <c r="O137" s="47"/>
      <c r="P137" s="3"/>
      <c r="Q137" s="3"/>
      <c r="R137" s="3"/>
      <c r="S137" s="3"/>
      <c r="T137" s="3"/>
      <c r="U137" s="3"/>
      <c r="V137" s="3"/>
      <c r="W137" s="3"/>
      <c r="X137" s="3"/>
      <c r="Y137" s="3"/>
      <c r="Z137" s="3"/>
    </row>
    <row r="138" spans="1:26" ht="12.75" x14ac:dyDescent="0.2">
      <c r="A138" s="11"/>
      <c r="B138" s="44"/>
      <c r="C138" s="46" t="s">
        <v>44</v>
      </c>
      <c r="D138" s="44"/>
      <c r="E138" s="45"/>
      <c r="F138" s="47">
        <f t="shared" ref="F138:P138" si="21">IF(MOD(F$110,$F$32)=0,1,0)</f>
        <v>1</v>
      </c>
      <c r="G138" s="47">
        <f t="shared" si="21"/>
        <v>1</v>
      </c>
      <c r="H138" s="47">
        <f t="shared" si="21"/>
        <v>1</v>
      </c>
      <c r="I138" s="47">
        <f t="shared" si="21"/>
        <v>1</v>
      </c>
      <c r="J138" s="47">
        <f t="shared" si="21"/>
        <v>1</v>
      </c>
      <c r="K138" s="47">
        <f t="shared" si="21"/>
        <v>1</v>
      </c>
      <c r="L138" s="47">
        <f t="shared" si="21"/>
        <v>1</v>
      </c>
      <c r="M138" s="47">
        <f t="shared" si="21"/>
        <v>1</v>
      </c>
      <c r="N138" s="47">
        <f t="shared" si="21"/>
        <v>1</v>
      </c>
      <c r="O138" s="47">
        <f t="shared" si="21"/>
        <v>1</v>
      </c>
      <c r="P138" s="113">
        <f t="shared" si="21"/>
        <v>1</v>
      </c>
      <c r="Q138" s="3"/>
      <c r="R138" s="3"/>
      <c r="S138" s="3"/>
      <c r="T138" s="3"/>
      <c r="U138" s="3"/>
      <c r="V138" s="3"/>
      <c r="W138" s="3"/>
      <c r="X138" s="3"/>
      <c r="Y138" s="3"/>
      <c r="Z138" s="3"/>
    </row>
    <row r="139" spans="1:26" ht="12.75" x14ac:dyDescent="0.2">
      <c r="A139" s="11"/>
      <c r="B139" s="44"/>
      <c r="C139" s="46" t="s">
        <v>317</v>
      </c>
      <c r="D139" s="44"/>
      <c r="E139" s="45"/>
      <c r="F139" s="47">
        <f t="shared" ref="F139:P139" si="22">IF((MOD(F$110,$I$32))=0,0,1)</f>
        <v>0</v>
      </c>
      <c r="G139" s="47">
        <f t="shared" si="22"/>
        <v>1</v>
      </c>
      <c r="H139" s="47">
        <f t="shared" si="22"/>
        <v>1</v>
      </c>
      <c r="I139" s="47">
        <f t="shared" si="22"/>
        <v>1</v>
      </c>
      <c r="J139" s="47">
        <f t="shared" si="22"/>
        <v>0</v>
      </c>
      <c r="K139" s="47">
        <f t="shared" si="22"/>
        <v>1</v>
      </c>
      <c r="L139" s="47">
        <f t="shared" si="22"/>
        <v>1</v>
      </c>
      <c r="M139" s="47">
        <f t="shared" si="22"/>
        <v>1</v>
      </c>
      <c r="N139" s="47">
        <f t="shared" si="22"/>
        <v>0</v>
      </c>
      <c r="O139" s="47">
        <f t="shared" si="22"/>
        <v>1</v>
      </c>
      <c r="P139" s="113">
        <f t="shared" si="22"/>
        <v>1</v>
      </c>
      <c r="Q139" s="3"/>
      <c r="R139" s="3"/>
      <c r="S139" s="3"/>
      <c r="T139" s="3"/>
      <c r="U139" s="3"/>
      <c r="V139" s="3"/>
      <c r="W139" s="3"/>
      <c r="X139" s="3"/>
      <c r="Y139" s="3"/>
      <c r="Z139" s="3"/>
    </row>
    <row r="140" spans="1:26" ht="12.75" x14ac:dyDescent="0.2">
      <c r="A140" s="11"/>
      <c r="B140" s="11"/>
      <c r="C140" s="3"/>
      <c r="D140" s="11"/>
      <c r="E140" s="26"/>
      <c r="F140" s="11"/>
      <c r="G140" s="11"/>
      <c r="H140" s="11"/>
      <c r="I140" s="11"/>
      <c r="J140" s="11"/>
      <c r="K140" s="11"/>
      <c r="L140" s="11"/>
      <c r="M140" s="11"/>
      <c r="N140" s="11"/>
      <c r="O140" s="3"/>
      <c r="P140" s="3"/>
      <c r="Q140" s="3"/>
      <c r="R140" s="3"/>
      <c r="S140" s="3"/>
      <c r="T140" s="3"/>
      <c r="U140" s="3"/>
      <c r="V140" s="3"/>
      <c r="W140" s="3"/>
      <c r="X140" s="3"/>
      <c r="Y140" s="3"/>
      <c r="Z140" s="3"/>
    </row>
    <row r="141" spans="1:26" s="57" customFormat="1" ht="12.75" x14ac:dyDescent="0.2">
      <c r="A141" s="52" t="s">
        <v>192</v>
      </c>
      <c r="B141" s="52"/>
      <c r="C141" s="53"/>
      <c r="D141" s="54" t="s">
        <v>174</v>
      </c>
      <c r="E141" s="55"/>
      <c r="F141" s="56">
        <v>0</v>
      </c>
      <c r="G141" s="56">
        <v>1</v>
      </c>
      <c r="H141" s="56">
        <v>2</v>
      </c>
      <c r="I141" s="56">
        <v>3</v>
      </c>
      <c r="J141" s="56">
        <v>4</v>
      </c>
      <c r="K141" s="56">
        <v>5</v>
      </c>
      <c r="L141" s="56">
        <v>6</v>
      </c>
      <c r="M141" s="56">
        <v>7</v>
      </c>
      <c r="N141" s="56">
        <v>8</v>
      </c>
      <c r="O141" s="56">
        <v>9</v>
      </c>
      <c r="P141" s="43"/>
      <c r="Q141" s="43"/>
      <c r="R141" s="43"/>
      <c r="S141" s="43"/>
      <c r="T141" s="43"/>
      <c r="U141" s="43"/>
      <c r="V141" s="43"/>
      <c r="W141" s="43"/>
      <c r="X141" s="43"/>
      <c r="Y141" s="43"/>
      <c r="Z141" s="43"/>
    </row>
    <row r="142" spans="1:26" ht="12.75" x14ac:dyDescent="0.2">
      <c r="A142" s="3"/>
      <c r="B142" s="4" t="s">
        <v>194</v>
      </c>
      <c r="C142" s="9"/>
      <c r="D142" s="2"/>
      <c r="E142" s="2"/>
      <c r="F142" s="2"/>
      <c r="G142" s="2"/>
      <c r="H142" s="2"/>
      <c r="I142" s="2"/>
      <c r="J142" s="2"/>
      <c r="K142" s="2"/>
      <c r="L142" s="2"/>
      <c r="M142" s="2"/>
      <c r="N142" s="2"/>
      <c r="O142" s="2"/>
      <c r="P142" s="3"/>
      <c r="Q142" s="3"/>
      <c r="R142" s="3"/>
      <c r="S142" s="3"/>
      <c r="T142" s="3"/>
      <c r="U142" s="3"/>
      <c r="V142" s="3"/>
      <c r="W142" s="3"/>
      <c r="X142" s="3"/>
      <c r="Y142" s="3"/>
      <c r="Z142" s="3"/>
    </row>
    <row r="143" spans="1:26" ht="12.75" x14ac:dyDescent="0.2">
      <c r="A143" s="3"/>
      <c r="B143" s="2"/>
      <c r="C143" s="9" t="s">
        <v>302</v>
      </c>
      <c r="D143" s="2"/>
      <c r="E143" s="2"/>
      <c r="F143" s="39">
        <f>F$133*$F$30*F124*F$138</f>
        <v>12.298</v>
      </c>
      <c r="G143" s="39">
        <f>G$133*$F$30*G124*G$138</f>
        <v>12.42098</v>
      </c>
      <c r="H143" s="39">
        <f>H$133*$F$30*H124*H$138</f>
        <v>12.545189799999999</v>
      </c>
      <c r="I143" s="39">
        <f>I$133*$F$30*I124*I$138</f>
        <v>12.670641697999999</v>
      </c>
      <c r="J143" s="39">
        <f>J$133*$F$30*J124*J$138</f>
        <v>12.79734811498</v>
      </c>
      <c r="K143" s="39">
        <f>K$133*$F$30*K124*K$138</f>
        <v>12.925321596129798</v>
      </c>
      <c r="L143" s="39">
        <f>L$133*$F$30*L124*L$138</f>
        <v>13.054574812091097</v>
      </c>
      <c r="M143" s="39">
        <f>M$133*$F$30*M124*M$138</f>
        <v>13.185120560212006</v>
      </c>
      <c r="N143" s="39">
        <f>N$133*$F$30*N124*N$138</f>
        <v>13.316971765814127</v>
      </c>
      <c r="O143" s="39">
        <f>O$133*$F$30*O124*O$138</f>
        <v>13.450141483472271</v>
      </c>
      <c r="P143" s="3"/>
      <c r="Q143" s="3"/>
      <c r="R143" s="3"/>
      <c r="S143" s="3"/>
      <c r="T143" s="3"/>
      <c r="U143" s="3"/>
      <c r="V143" s="3"/>
      <c r="W143" s="3"/>
      <c r="X143" s="3"/>
      <c r="Y143" s="3"/>
      <c r="Z143" s="3"/>
    </row>
    <row r="144" spans="1:26" ht="12.75" x14ac:dyDescent="0.2">
      <c r="A144" s="3"/>
      <c r="B144" s="2"/>
      <c r="C144" s="27" t="s">
        <v>232</v>
      </c>
      <c r="D144" s="2"/>
      <c r="E144" s="2"/>
      <c r="F144" s="39">
        <f>$F$36*F143</f>
        <v>4.3042999999999996</v>
      </c>
      <c r="G144" s="39">
        <f t="shared" ref="G144:O144" si="23">$F$36*G143</f>
        <v>4.3473429999999995</v>
      </c>
      <c r="H144" s="39">
        <f t="shared" si="23"/>
        <v>4.3908164299999992</v>
      </c>
      <c r="I144" s="39">
        <f t="shared" si="23"/>
        <v>4.4347245942999995</v>
      </c>
      <c r="J144" s="39">
        <f t="shared" si="23"/>
        <v>4.4790718402429999</v>
      </c>
      <c r="K144" s="39">
        <f t="shared" si="23"/>
        <v>4.5238625586454289</v>
      </c>
      <c r="L144" s="39">
        <f t="shared" si="23"/>
        <v>4.5691011842318838</v>
      </c>
      <c r="M144" s="39">
        <f t="shared" si="23"/>
        <v>4.6147921960742018</v>
      </c>
      <c r="N144" s="39">
        <f t="shared" si="23"/>
        <v>4.6609401180349446</v>
      </c>
      <c r="O144" s="39">
        <f t="shared" si="23"/>
        <v>4.7075495192152941</v>
      </c>
      <c r="P144" s="3"/>
      <c r="Q144" s="3"/>
      <c r="R144" s="3"/>
      <c r="S144" s="3"/>
      <c r="T144" s="3"/>
      <c r="U144" s="3"/>
      <c r="V144" s="3"/>
      <c r="W144" s="3"/>
      <c r="X144" s="3"/>
      <c r="Y144" s="3"/>
      <c r="Z144" s="3"/>
    </row>
    <row r="145" spans="1:26" ht="12.75" x14ac:dyDescent="0.2">
      <c r="A145" s="3"/>
      <c r="B145" s="2"/>
      <c r="C145" s="27" t="s">
        <v>303</v>
      </c>
      <c r="D145" s="2"/>
      <c r="E145" s="2"/>
      <c r="F145" s="39">
        <f t="shared" ref="F145:O145" si="24">$F$27/1000*F$138</f>
        <v>0.53300000000000003</v>
      </c>
      <c r="G145" s="39">
        <f t="shared" si="24"/>
        <v>0.53300000000000003</v>
      </c>
      <c r="H145" s="39">
        <f t="shared" si="24"/>
        <v>0.53300000000000003</v>
      </c>
      <c r="I145" s="39">
        <f t="shared" si="24"/>
        <v>0.53300000000000003</v>
      </c>
      <c r="J145" s="39">
        <f t="shared" si="24"/>
        <v>0.53300000000000003</v>
      </c>
      <c r="K145" s="39">
        <f t="shared" si="24"/>
        <v>0.53300000000000003</v>
      </c>
      <c r="L145" s="39">
        <f t="shared" si="24"/>
        <v>0.53300000000000003</v>
      </c>
      <c r="M145" s="39">
        <f t="shared" si="24"/>
        <v>0.53300000000000003</v>
      </c>
      <c r="N145" s="39">
        <f t="shared" si="24"/>
        <v>0.53300000000000003</v>
      </c>
      <c r="O145" s="39">
        <f t="shared" si="24"/>
        <v>0.53300000000000003</v>
      </c>
      <c r="P145" s="3"/>
      <c r="Q145" s="3"/>
      <c r="R145" s="3"/>
      <c r="S145" s="3"/>
      <c r="T145" s="3"/>
      <c r="U145" s="3"/>
      <c r="V145" s="3"/>
      <c r="W145" s="3"/>
      <c r="X145" s="3"/>
      <c r="Y145" s="3"/>
      <c r="Z145" s="3"/>
    </row>
    <row r="146" spans="1:26" ht="12.75" x14ac:dyDescent="0.2">
      <c r="A146" s="3"/>
      <c r="B146" s="2"/>
      <c r="C146" s="9" t="s">
        <v>304</v>
      </c>
      <c r="D146" s="2"/>
      <c r="E146" s="2"/>
      <c r="F146" s="39">
        <f>F143-F144-F145</f>
        <v>7.4607000000000001</v>
      </c>
      <c r="G146" s="39">
        <f t="shared" ref="G146:O146" si="25">G143-G144-G145</f>
        <v>7.5406370000000011</v>
      </c>
      <c r="H146" s="39">
        <f t="shared" si="25"/>
        <v>7.6213733699999997</v>
      </c>
      <c r="I146" s="39">
        <f t="shared" si="25"/>
        <v>7.7029171036999999</v>
      </c>
      <c r="J146" s="39">
        <f t="shared" si="25"/>
        <v>7.7852762747369999</v>
      </c>
      <c r="K146" s="39">
        <f t="shared" si="25"/>
        <v>7.8684590374843681</v>
      </c>
      <c r="L146" s="39">
        <f t="shared" si="25"/>
        <v>7.9524736278592139</v>
      </c>
      <c r="M146" s="39">
        <f t="shared" si="25"/>
        <v>8.0373283641378048</v>
      </c>
      <c r="N146" s="39">
        <f t="shared" si="25"/>
        <v>8.1230316477791842</v>
      </c>
      <c r="O146" s="39">
        <f t="shared" si="25"/>
        <v>8.2095919642569779</v>
      </c>
      <c r="P146" s="3"/>
      <c r="Q146" s="3"/>
      <c r="R146" s="3"/>
      <c r="S146" s="3"/>
      <c r="T146" s="3"/>
      <c r="U146" s="3"/>
      <c r="V146" s="3"/>
      <c r="W146" s="3"/>
      <c r="X146" s="3"/>
      <c r="Y146" s="3"/>
      <c r="Z146" s="3"/>
    </row>
    <row r="147" spans="1:26" ht="12.75" x14ac:dyDescent="0.2">
      <c r="A147" s="3"/>
      <c r="B147" s="3"/>
      <c r="C147" s="12"/>
      <c r="D147" s="3"/>
      <c r="E147" s="3"/>
      <c r="F147" s="28"/>
      <c r="G147" s="28"/>
      <c r="H147" s="28"/>
      <c r="I147" s="28"/>
      <c r="J147" s="28"/>
      <c r="K147" s="28"/>
      <c r="L147" s="28"/>
      <c r="M147" s="3"/>
      <c r="N147" s="3"/>
      <c r="O147" s="3"/>
      <c r="P147" s="3"/>
      <c r="Q147" s="3"/>
      <c r="R147" s="3"/>
      <c r="S147" s="3"/>
      <c r="T147" s="3"/>
      <c r="U147" s="3"/>
      <c r="V147" s="3"/>
      <c r="W147" s="3"/>
      <c r="X147" s="3"/>
      <c r="Y147" s="3"/>
      <c r="Z147" s="3"/>
    </row>
    <row r="148" spans="1:26" ht="12.75" x14ac:dyDescent="0.2">
      <c r="A148" s="3"/>
      <c r="B148" s="4" t="s">
        <v>343</v>
      </c>
      <c r="C148" s="9"/>
      <c r="D148" s="2"/>
      <c r="E148" s="2"/>
      <c r="F148" s="397"/>
      <c r="G148" s="397"/>
      <c r="H148" s="397"/>
      <c r="I148" s="397"/>
      <c r="J148" s="397"/>
      <c r="K148" s="397"/>
      <c r="L148" s="397"/>
      <c r="M148" s="397"/>
      <c r="N148" s="397"/>
      <c r="O148" s="397"/>
      <c r="P148" s="3"/>
      <c r="Q148" s="3"/>
      <c r="R148" s="3"/>
      <c r="S148" s="3"/>
      <c r="T148" s="3"/>
      <c r="U148" s="3"/>
      <c r="V148" s="3"/>
      <c r="W148" s="3"/>
      <c r="X148" s="3"/>
      <c r="Y148" s="3"/>
      <c r="Z148" s="3"/>
    </row>
    <row r="149" spans="1:26" ht="12.75" x14ac:dyDescent="0.2">
      <c r="A149" s="3"/>
      <c r="B149" s="2"/>
      <c r="C149" s="9" t="s">
        <v>302</v>
      </c>
      <c r="D149" s="2"/>
      <c r="E149" s="2"/>
      <c r="F149" s="81">
        <f t="shared" ref="F149:O149" si="26">F$134*$I$30*F$126*F$139</f>
        <v>0</v>
      </c>
      <c r="G149" s="39">
        <f t="shared" si="26"/>
        <v>26.510000000000005</v>
      </c>
      <c r="H149" s="39">
        <f t="shared" si="26"/>
        <v>23.859000000000005</v>
      </c>
      <c r="I149" s="39">
        <f t="shared" si="26"/>
        <v>21.473100000000006</v>
      </c>
      <c r="J149" s="39">
        <f t="shared" si="26"/>
        <v>0</v>
      </c>
      <c r="K149" s="39">
        <f t="shared" si="26"/>
        <v>26.510000000000005</v>
      </c>
      <c r="L149" s="39">
        <f t="shared" si="26"/>
        <v>23.859000000000005</v>
      </c>
      <c r="M149" s="39">
        <f t="shared" si="26"/>
        <v>21.473100000000006</v>
      </c>
      <c r="N149" s="39">
        <f t="shared" si="26"/>
        <v>0</v>
      </c>
      <c r="O149" s="39">
        <f t="shared" si="26"/>
        <v>26.510000000000005</v>
      </c>
      <c r="P149" s="3"/>
      <c r="Q149" s="3"/>
      <c r="R149" s="3"/>
      <c r="S149" s="3"/>
      <c r="T149" s="3"/>
      <c r="U149" s="3"/>
      <c r="V149" s="3"/>
      <c r="W149" s="3"/>
      <c r="X149" s="3"/>
      <c r="Y149" s="3"/>
      <c r="Z149" s="3"/>
    </row>
    <row r="150" spans="1:26" ht="12.75" x14ac:dyDescent="0.2">
      <c r="A150" s="3"/>
      <c r="B150" s="2"/>
      <c r="C150" s="27" t="s">
        <v>232</v>
      </c>
      <c r="D150" s="2"/>
      <c r="E150" s="2"/>
      <c r="F150" s="81">
        <f>$I$36*F149</f>
        <v>0</v>
      </c>
      <c r="G150" s="39">
        <f t="shared" ref="G150:O150" si="27">$I$36*G149</f>
        <v>9.2785000000000011</v>
      </c>
      <c r="H150" s="39">
        <f t="shared" si="27"/>
        <v>8.3506500000000017</v>
      </c>
      <c r="I150" s="39">
        <f t="shared" si="27"/>
        <v>7.5155850000000015</v>
      </c>
      <c r="J150" s="39">
        <f t="shared" si="27"/>
        <v>0</v>
      </c>
      <c r="K150" s="39">
        <f t="shared" si="27"/>
        <v>9.2785000000000011</v>
      </c>
      <c r="L150" s="39">
        <f t="shared" si="27"/>
        <v>8.3506500000000017</v>
      </c>
      <c r="M150" s="39">
        <f t="shared" si="27"/>
        <v>7.5155850000000015</v>
      </c>
      <c r="N150" s="39">
        <f t="shared" si="27"/>
        <v>0</v>
      </c>
      <c r="O150" s="39">
        <f t="shared" si="27"/>
        <v>9.2785000000000011</v>
      </c>
      <c r="P150" s="3"/>
      <c r="Q150" s="3"/>
      <c r="R150" s="3"/>
      <c r="S150" s="3"/>
      <c r="T150" s="3"/>
      <c r="U150" s="3"/>
      <c r="V150" s="3"/>
      <c r="W150" s="3"/>
      <c r="X150" s="3"/>
      <c r="Y150" s="3"/>
      <c r="Z150" s="3"/>
    </row>
    <row r="151" spans="1:26" ht="12.75" x14ac:dyDescent="0.2">
      <c r="A151" s="3"/>
      <c r="B151" s="2"/>
      <c r="C151" s="27" t="s">
        <v>303</v>
      </c>
      <c r="D151" s="2"/>
      <c r="E151" s="2"/>
      <c r="F151" s="81">
        <f t="shared" ref="F151:O151" si="28">$I$27/1000*F$139</f>
        <v>0</v>
      </c>
      <c r="G151" s="39">
        <f t="shared" si="28"/>
        <v>0.8</v>
      </c>
      <c r="H151" s="39">
        <f t="shared" si="28"/>
        <v>0.8</v>
      </c>
      <c r="I151" s="39">
        <f t="shared" si="28"/>
        <v>0.8</v>
      </c>
      <c r="J151" s="39">
        <f t="shared" si="28"/>
        <v>0</v>
      </c>
      <c r="K151" s="39">
        <f t="shared" si="28"/>
        <v>0.8</v>
      </c>
      <c r="L151" s="39">
        <f t="shared" si="28"/>
        <v>0.8</v>
      </c>
      <c r="M151" s="39">
        <f t="shared" si="28"/>
        <v>0.8</v>
      </c>
      <c r="N151" s="39">
        <f t="shared" si="28"/>
        <v>0</v>
      </c>
      <c r="O151" s="39">
        <f t="shared" si="28"/>
        <v>0.8</v>
      </c>
      <c r="P151" s="3"/>
      <c r="Q151" s="3"/>
      <c r="R151" s="3"/>
      <c r="S151" s="3"/>
      <c r="T151" s="3"/>
      <c r="U151" s="3"/>
      <c r="V151" s="3"/>
      <c r="W151" s="3"/>
      <c r="X151" s="3"/>
      <c r="Y151" s="3"/>
      <c r="Z151" s="3"/>
    </row>
    <row r="152" spans="1:26" ht="12.75" x14ac:dyDescent="0.2">
      <c r="A152" s="3"/>
      <c r="B152" s="2"/>
      <c r="C152" s="9" t="s">
        <v>304</v>
      </c>
      <c r="D152" s="2"/>
      <c r="E152" s="2"/>
      <c r="F152" s="81">
        <f>F149-F150-F151</f>
        <v>0</v>
      </c>
      <c r="G152" s="39">
        <f t="shared" ref="G152:O152" si="29">G149-G150-G151</f>
        <v>16.431500000000003</v>
      </c>
      <c r="H152" s="39">
        <f t="shared" si="29"/>
        <v>14.708350000000003</v>
      </c>
      <c r="I152" s="39">
        <f t="shared" si="29"/>
        <v>13.157515000000004</v>
      </c>
      <c r="J152" s="39">
        <f t="shared" si="29"/>
        <v>0</v>
      </c>
      <c r="K152" s="39">
        <f t="shared" si="29"/>
        <v>16.431500000000003</v>
      </c>
      <c r="L152" s="39">
        <f t="shared" si="29"/>
        <v>14.708350000000003</v>
      </c>
      <c r="M152" s="39">
        <f t="shared" si="29"/>
        <v>13.157515000000004</v>
      </c>
      <c r="N152" s="39">
        <f t="shared" si="29"/>
        <v>0</v>
      </c>
      <c r="O152" s="39">
        <f t="shared" si="29"/>
        <v>16.431500000000003</v>
      </c>
      <c r="P152" s="3"/>
      <c r="Q152" s="3"/>
      <c r="R152" s="3"/>
      <c r="S152" s="3"/>
      <c r="T152" s="3"/>
      <c r="U152" s="3"/>
      <c r="V152" s="3"/>
      <c r="W152" s="3"/>
      <c r="X152" s="3"/>
      <c r="Y152" s="3"/>
      <c r="Z152" s="3"/>
    </row>
    <row r="153" spans="1:26" ht="12.75"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x14ac:dyDescent="0.2">
      <c r="A154" s="3"/>
      <c r="B154" s="29" t="s">
        <v>225</v>
      </c>
      <c r="C154" s="2"/>
      <c r="D154" s="2"/>
      <c r="E154" s="2"/>
      <c r="F154" s="39"/>
      <c r="G154" s="39"/>
      <c r="H154" s="39"/>
      <c r="I154" s="39"/>
      <c r="J154" s="39"/>
      <c r="K154" s="39"/>
      <c r="L154" s="39"/>
      <c r="M154" s="39"/>
      <c r="N154" s="39"/>
      <c r="O154" s="39"/>
      <c r="P154" s="3"/>
      <c r="Q154" s="3"/>
      <c r="R154" s="3"/>
      <c r="S154" s="3"/>
      <c r="T154" s="3"/>
      <c r="U154" s="3"/>
      <c r="V154" s="3"/>
      <c r="W154" s="3"/>
      <c r="X154" s="3"/>
      <c r="Y154" s="3"/>
      <c r="Z154" s="3"/>
    </row>
    <row r="155" spans="1:26" ht="12.75" x14ac:dyDescent="0.2">
      <c r="A155" s="3"/>
      <c r="B155" s="2"/>
      <c r="C155" s="9" t="s">
        <v>302</v>
      </c>
      <c r="D155" s="2"/>
      <c r="E155" s="2"/>
      <c r="F155" s="39">
        <f>F143*$F$82*F$113*(1+$F$85)</f>
        <v>135.65923800000002</v>
      </c>
      <c r="G155" s="39">
        <f>G143*$F$82*G$113*(1+$F$85)</f>
        <v>147.84008098002002</v>
      </c>
      <c r="H155" s="39">
        <f>H143*$F$82*H$113*(1+$F$85)</f>
        <v>161.11464185121599</v>
      </c>
      <c r="I155" s="39">
        <f>I143*$F$82*I$113*(1+$F$85)</f>
        <v>175.58112554303668</v>
      </c>
      <c r="J155" s="39">
        <f>J143*$F$82*J$113*(1+$F$85)</f>
        <v>191.34655480554594</v>
      </c>
      <c r="K155" s="39">
        <f>K143*$F$82*K$113*(1+$F$85)</f>
        <v>208.52756196153587</v>
      </c>
      <c r="L155" s="39">
        <f>L143*$F$82*L$113*(1+$F$85)</f>
        <v>227.25125175006218</v>
      </c>
      <c r="M155" s="39">
        <f>M143*$F$82*M$113*(1+$F$85)</f>
        <v>247.65614164470023</v>
      </c>
      <c r="N155" s="39">
        <f>N143*$F$82*N$113*(1+$F$85)</f>
        <v>269.89318660297789</v>
      </c>
      <c r="O155" s="39">
        <f>O143*$F$82*O$113*(1+$F$85)</f>
        <v>294.12689582805928</v>
      </c>
      <c r="P155" s="3"/>
      <c r="Q155" s="3"/>
      <c r="R155" s="3"/>
      <c r="S155" s="3"/>
      <c r="T155" s="3"/>
      <c r="U155" s="3"/>
      <c r="V155" s="3"/>
      <c r="W155" s="3"/>
      <c r="X155" s="3"/>
      <c r="Y155" s="3"/>
      <c r="Z155" s="3"/>
    </row>
    <row r="156" spans="1:26" ht="12.75" x14ac:dyDescent="0.2">
      <c r="A156" s="3"/>
      <c r="B156" s="2"/>
      <c r="C156" s="27" t="s">
        <v>231</v>
      </c>
      <c r="D156" s="2"/>
      <c r="E156" s="2"/>
      <c r="F156" s="39">
        <f>F144*$F$83*F$113*(1+$F$85)</f>
        <v>38.738699999999994</v>
      </c>
      <c r="G156" s="39">
        <f>G144*$F$83*G$113*(1+$F$85)</f>
        <v>42.217047872999999</v>
      </c>
      <c r="H156" s="39">
        <f>H144*$F$83*H$113*(1+$F$85)</f>
        <v>46.007716601516655</v>
      </c>
      <c r="I156" s="39">
        <f>I144*$F$83*I$113*(1+$F$85)</f>
        <v>50.138749475166847</v>
      </c>
      <c r="J156" s="39">
        <f>J144*$F$83*J$113*(1+$F$85)</f>
        <v>54.640707790542081</v>
      </c>
      <c r="K156" s="39">
        <f>K144*$F$83*K$113*(1+$F$85)</f>
        <v>59.546896943054833</v>
      </c>
      <c r="L156" s="39">
        <f>L144*$F$83*L$113*(1+$F$85)</f>
        <v>64.893612819571729</v>
      </c>
      <c r="M156" s="39">
        <f>M144*$F$83*M$113*(1+$F$85)</f>
        <v>70.720410314641072</v>
      </c>
      <c r="N156" s="39">
        <f>N144*$F$83*N$113*(1+$F$85)</f>
        <v>77.070395956792694</v>
      </c>
      <c r="O156" s="39">
        <f>O144*$F$83*O$113*(1+$F$85)</f>
        <v>83.990546809753113</v>
      </c>
      <c r="P156" s="3"/>
      <c r="Q156" s="3"/>
      <c r="R156" s="3"/>
      <c r="S156" s="3"/>
      <c r="T156" s="3"/>
      <c r="U156" s="3"/>
      <c r="V156" s="3"/>
      <c r="W156" s="3"/>
      <c r="X156" s="3"/>
      <c r="Y156" s="3"/>
      <c r="Z156" s="3"/>
    </row>
    <row r="157" spans="1:26" ht="12.75" x14ac:dyDescent="0.2">
      <c r="A157" s="3"/>
      <c r="B157" s="2"/>
      <c r="C157" s="393" t="s">
        <v>875</v>
      </c>
      <c r="D157" s="2"/>
      <c r="E157" s="2"/>
      <c r="F157" s="39">
        <f>F145*$F$83*F$113*(1+$F$85)</f>
        <v>4.7970000000000006</v>
      </c>
      <c r="G157" s="39">
        <f>G145*$F$83*G$113*(1+$F$85)</f>
        <v>5.1759630000000003</v>
      </c>
      <c r="H157" s="39">
        <f>H145*$F$83*H$113*(1+$F$85)</f>
        <v>5.5848640769999998</v>
      </c>
      <c r="I157" s="39">
        <f>I145*$F$83*I$113*(1+$F$85)</f>
        <v>6.0260683390830003</v>
      </c>
      <c r="J157" s="39">
        <f>J145*$F$83*J$113*(1+$F$85)</f>
        <v>6.5021277378705573</v>
      </c>
      <c r="K157" s="39">
        <f>K145*$F$83*K$113*(1+$F$85)</f>
        <v>7.0157958291623306</v>
      </c>
      <c r="L157" s="39">
        <f>L145*$F$83*L$113*(1+$F$85)</f>
        <v>7.5700436996661553</v>
      </c>
      <c r="M157" s="39">
        <f>M145*$F$83*M$113*(1+$F$85)</f>
        <v>8.1680771519397801</v>
      </c>
      <c r="N157" s="39">
        <f>N145*$F$83*N$113*(1+$F$85)</f>
        <v>8.8133552469430239</v>
      </c>
      <c r="O157" s="39">
        <f>O145*$F$83*O$113*(1+$F$85)</f>
        <v>9.5096103114515227</v>
      </c>
      <c r="P157" s="3"/>
      <c r="Q157" s="3"/>
      <c r="R157" s="3"/>
      <c r="S157" s="3"/>
      <c r="T157" s="3"/>
      <c r="U157" s="3"/>
      <c r="V157" s="3"/>
      <c r="W157" s="3"/>
      <c r="X157" s="3"/>
      <c r="Y157" s="3"/>
      <c r="Z157" s="3"/>
    </row>
    <row r="158" spans="1:26" ht="12.75" x14ac:dyDescent="0.2">
      <c r="A158" s="3"/>
      <c r="B158" s="2"/>
      <c r="C158" s="31" t="s">
        <v>304</v>
      </c>
      <c r="D158" s="60"/>
      <c r="E158" s="60"/>
      <c r="F158" s="61">
        <f>F155-F156-F157</f>
        <v>92.123538000000025</v>
      </c>
      <c r="G158" s="61">
        <f t="shared" ref="G158:O158" si="30">G155-G156-G157</f>
        <v>100.44707010702002</v>
      </c>
      <c r="H158" s="61">
        <f t="shared" si="30"/>
        <v>109.52206117269934</v>
      </c>
      <c r="I158" s="61">
        <f t="shared" si="30"/>
        <v>119.41630772878683</v>
      </c>
      <c r="J158" s="61">
        <f t="shared" si="30"/>
        <v>130.2037192771333</v>
      </c>
      <c r="K158" s="61">
        <f t="shared" si="30"/>
        <v>141.9648691893187</v>
      </c>
      <c r="L158" s="61">
        <f t="shared" si="30"/>
        <v>154.78759523082431</v>
      </c>
      <c r="M158" s="61">
        <f t="shared" si="30"/>
        <v>168.76765417811939</v>
      </c>
      <c r="N158" s="61">
        <f t="shared" si="30"/>
        <v>184.00943539924216</v>
      </c>
      <c r="O158" s="61">
        <f t="shared" si="30"/>
        <v>200.62673870685464</v>
      </c>
      <c r="P158" s="3"/>
      <c r="Q158" s="3"/>
      <c r="R158" s="3"/>
      <c r="S158" s="3"/>
      <c r="T158" s="3"/>
      <c r="U158" s="3"/>
      <c r="V158" s="3"/>
      <c r="W158" s="3"/>
      <c r="X158" s="3"/>
      <c r="Y158" s="3"/>
      <c r="Z158" s="3"/>
    </row>
    <row r="159" spans="1:26" ht="12.75" x14ac:dyDescent="0.2">
      <c r="A159" s="3"/>
      <c r="B159" s="3"/>
      <c r="C159" s="3"/>
      <c r="D159" s="3"/>
      <c r="E159" s="3"/>
      <c r="F159" s="28"/>
      <c r="G159" s="28"/>
      <c r="H159" s="28"/>
      <c r="I159" s="28"/>
      <c r="J159" s="28"/>
      <c r="K159" s="28"/>
      <c r="L159" s="28"/>
      <c r="M159" s="3"/>
      <c r="N159" s="3"/>
      <c r="O159" s="3"/>
      <c r="P159" s="3"/>
      <c r="Q159" s="3"/>
      <c r="R159" s="3"/>
      <c r="S159" s="3"/>
      <c r="T159" s="3"/>
      <c r="U159" s="3"/>
      <c r="V159" s="3"/>
      <c r="W159" s="3"/>
      <c r="X159" s="3"/>
      <c r="Y159" s="3"/>
      <c r="Z159" s="3"/>
    </row>
    <row r="160" spans="1:26" ht="12.75" x14ac:dyDescent="0.2">
      <c r="A160" s="3"/>
      <c r="B160" s="29" t="s">
        <v>344</v>
      </c>
      <c r="C160" s="2"/>
      <c r="D160" s="2"/>
      <c r="E160" s="2"/>
      <c r="F160" s="2"/>
      <c r="G160" s="2"/>
      <c r="H160" s="2"/>
      <c r="I160" s="2"/>
      <c r="J160" s="2"/>
      <c r="K160" s="2"/>
      <c r="L160" s="2"/>
      <c r="M160" s="2"/>
      <c r="N160" s="2"/>
      <c r="O160" s="2"/>
      <c r="P160" s="3"/>
      <c r="Q160" s="3"/>
      <c r="R160" s="3"/>
      <c r="S160" s="3"/>
      <c r="T160" s="3"/>
      <c r="U160" s="3"/>
      <c r="V160" s="3"/>
      <c r="W160" s="3"/>
      <c r="X160" s="3"/>
      <c r="Y160" s="3"/>
      <c r="Z160" s="3"/>
    </row>
    <row r="161" spans="1:26" ht="12.75" x14ac:dyDescent="0.2">
      <c r="A161" s="3"/>
      <c r="B161" s="2"/>
      <c r="C161" s="9" t="s">
        <v>302</v>
      </c>
      <c r="D161" s="2"/>
      <c r="E161" s="2"/>
      <c r="F161" s="81">
        <f>F149*$I$82*F$113*(1+$F$85)</f>
        <v>0</v>
      </c>
      <c r="G161" s="39">
        <f>G149*$I$82*G$113*(1+$F$85)</f>
        <v>315.53392299000012</v>
      </c>
      <c r="H161" s="39">
        <f>H149*$I$82*H$113*(1+$F$85)</f>
        <v>306.41499261558903</v>
      </c>
      <c r="I161" s="39">
        <f>I149*$I$82*I$113*(1+$F$85)</f>
        <v>297.55959932899856</v>
      </c>
      <c r="J161" s="39">
        <f>J149*$I$82*J$113*(1+$F$85)</f>
        <v>0</v>
      </c>
      <c r="K161" s="39">
        <f>K149*$I$82*K$113*(1+$F$85)</f>
        <v>427.69269812641062</v>
      </c>
      <c r="L161" s="39">
        <f>L149*$I$82*L$113*(1+$F$85)</f>
        <v>415.33237915055724</v>
      </c>
      <c r="M161" s="39">
        <f>M149*$I$82*M$113*(1+$F$85)</f>
        <v>403.32927339310618</v>
      </c>
      <c r="N161" s="39">
        <f>N149*$I$82*N$113*(1+$F$85)</f>
        <v>0</v>
      </c>
      <c r="O161" s="39">
        <f>O149*$I$82*O$113*(1+$F$85)</f>
        <v>579.71910689439915</v>
      </c>
      <c r="P161" s="3"/>
      <c r="Q161" s="3"/>
      <c r="R161" s="3"/>
      <c r="S161" s="3"/>
      <c r="T161" s="3"/>
      <c r="U161" s="3"/>
      <c r="V161" s="3"/>
      <c r="W161" s="3"/>
      <c r="X161" s="3"/>
      <c r="Y161" s="3"/>
      <c r="Z161" s="3"/>
    </row>
    <row r="162" spans="1:26" ht="12.75" x14ac:dyDescent="0.2">
      <c r="A162" s="3"/>
      <c r="B162" s="2"/>
      <c r="C162" s="27" t="s">
        <v>231</v>
      </c>
      <c r="D162" s="2"/>
      <c r="E162" s="2"/>
      <c r="F162" s="81">
        <f>F150*$I$83*F$113*(1+$F$85)</f>
        <v>0</v>
      </c>
      <c r="G162" s="39">
        <f>G150*$I$83*G$113*(1+$F$85)</f>
        <v>90.10351350000002</v>
      </c>
      <c r="H162" s="39">
        <f>H150*$I$83*H$113*(1+$F$85)</f>
        <v>87.49952195985</v>
      </c>
      <c r="I162" s="39">
        <f>I150*$I$83*I$113*(1+$F$85)</f>
        <v>84.970785775210345</v>
      </c>
      <c r="J162" s="39">
        <f>J150*$I$83*J$113*(1+$F$85)</f>
        <v>0</v>
      </c>
      <c r="K162" s="39">
        <f>K150*$I$83*K$113*(1+$F$85)</f>
        <v>122.13144765644032</v>
      </c>
      <c r="L162" s="39">
        <f>L150*$I$83*L$113*(1+$F$85)</f>
        <v>118.60184881916919</v>
      </c>
      <c r="M162" s="39">
        <f>M150*$I$83*M$113*(1+$F$85)</f>
        <v>115.17425538829519</v>
      </c>
      <c r="N162" s="39">
        <f>N150*$I$83*N$113*(1+$F$85)</f>
        <v>0</v>
      </c>
      <c r="O162" s="39">
        <f>O150*$I$83*O$113*(1+$F$85)</f>
        <v>165.54393860188171</v>
      </c>
      <c r="P162" s="3"/>
      <c r="Q162" s="3"/>
      <c r="R162" s="3"/>
      <c r="S162" s="3"/>
      <c r="T162" s="3"/>
      <c r="U162" s="3"/>
      <c r="V162" s="3"/>
      <c r="W162" s="3"/>
      <c r="X162" s="3"/>
      <c r="Y162" s="3"/>
      <c r="Z162" s="3"/>
    </row>
    <row r="163" spans="1:26" ht="12.75" x14ac:dyDescent="0.2">
      <c r="A163" s="3"/>
      <c r="B163" s="2"/>
      <c r="C163" s="393" t="s">
        <v>875</v>
      </c>
      <c r="D163" s="2"/>
      <c r="E163" s="2"/>
      <c r="F163" s="81">
        <f>F151*$I$83*F$113*(1+$F$85)</f>
        <v>0</v>
      </c>
      <c r="G163" s="39">
        <f>G151*$I$83*G$113*(1+$F$85)</f>
        <v>7.7687999999999997</v>
      </c>
      <c r="H163" s="39">
        <f>H151*$I$83*H$113*(1+$F$85)</f>
        <v>8.3825351999999995</v>
      </c>
      <c r="I163" s="39">
        <f>I151*$I$83*I$113*(1+$F$85)</f>
        <v>9.0447554807999992</v>
      </c>
      <c r="J163" s="39">
        <f>J151*$I$83*J$113*(1+$F$85)</f>
        <v>0</v>
      </c>
      <c r="K163" s="39">
        <f>K151*$I$83*K$113*(1+$F$85)</f>
        <v>10.530275165722072</v>
      </c>
      <c r="L163" s="39">
        <f>L151*$I$83*L$113*(1+$F$85)</f>
        <v>11.362166903814115</v>
      </c>
      <c r="M163" s="39">
        <f>M151*$I$83*M$113*(1+$F$85)</f>
        <v>12.259778089215429</v>
      </c>
      <c r="N163" s="39">
        <f>N151*$I$83*N$113*(1+$F$85)</f>
        <v>0</v>
      </c>
      <c r="O163" s="39">
        <f>O151*$I$83*O$113*(1+$F$85)</f>
        <v>14.27333630236626</v>
      </c>
      <c r="P163" s="3"/>
      <c r="Q163" s="3"/>
      <c r="R163" s="3"/>
      <c r="S163" s="3"/>
      <c r="T163" s="3"/>
      <c r="U163" s="3"/>
      <c r="V163" s="3"/>
      <c r="W163" s="3"/>
      <c r="X163" s="3"/>
      <c r="Y163" s="3"/>
      <c r="Z163" s="3"/>
    </row>
    <row r="164" spans="1:26" ht="12.75" x14ac:dyDescent="0.2">
      <c r="A164" s="3"/>
      <c r="B164" s="2"/>
      <c r="C164" s="31" t="s">
        <v>304</v>
      </c>
      <c r="D164" s="60"/>
      <c r="E164" s="60"/>
      <c r="F164" s="61">
        <f>F161-F162-F163</f>
        <v>0</v>
      </c>
      <c r="G164" s="61">
        <f t="shared" ref="G164:O164" si="31">G161-G162-G163</f>
        <v>217.6616094900001</v>
      </c>
      <c r="H164" s="61">
        <f t="shared" si="31"/>
        <v>210.53293545573902</v>
      </c>
      <c r="I164" s="61">
        <f t="shared" si="31"/>
        <v>203.54405807298821</v>
      </c>
      <c r="J164" s="61">
        <f t="shared" si="31"/>
        <v>0</v>
      </c>
      <c r="K164" s="61">
        <f t="shared" si="31"/>
        <v>295.03097530424827</v>
      </c>
      <c r="L164" s="61">
        <f t="shared" si="31"/>
        <v>285.36836342757397</v>
      </c>
      <c r="M164" s="61">
        <f t="shared" si="31"/>
        <v>275.89523991559554</v>
      </c>
      <c r="N164" s="61">
        <f t="shared" si="31"/>
        <v>0</v>
      </c>
      <c r="O164" s="61">
        <f t="shared" si="31"/>
        <v>399.90183199015121</v>
      </c>
      <c r="P164" s="3"/>
      <c r="Q164" s="3"/>
      <c r="R164" s="3"/>
      <c r="S164" s="3"/>
      <c r="T164" s="3"/>
      <c r="U164" s="3"/>
      <c r="V164" s="3"/>
      <c r="W164" s="3"/>
      <c r="X164" s="3"/>
      <c r="Y164" s="3"/>
      <c r="Z164" s="3"/>
    </row>
    <row r="165" spans="1:26" ht="12.75" x14ac:dyDescent="0.2">
      <c r="A165" s="3"/>
      <c r="B165" s="3"/>
      <c r="C165" s="3"/>
      <c r="D165" s="3"/>
      <c r="E165" s="3"/>
      <c r="F165" s="28"/>
      <c r="G165" s="3"/>
      <c r="H165" s="3"/>
      <c r="I165" s="3"/>
      <c r="J165" s="3"/>
      <c r="K165" s="3"/>
      <c r="L165" s="3"/>
      <c r="M165" s="3"/>
      <c r="N165" s="3"/>
      <c r="O165" s="3"/>
      <c r="P165" s="3"/>
      <c r="Q165" s="3"/>
      <c r="R165" s="3"/>
      <c r="S165" s="3"/>
      <c r="T165" s="3"/>
      <c r="U165" s="3"/>
      <c r="V165" s="3"/>
      <c r="W165" s="3"/>
      <c r="X165" s="3"/>
      <c r="Y165" s="3"/>
      <c r="Z165" s="3"/>
    </row>
    <row r="166" spans="1:26" ht="12.75" x14ac:dyDescent="0.2">
      <c r="A166" s="4" t="s">
        <v>202</v>
      </c>
      <c r="B166" s="2"/>
      <c r="C166" s="2"/>
      <c r="D166" s="6" t="s">
        <v>174</v>
      </c>
      <c r="E166" s="21"/>
      <c r="F166" s="51">
        <v>0</v>
      </c>
      <c r="G166" s="51">
        <v>1</v>
      </c>
      <c r="H166" s="51">
        <v>2</v>
      </c>
      <c r="I166" s="51">
        <v>3</v>
      </c>
      <c r="J166" s="51">
        <v>4</v>
      </c>
      <c r="K166" s="51">
        <v>5</v>
      </c>
      <c r="L166" s="51">
        <v>6</v>
      </c>
      <c r="M166" s="51">
        <v>7</v>
      </c>
      <c r="N166" s="51">
        <v>8</v>
      </c>
      <c r="O166" s="51">
        <v>9</v>
      </c>
      <c r="P166" s="2"/>
      <c r="Q166" s="2"/>
      <c r="R166" s="2"/>
      <c r="S166" s="2"/>
      <c r="T166" s="2"/>
      <c r="U166" s="2"/>
      <c r="V166" s="2"/>
      <c r="W166" s="2"/>
      <c r="X166" s="2"/>
      <c r="Y166" s="2"/>
      <c r="Z166" s="2"/>
    </row>
    <row r="167" spans="1:26" ht="12.75" x14ac:dyDescent="0.2">
      <c r="A167" s="3"/>
      <c r="B167" s="32" t="s">
        <v>226</v>
      </c>
      <c r="C167" s="33"/>
      <c r="D167" s="33"/>
      <c r="E167" s="33"/>
      <c r="F167" s="33"/>
      <c r="G167" s="33"/>
      <c r="H167" s="33"/>
      <c r="I167" s="33"/>
      <c r="J167" s="33"/>
      <c r="K167" s="33"/>
      <c r="L167" s="33"/>
      <c r="M167" s="33"/>
      <c r="N167" s="33"/>
      <c r="O167" s="33"/>
      <c r="P167" s="3"/>
      <c r="Q167" s="3"/>
      <c r="R167" s="3"/>
      <c r="S167" s="3"/>
      <c r="T167" s="3"/>
      <c r="U167" s="3"/>
      <c r="V167" s="3"/>
      <c r="W167" s="3"/>
      <c r="X167" s="3"/>
      <c r="Y167" s="3"/>
      <c r="Z167" s="3"/>
    </row>
    <row r="168" spans="1:26" ht="12.75" x14ac:dyDescent="0.2">
      <c r="A168" s="3"/>
      <c r="B168" s="33"/>
      <c r="C168" s="34" t="s">
        <v>218</v>
      </c>
      <c r="D168" s="33"/>
      <c r="E168" s="33"/>
      <c r="F168" s="33"/>
      <c r="G168" s="33"/>
      <c r="H168" s="33"/>
      <c r="I168" s="33"/>
      <c r="J168" s="33"/>
      <c r="K168" s="33"/>
      <c r="L168" s="33"/>
      <c r="M168" s="33"/>
      <c r="N168" s="33"/>
      <c r="O168" s="33"/>
      <c r="P168" s="3"/>
      <c r="Q168" s="3"/>
      <c r="R168" s="3"/>
      <c r="S168" s="3"/>
      <c r="T168" s="3"/>
      <c r="U168" s="3"/>
      <c r="V168" s="3"/>
      <c r="W168" s="3"/>
      <c r="X168" s="3"/>
      <c r="Y168" s="3"/>
      <c r="Z168" s="3"/>
    </row>
    <row r="169" spans="1:26" ht="12.75" x14ac:dyDescent="0.2">
      <c r="A169" s="3"/>
      <c r="B169" s="33"/>
      <c r="C169" s="94" t="s">
        <v>272</v>
      </c>
      <c r="D169" s="33"/>
      <c r="E169" s="33"/>
      <c r="F169" s="39">
        <f>IF(G138=0,0,$F39*F$133*$F47*F$128*F$113/1000)</f>
        <v>6.7980000000000009</v>
      </c>
      <c r="G169" s="39">
        <f>IF(H138=0,0,$F39*G$133*$F47*G$128*G$113/1000)</f>
        <v>7.3350420000000005</v>
      </c>
      <c r="H169" s="39">
        <f>IF(I138=0,0,$F39*H$133*$F47*H$128*H$113/1000)</f>
        <v>7.9145103180000005</v>
      </c>
      <c r="I169" s="39">
        <f>IF(J138=0,0,$F39*I$133*$F47*I$128*I$113/1000)</f>
        <v>8.5397566331219998</v>
      </c>
      <c r="J169" s="39">
        <f>IF(K138=0,0,$F39*J$133*$F47*J$128*J$113/1000)</f>
        <v>9.2143974071386374</v>
      </c>
      <c r="K169" s="39">
        <f>IF(L138=0,0,$F39*K$133*$F47*K$128*K$113/1000)</f>
        <v>9.9423348023025895</v>
      </c>
      <c r="L169" s="39">
        <f>IF(M138=0,0,$F39*L$133*$F47*L$128*L$113/1000)</f>
        <v>10.727779251684495</v>
      </c>
      <c r="M169" s="39">
        <f>IF(N138=0,0,$F39*M$133*$F47*M$128*M$113/1000)</f>
        <v>11.57527381256757</v>
      </c>
      <c r="N169" s="39">
        <f>IF(O138=0,0,$F39*N$133*$F47*N$128*N$113/1000)</f>
        <v>12.489720443760406</v>
      </c>
      <c r="O169" s="39">
        <f>IF(P138=0,0,$F39*O$133*$F47*O$128*O$113/1000)</f>
        <v>13.476408358817478</v>
      </c>
      <c r="P169" s="3"/>
      <c r="Q169" s="3"/>
      <c r="R169" s="3"/>
      <c r="S169" s="3"/>
      <c r="T169" s="3"/>
      <c r="U169" s="3"/>
      <c r="V169" s="3"/>
      <c r="W169" s="3"/>
      <c r="X169" s="3"/>
      <c r="Y169" s="3"/>
      <c r="Z169" s="3"/>
    </row>
    <row r="170" spans="1:26" ht="12.75" x14ac:dyDescent="0.2">
      <c r="A170" s="3"/>
      <c r="B170" s="33"/>
      <c r="C170" s="94" t="s">
        <v>273</v>
      </c>
      <c r="D170" s="33"/>
      <c r="E170" s="33"/>
      <c r="F170" s="39">
        <f>IF(G138=0,0,$F40*F$133*$F48*F$128*F$113/1000)</f>
        <v>6.0324000000000009</v>
      </c>
      <c r="G170" s="39">
        <f>IF(H138=0,0,$F40*G$133*$F48*G$128*G$113/1000)</f>
        <v>6.5089595999999998</v>
      </c>
      <c r="H170" s="39">
        <f>IF(I138=0,0,$F40*H$133*$F48*H$128*H$113/1000)</f>
        <v>7.0231674084</v>
      </c>
      <c r="I170" s="39">
        <f>IF(J138=0,0,$F40*I$133*$F48*I$128*I$113/1000)</f>
        <v>7.5779976336635997</v>
      </c>
      <c r="J170" s="39">
        <f>IF(K138=0,0,$F40*J$133*$F48*J$128*J$113/1000)</f>
        <v>8.1766594467230238</v>
      </c>
      <c r="K170" s="39">
        <f>IF(L138=0,0,$F40*K$133*$F48*K$128*K$113/1000)</f>
        <v>8.8226155430141429</v>
      </c>
      <c r="L170" s="39">
        <f>IF(M138=0,0,$F40*L$133*$F48*L$128*L$113/1000)</f>
        <v>9.5196021709122594</v>
      </c>
      <c r="M170" s="39">
        <f>IF(N138=0,0,$F40*M$133*$F48*M$128*M$113/1000)</f>
        <v>10.271650742414327</v>
      </c>
      <c r="N170" s="39">
        <f>IF(O138=0,0,$F40*N$133*$F48*N$128*N$113/1000)</f>
        <v>11.08311115106506</v>
      </c>
      <c r="O170" s="39">
        <f>IF(P138=0,0,$F40*O$133*$F48*O$128*O$113/1000)</f>
        <v>11.9586769319992</v>
      </c>
      <c r="P170" s="3"/>
      <c r="Q170" s="3"/>
      <c r="R170" s="3"/>
      <c r="S170" s="3"/>
      <c r="T170" s="3"/>
      <c r="U170" s="3"/>
      <c r="V170" s="3"/>
      <c r="W170" s="3"/>
      <c r="X170" s="3"/>
      <c r="Y170" s="3"/>
      <c r="Z170" s="3"/>
    </row>
    <row r="171" spans="1:26" ht="12.75" x14ac:dyDescent="0.2">
      <c r="A171" s="3"/>
      <c r="B171" s="33"/>
      <c r="C171" s="27" t="s">
        <v>323</v>
      </c>
      <c r="D171" s="33"/>
      <c r="E171" s="35"/>
      <c r="F171" s="39">
        <f>$F41*F$133*$F49*F$128*F$113/1000</f>
        <v>3.9171000000000005</v>
      </c>
      <c r="G171" s="39">
        <f>$F41*G$133*$F49*G$128*G$113/1000</f>
        <v>4.2265509000000003</v>
      </c>
      <c r="H171" s="39">
        <f>$F41*H$133*$F49*H$128*H$113/1000</f>
        <v>4.5604484211000003</v>
      </c>
      <c r="I171" s="39">
        <f>$F41*I$133*$F49*I$128*I$113/1000</f>
        <v>4.9207238463668999</v>
      </c>
      <c r="J171" s="39">
        <f>$F41*J$133*$F49*J$128*J$113/1000</f>
        <v>5.309461030229885</v>
      </c>
      <c r="K171" s="39">
        <f>$F41*K$133*$F49*K$128*K$113/1000</f>
        <v>5.7289084516180457</v>
      </c>
      <c r="L171" s="39">
        <f>$F41*L$133*$F49*L$128*L$113/1000</f>
        <v>6.1814922192958708</v>
      </c>
      <c r="M171" s="39">
        <f>$F41*M$133*$F49*M$128*M$113/1000</f>
        <v>6.6698301046202451</v>
      </c>
      <c r="N171" s="39">
        <f>$F41*N$133*$F49*N$128*N$113/1000</f>
        <v>7.1967466828852436</v>
      </c>
      <c r="O171" s="39">
        <f>$F41*O$133*$F49*O$128*O$113/1000</f>
        <v>7.7652896708331784</v>
      </c>
      <c r="P171" s="3"/>
      <c r="Q171" s="3"/>
      <c r="R171" s="3"/>
      <c r="S171" s="3"/>
      <c r="T171" s="3"/>
      <c r="U171" s="3"/>
      <c r="V171" s="3"/>
      <c r="W171" s="3"/>
      <c r="X171" s="3"/>
      <c r="Y171" s="3"/>
      <c r="Z171" s="3"/>
    </row>
    <row r="172" spans="1:26" ht="12.75" x14ac:dyDescent="0.2">
      <c r="A172" s="3"/>
      <c r="B172" s="33"/>
      <c r="C172" s="27" t="s">
        <v>331</v>
      </c>
      <c r="D172" s="33"/>
      <c r="E172" s="35"/>
      <c r="F172" s="39">
        <f>IF(F143=0,0,$F42*F$133*$F50*F$128*F$113/1000)</f>
        <v>12.3123</v>
      </c>
      <c r="G172" s="39">
        <f>IF(G143=0,0,$F42*G$133*$F50*G$128*G$113/1000)</f>
        <v>13.2849717</v>
      </c>
      <c r="H172" s="39">
        <f>IF(H143=0,0,$F42*H$133*$F50*H$128*H$113/1000)</f>
        <v>14.334484464299999</v>
      </c>
      <c r="I172" s="39">
        <f>IF(I143=0,0,$F42*I$133*$F50*I$128*I$113/1000)</f>
        <v>15.4669087369797</v>
      </c>
      <c r="J172" s="39">
        <f>IF(J143=0,0,$F42*J$133*$F50*J$128*J$113/1000)</f>
        <v>16.688794527201093</v>
      </c>
      <c r="K172" s="39">
        <f>IF(K143=0,0,$F42*K$133*$F50*K$128*K$113/1000)</f>
        <v>18.007209294849982</v>
      </c>
      <c r="L172" s="39">
        <f>IF(L143=0,0,$F42*L$133*$F50*L$128*L$113/1000)</f>
        <v>19.429778829143132</v>
      </c>
      <c r="M172" s="39">
        <f>IF(M143=0,0,$F42*M$133*$F50*M$128*M$113/1000)</f>
        <v>20.964731356645437</v>
      </c>
      <c r="N172" s="39">
        <f>IF(N143=0,0,$F42*N$133*$F50*N$128*N$113/1000)</f>
        <v>22.620945133820424</v>
      </c>
      <c r="O172" s="39">
        <f>IF(O143=0,0,$F42*O$133*$F50*O$128*O$113/1000)</f>
        <v>24.407999799392236</v>
      </c>
      <c r="P172" s="3"/>
      <c r="Q172" s="3"/>
      <c r="R172" s="3"/>
      <c r="S172" s="3"/>
      <c r="T172" s="3"/>
      <c r="U172" s="3"/>
      <c r="V172" s="3"/>
      <c r="W172" s="3"/>
      <c r="X172" s="3"/>
      <c r="Y172" s="3"/>
      <c r="Z172" s="3"/>
    </row>
    <row r="173" spans="1:26" ht="12.75" x14ac:dyDescent="0.2">
      <c r="A173" s="3"/>
      <c r="B173" s="33"/>
      <c r="C173" s="84" t="s">
        <v>293</v>
      </c>
      <c r="D173" s="33"/>
      <c r="E173" s="35"/>
      <c r="F173" s="104">
        <f>$F43*F$133*$F51*F$128*F$113/1000</f>
        <v>1.4751000000000001</v>
      </c>
      <c r="G173" s="104">
        <f>$F43*G$133*$F51*G$128*G$113/1000</f>
        <v>1.5916329</v>
      </c>
      <c r="H173" s="104">
        <f>$F43*H$133*$F51*H$128*H$113/1000</f>
        <v>1.7173718991</v>
      </c>
      <c r="I173" s="104">
        <f>$F43*I$133*$F51*I$128*I$113/1000</f>
        <v>1.8530442791288999</v>
      </c>
      <c r="J173" s="104">
        <f>$F43*J$133*$F51*J$128*J$113/1000</f>
        <v>1.9994347771800831</v>
      </c>
      <c r="K173" s="104">
        <f>$F43*K$133*$F51*K$128*K$113/1000</f>
        <v>2.1573901245773097</v>
      </c>
      <c r="L173" s="104">
        <f>$F43*L$133*$F51*L$128*L$113/1000</f>
        <v>2.3278239444189173</v>
      </c>
      <c r="M173" s="104">
        <f>$F43*M$133*$F51*M$128*M$113/1000</f>
        <v>2.511722036028011</v>
      </c>
      <c r="N173" s="104">
        <f>$F43*N$133*$F51*N$128*N$113/1000</f>
        <v>2.7101480768742241</v>
      </c>
      <c r="O173" s="104">
        <f>$F43*O$133*$F51*O$128*O$113/1000</f>
        <v>2.9242497749472878</v>
      </c>
      <c r="P173" s="3"/>
      <c r="Q173" s="3"/>
      <c r="R173" s="3"/>
      <c r="S173" s="3"/>
      <c r="T173" s="3"/>
      <c r="U173" s="3"/>
      <c r="V173" s="3"/>
      <c r="W173" s="3"/>
      <c r="X173" s="3"/>
      <c r="Y173" s="3"/>
      <c r="Z173" s="3"/>
    </row>
    <row r="174" spans="1:26" ht="12.75" x14ac:dyDescent="0.2">
      <c r="A174" s="3"/>
      <c r="B174" s="33"/>
      <c r="C174" s="94" t="s">
        <v>278</v>
      </c>
      <c r="D174" s="33"/>
      <c r="E174" s="35"/>
      <c r="F174" s="39">
        <f>$F44*F$133*$F52*F$128*F$113/1000</f>
        <v>17.022500000000004</v>
      </c>
      <c r="G174" s="39">
        <f>$F44*G$133*$F52*G$128*G$113/1000</f>
        <v>18.367277500000004</v>
      </c>
      <c r="H174" s="39">
        <f>$F44*H$133*$F52*H$128*H$113/1000</f>
        <v>19.818292422500001</v>
      </c>
      <c r="I174" s="39">
        <f>$F44*I$133*$F52*I$128*I$113/1000</f>
        <v>21.383937523877503</v>
      </c>
      <c r="J174" s="39">
        <f>$F44*J$133*$F52*J$128*J$113/1000</f>
        <v>23.073268588263826</v>
      </c>
      <c r="K174" s="39">
        <f>$F44*K$133*$F52*K$128*K$113/1000</f>
        <v>24.896056806736667</v>
      </c>
      <c r="L174" s="39">
        <f>$F44*L$133*$F52*L$128*L$113/1000</f>
        <v>26.862845294468862</v>
      </c>
      <c r="M174" s="39">
        <f>$F44*M$133*$F52*M$128*M$113/1000</f>
        <v>28.9850100727319</v>
      </c>
      <c r="N174" s="39">
        <f>$F44*N$133*$F52*N$128*N$113/1000</f>
        <v>31.27482586847772</v>
      </c>
      <c r="O174" s="39">
        <f>$F44*O$133*$F52*O$128*O$113/1000</f>
        <v>33.745537112087462</v>
      </c>
      <c r="P174" s="3"/>
      <c r="Q174" s="3"/>
      <c r="R174" s="3"/>
      <c r="S174" s="3"/>
      <c r="T174" s="3"/>
      <c r="U174" s="3"/>
      <c r="V174" s="3"/>
      <c r="W174" s="3"/>
      <c r="X174" s="3"/>
      <c r="Y174" s="3"/>
      <c r="Z174" s="3"/>
    </row>
    <row r="175" spans="1:26" ht="12.75" x14ac:dyDescent="0.2">
      <c r="A175" s="3"/>
      <c r="B175" s="33"/>
      <c r="C175" s="9" t="s">
        <v>85</v>
      </c>
      <c r="D175" s="33"/>
      <c r="E175" s="35"/>
      <c r="F175" s="39">
        <f>IF(F166&gt;($F$46-1),0,$F45*F$133*$F52*F$128*F$113/1000)</f>
        <v>0</v>
      </c>
      <c r="G175" s="39">
        <f>IF(G166&gt;($F$46-1),0,$F45*G$133*$F52*G$128*G$113/1000)</f>
        <v>0</v>
      </c>
      <c r="H175" s="39">
        <f>IF(H166&gt;($F$46-1),0,$F45*H$133*$F52*H$128*H$113/1000)</f>
        <v>0</v>
      </c>
      <c r="I175" s="39">
        <f>IF(I166&gt;($F$46-1),0,$F45*I$133*$F52*I$128*I$113/1000)</f>
        <v>0</v>
      </c>
      <c r="J175" s="39">
        <f>IF(J166&gt;($F$46-1),0,$F45*J$133*$F52*J$128*J$113/1000)</f>
        <v>0</v>
      </c>
      <c r="K175" s="39">
        <f>IF(K166&gt;($F$46-1),0,$F45*K$133*$F52*K$128*K$113/1000)</f>
        <v>0</v>
      </c>
      <c r="L175" s="39">
        <f>IF(L166&gt;($F$46-1),0,$F45*L$133*$F52*L$128*L$113/1000)</f>
        <v>0</v>
      </c>
      <c r="M175" s="39">
        <f>IF(M166&gt;($F$46-1),0,$F45*M$133*$F52*M$128*M$113/1000)</f>
        <v>0</v>
      </c>
      <c r="N175" s="39">
        <f>IF(N166&gt;($F$46-1),0,$F45*N$133*$F52*N$128*N$113/1000)</f>
        <v>0</v>
      </c>
      <c r="O175" s="39">
        <f>IF(O166&gt;($F$46-1),0,$F45*O$133*$F52*O$128*O$113/1000)</f>
        <v>0</v>
      </c>
      <c r="P175" s="3"/>
      <c r="Q175" s="3"/>
      <c r="R175" s="3"/>
      <c r="S175" s="3"/>
      <c r="T175" s="3"/>
      <c r="U175" s="3"/>
      <c r="V175" s="3"/>
      <c r="W175" s="3"/>
      <c r="X175" s="3"/>
      <c r="Y175" s="3"/>
      <c r="Z175" s="3"/>
    </row>
    <row r="176" spans="1:26" ht="12.75" x14ac:dyDescent="0.2">
      <c r="A176" s="3"/>
      <c r="B176" s="33"/>
      <c r="C176" s="31" t="s">
        <v>207</v>
      </c>
      <c r="D176" s="36"/>
      <c r="E176" s="36"/>
      <c r="F176" s="40">
        <f>SUM(F169:F175)</f>
        <v>47.557400000000008</v>
      </c>
      <c r="G176" s="40">
        <f t="shared" ref="G176:O176" si="32">SUM(G169:G175)</f>
        <v>51.314434599999998</v>
      </c>
      <c r="H176" s="40">
        <f t="shared" si="32"/>
        <v>55.368274933400002</v>
      </c>
      <c r="I176" s="40">
        <f t="shared" si="32"/>
        <v>59.742368653138598</v>
      </c>
      <c r="J176" s="40">
        <f t="shared" si="32"/>
        <v>64.46201577673655</v>
      </c>
      <c r="K176" s="40">
        <f t="shared" si="32"/>
        <v>69.55451502309873</v>
      </c>
      <c r="L176" s="40">
        <f t="shared" si="32"/>
        <v>75.049321709923532</v>
      </c>
      <c r="M176" s="40">
        <f t="shared" si="32"/>
        <v>80.978218125007487</v>
      </c>
      <c r="N176" s="40">
        <f t="shared" si="32"/>
        <v>87.375497356883074</v>
      </c>
      <c r="O176" s="40">
        <f t="shared" si="32"/>
        <v>94.278161648076832</v>
      </c>
      <c r="P176" s="3"/>
      <c r="Q176" s="3"/>
      <c r="R176" s="3"/>
      <c r="S176" s="3"/>
      <c r="T176" s="3"/>
      <c r="U176" s="3"/>
      <c r="V176" s="3"/>
      <c r="W176" s="3"/>
      <c r="X176" s="3"/>
      <c r="Y176" s="3"/>
      <c r="Z176" s="3"/>
    </row>
    <row r="177" spans="1:26" ht="12.75" x14ac:dyDescent="0.2">
      <c r="A177" s="3"/>
      <c r="B177" s="33"/>
      <c r="C177" s="9"/>
      <c r="D177" s="33"/>
      <c r="E177" s="33"/>
      <c r="F177" s="41"/>
      <c r="G177" s="41"/>
      <c r="H177" s="41"/>
      <c r="I177" s="41"/>
      <c r="J177" s="41"/>
      <c r="K177" s="41"/>
      <c r="L177" s="41"/>
      <c r="M177" s="41"/>
      <c r="N177" s="41"/>
      <c r="O177" s="41"/>
      <c r="P177" s="3"/>
      <c r="Q177" s="3"/>
      <c r="R177" s="3"/>
      <c r="S177" s="3"/>
      <c r="T177" s="3"/>
      <c r="U177" s="3"/>
      <c r="V177" s="3"/>
      <c r="W177" s="3"/>
      <c r="X177" s="3"/>
      <c r="Y177" s="3"/>
      <c r="Z177" s="3"/>
    </row>
    <row r="178" spans="1:26" ht="12.75" x14ac:dyDescent="0.2">
      <c r="A178" s="3"/>
      <c r="B178" s="33"/>
      <c r="C178" s="34" t="s">
        <v>215</v>
      </c>
      <c r="D178" s="33"/>
      <c r="E178" s="33"/>
      <c r="F178" s="41"/>
      <c r="G178" s="41"/>
      <c r="H178" s="41"/>
      <c r="I178" s="41"/>
      <c r="J178" s="41"/>
      <c r="K178" s="41"/>
      <c r="L178" s="41"/>
      <c r="M178" s="41"/>
      <c r="N178" s="41"/>
      <c r="O178" s="41"/>
      <c r="P178" s="3"/>
      <c r="Q178" s="3"/>
      <c r="R178" s="3"/>
      <c r="S178" s="3"/>
      <c r="T178" s="3"/>
      <c r="U178" s="3"/>
      <c r="V178" s="3"/>
      <c r="W178" s="3"/>
      <c r="X178" s="3"/>
      <c r="Y178" s="3"/>
      <c r="Z178" s="3"/>
    </row>
    <row r="179" spans="1:26" ht="12.75" x14ac:dyDescent="0.2">
      <c r="A179" s="3"/>
      <c r="B179" s="33"/>
      <c r="C179" s="9" t="s">
        <v>110</v>
      </c>
      <c r="D179" s="33"/>
      <c r="E179" s="33"/>
      <c r="F179" s="104">
        <f t="shared" ref="F179:O179" si="33">$F$56*F$133*F$113/1000</f>
        <v>5.6496000000000004</v>
      </c>
      <c r="G179" s="104">
        <f t="shared" si="33"/>
        <v>6.0959184000000004</v>
      </c>
      <c r="H179" s="104">
        <f t="shared" si="33"/>
        <v>6.5774959535999997</v>
      </c>
      <c r="I179" s="104">
        <f t="shared" si="33"/>
        <v>7.0971181339344005</v>
      </c>
      <c r="J179" s="104">
        <f t="shared" si="33"/>
        <v>7.657790466515217</v>
      </c>
      <c r="K179" s="104">
        <f t="shared" si="33"/>
        <v>8.2627559133699204</v>
      </c>
      <c r="L179" s="104">
        <f t="shared" si="33"/>
        <v>8.9155136305261422</v>
      </c>
      <c r="M179" s="104">
        <f t="shared" si="33"/>
        <v>9.6198392073377068</v>
      </c>
      <c r="N179" s="104">
        <f t="shared" si="33"/>
        <v>10.379806504717386</v>
      </c>
      <c r="O179" s="104">
        <f t="shared" si="33"/>
        <v>11.199811218590058</v>
      </c>
      <c r="P179" s="3"/>
      <c r="Q179" s="3"/>
      <c r="R179" s="3"/>
      <c r="S179" s="3"/>
      <c r="T179" s="3"/>
      <c r="U179" s="3"/>
      <c r="V179" s="3"/>
      <c r="W179" s="3"/>
      <c r="X179" s="3"/>
      <c r="Y179" s="3"/>
      <c r="Z179" s="3"/>
    </row>
    <row r="180" spans="1:26" ht="12.75" x14ac:dyDescent="0.2">
      <c r="A180" s="3"/>
      <c r="B180" s="33"/>
      <c r="C180" s="84" t="s">
        <v>283</v>
      </c>
      <c r="D180" s="33"/>
      <c r="E180" s="33"/>
      <c r="F180" s="107">
        <f t="shared" ref="F180:O180" si="34">($F$58+$F$58*(F$133-1)*($F$57))/1000*F$113</f>
        <v>2.6292000000000004</v>
      </c>
      <c r="G180" s="107">
        <f t="shared" si="34"/>
        <v>2.8369068000000004</v>
      </c>
      <c r="H180" s="107">
        <f t="shared" si="34"/>
        <v>3.0610224372000001</v>
      </c>
      <c r="I180" s="107">
        <f t="shared" si="34"/>
        <v>3.3028432097388003</v>
      </c>
      <c r="J180" s="107">
        <f t="shared" si="34"/>
        <v>3.5637678233081655</v>
      </c>
      <c r="K180" s="107">
        <f t="shared" si="34"/>
        <v>3.8453054813495102</v>
      </c>
      <c r="L180" s="107">
        <f t="shared" si="34"/>
        <v>4.1490846143761217</v>
      </c>
      <c r="M180" s="107">
        <f t="shared" si="34"/>
        <v>4.4768622989118345</v>
      </c>
      <c r="N180" s="107">
        <f t="shared" si="34"/>
        <v>4.8305344205258693</v>
      </c>
      <c r="O180" s="107">
        <f t="shared" si="34"/>
        <v>5.2121466397474139</v>
      </c>
      <c r="P180" s="3"/>
      <c r="Q180" s="3"/>
      <c r="R180" s="3"/>
      <c r="S180" s="3"/>
      <c r="T180" s="3"/>
      <c r="U180" s="3"/>
      <c r="V180" s="3"/>
      <c r="W180" s="3"/>
      <c r="X180" s="3"/>
      <c r="Y180" s="3"/>
      <c r="Z180" s="3"/>
    </row>
    <row r="181" spans="1:26" ht="12.75" x14ac:dyDescent="0.2">
      <c r="A181" s="3"/>
      <c r="B181" s="33"/>
      <c r="C181" s="31" t="s">
        <v>216</v>
      </c>
      <c r="D181" s="36"/>
      <c r="E181" s="36"/>
      <c r="F181" s="40">
        <f t="shared" ref="F181:O181" si="35">SUM(F179:F180)</f>
        <v>8.2788000000000004</v>
      </c>
      <c r="G181" s="40">
        <f t="shared" si="35"/>
        <v>8.9328251999999999</v>
      </c>
      <c r="H181" s="40">
        <f t="shared" si="35"/>
        <v>9.6385183907999998</v>
      </c>
      <c r="I181" s="40">
        <f t="shared" si="35"/>
        <v>10.399961343673201</v>
      </c>
      <c r="J181" s="40">
        <f t="shared" si="35"/>
        <v>11.221558289823383</v>
      </c>
      <c r="K181" s="40">
        <f t="shared" si="35"/>
        <v>12.108061394719432</v>
      </c>
      <c r="L181" s="40">
        <f t="shared" si="35"/>
        <v>13.064598244902264</v>
      </c>
      <c r="M181" s="40">
        <f t="shared" si="35"/>
        <v>14.096701506249541</v>
      </c>
      <c r="N181" s="40">
        <f t="shared" si="35"/>
        <v>15.210340925243255</v>
      </c>
      <c r="O181" s="40">
        <f t="shared" si="35"/>
        <v>16.411957858337473</v>
      </c>
      <c r="P181" s="3"/>
      <c r="Q181" s="3"/>
      <c r="R181" s="3"/>
      <c r="S181" s="3"/>
      <c r="T181" s="3"/>
      <c r="U181" s="3"/>
      <c r="V181" s="3"/>
      <c r="W181" s="3"/>
      <c r="X181" s="3"/>
      <c r="Y181" s="3"/>
      <c r="Z181" s="3"/>
    </row>
    <row r="182" spans="1:26" ht="12.75" x14ac:dyDescent="0.2">
      <c r="A182" s="3"/>
      <c r="B182" s="33"/>
      <c r="C182" s="35"/>
      <c r="D182" s="33"/>
      <c r="E182" s="33"/>
      <c r="F182" s="41"/>
      <c r="G182" s="41"/>
      <c r="H182" s="41"/>
      <c r="I182" s="41"/>
      <c r="J182" s="41"/>
      <c r="K182" s="41"/>
      <c r="L182" s="41"/>
      <c r="M182" s="41"/>
      <c r="N182" s="41"/>
      <c r="O182" s="41"/>
      <c r="P182" s="3"/>
      <c r="Q182" s="3"/>
      <c r="R182" s="3"/>
      <c r="S182" s="3"/>
      <c r="T182" s="3"/>
      <c r="U182" s="3"/>
      <c r="V182" s="3"/>
      <c r="W182" s="3"/>
      <c r="X182" s="3"/>
      <c r="Y182" s="3"/>
      <c r="Z182" s="3"/>
    </row>
    <row r="183" spans="1:26" ht="12.75" x14ac:dyDescent="0.2">
      <c r="A183" s="3"/>
      <c r="B183" s="33"/>
      <c r="C183" s="34" t="s">
        <v>219</v>
      </c>
      <c r="D183" s="33"/>
      <c r="E183" s="33"/>
      <c r="F183" s="41"/>
      <c r="G183" s="41"/>
      <c r="H183" s="41"/>
      <c r="I183" s="41"/>
      <c r="J183" s="41"/>
      <c r="K183" s="41"/>
      <c r="L183" s="41"/>
      <c r="M183" s="41"/>
      <c r="N183" s="41"/>
      <c r="O183" s="41"/>
      <c r="P183" s="3"/>
      <c r="Q183" s="3"/>
      <c r="R183" s="3"/>
      <c r="S183" s="3"/>
      <c r="T183" s="3"/>
      <c r="U183" s="3"/>
      <c r="V183" s="3"/>
      <c r="W183" s="3"/>
      <c r="X183" s="3"/>
      <c r="Y183" s="3"/>
      <c r="Z183" s="3"/>
    </row>
    <row r="184" spans="1:26" ht="12.75" x14ac:dyDescent="0.2">
      <c r="A184" s="3"/>
      <c r="B184" s="33"/>
      <c r="C184" s="111" t="s">
        <v>312</v>
      </c>
      <c r="D184" s="33"/>
      <c r="E184" s="33"/>
      <c r="F184" s="39">
        <f>$F$61*$F$69*F$133/1000*F$138*F$113*(1+$F$75)</f>
        <v>4.5639000000000003</v>
      </c>
      <c r="G184" s="39">
        <f t="shared" ref="G184:O184" si="36">$F$61*$F$69*G$133/1000*G$138*G$113*(1+$F$75)</f>
        <v>4.9244481000000002</v>
      </c>
      <c r="H184" s="39">
        <f t="shared" si="36"/>
        <v>5.3134794998999997</v>
      </c>
      <c r="I184" s="39">
        <f t="shared" si="36"/>
        <v>5.7332443803921</v>
      </c>
      <c r="J184" s="39">
        <f t="shared" si="36"/>
        <v>6.1861706864430754</v>
      </c>
      <c r="K184" s="39">
        <f t="shared" si="36"/>
        <v>6.6748781706720779</v>
      </c>
      <c r="L184" s="39">
        <f t="shared" si="36"/>
        <v>7.2021935461551729</v>
      </c>
      <c r="M184" s="39">
        <f t="shared" si="36"/>
        <v>7.7711668363014308</v>
      </c>
      <c r="N184" s="39">
        <f t="shared" si="36"/>
        <v>8.3850890163692426</v>
      </c>
      <c r="O184" s="39">
        <f t="shared" si="36"/>
        <v>9.0475110486624128</v>
      </c>
      <c r="P184" s="3"/>
      <c r="Q184" s="3"/>
      <c r="R184" s="3"/>
      <c r="S184" s="3"/>
      <c r="T184" s="3"/>
      <c r="U184" s="3"/>
      <c r="V184" s="3"/>
      <c r="W184" s="3"/>
      <c r="X184" s="3"/>
      <c r="Y184" s="3"/>
      <c r="Z184" s="3"/>
    </row>
    <row r="185" spans="1:26" ht="12.75" x14ac:dyDescent="0.2">
      <c r="A185" s="3"/>
      <c r="B185" s="33"/>
      <c r="C185" s="111" t="s">
        <v>313</v>
      </c>
      <c r="D185" s="33"/>
      <c r="E185" s="33"/>
      <c r="F185" s="39">
        <f>IF(F138=0,$F62*F$133*$F70/1000*F$113*F$130,0)*(1+$F$75)</f>
        <v>0</v>
      </c>
      <c r="G185" s="39">
        <f>IF(G138=0,$F62*G$133*$F70/1000*G$113*G$130,0)*(1+$F$75)</f>
        <v>0</v>
      </c>
      <c r="H185" s="39">
        <f>IF(H138=0,$F62*H$133*$F70/1000*H$113*H$130,0)*(1+$F$75)</f>
        <v>0</v>
      </c>
      <c r="I185" s="39">
        <f>IF(I138=0,$F62*I$133*$F70/1000*I$113*I$130,0)*(1+$F$75)</f>
        <v>0</v>
      </c>
      <c r="J185" s="39">
        <f>IF(J138=0,$F62*J$133*$F70/1000*J$113*J$130,0)*(1+$F$75)</f>
        <v>0</v>
      </c>
      <c r="K185" s="39">
        <f>IF(K138=0,$F62*K$133*$F70/1000*K$113*K$130,0)*(1+$F$75)</f>
        <v>0</v>
      </c>
      <c r="L185" s="39">
        <f>IF(L138=0,$F62*L$133*$F70/1000*L$113*L$130,0)*(1+$F$75)</f>
        <v>0</v>
      </c>
      <c r="M185" s="39">
        <f>IF(M138=0,$F62*M$133*$F70/1000*M$113*M$130,0)*(1+$F$75)</f>
        <v>0</v>
      </c>
      <c r="N185" s="39">
        <f>IF(N138=0,$F62*N$133*$F70/1000*N$113*N$130,0)*(1+$F$75)</f>
        <v>0</v>
      </c>
      <c r="O185" s="39">
        <f>IF(O138=0,$F62*O$133*$F70/1000*O$113*O$130,0)*(1+$F$75)</f>
        <v>0</v>
      </c>
      <c r="P185" s="3"/>
      <c r="Q185" s="3"/>
      <c r="R185" s="3"/>
      <c r="S185" s="3"/>
      <c r="T185" s="3"/>
      <c r="U185" s="3"/>
      <c r="V185" s="3"/>
      <c r="W185" s="3"/>
      <c r="X185" s="3"/>
      <c r="Y185" s="3"/>
      <c r="Z185" s="3"/>
    </row>
    <row r="186" spans="1:26" ht="12.75" x14ac:dyDescent="0.2">
      <c r="A186" s="3"/>
      <c r="B186" s="33"/>
      <c r="C186" s="9" t="s">
        <v>102</v>
      </c>
      <c r="D186" s="33"/>
      <c r="E186" s="33"/>
      <c r="F186" s="39">
        <f>$F63*F$133*$F71/1000*F$115*(1+$F$75)*F$120</f>
        <v>0</v>
      </c>
      <c r="G186" s="39">
        <f>$F63*G$133*$F71/1000*G$115*(1+$F$75)*G$120</f>
        <v>0</v>
      </c>
      <c r="H186" s="39">
        <f>$F63*H$133*$F71/1000*H$115*(1+$F$75)*H$120</f>
        <v>0</v>
      </c>
      <c r="I186" s="39">
        <f>$F63*I$133*$F71/1000*I$115*(1+$F$75)*I$120</f>
        <v>0</v>
      </c>
      <c r="J186" s="39">
        <f>$F63*J$133*$F71/1000*J$115*(1+$F$75)*J$120</f>
        <v>0</v>
      </c>
      <c r="K186" s="39">
        <f>$F63*K$133*$F71/1000*K$115*(1+$F$75)*K$120</f>
        <v>0</v>
      </c>
      <c r="L186" s="39">
        <f>$F63*L$133*$F71/1000*L$115*(1+$F$75)*L$120</f>
        <v>0</v>
      </c>
      <c r="M186" s="39">
        <f>$F63*M$133*$F71/1000*M$115*(1+$F$75)*M$120</f>
        <v>0</v>
      </c>
      <c r="N186" s="39">
        <f>$F63*N$133*$F71/1000*N$115*(1+$F$75)*N$120</f>
        <v>0</v>
      </c>
      <c r="O186" s="39">
        <f>$F63*O$133*$F71/1000*O$115*(1+$F$75)*O$120</f>
        <v>0</v>
      </c>
      <c r="P186" s="3"/>
      <c r="Q186" s="3"/>
      <c r="R186" s="3"/>
      <c r="S186" s="3"/>
      <c r="T186" s="3"/>
      <c r="U186" s="3"/>
      <c r="V186" s="3"/>
      <c r="W186" s="3"/>
      <c r="X186" s="3"/>
      <c r="Y186" s="3"/>
      <c r="Z186" s="3"/>
    </row>
    <row r="187" spans="1:26" ht="12.75" x14ac:dyDescent="0.2">
      <c r="A187" s="3"/>
      <c r="B187" s="33"/>
      <c r="C187" s="84" t="s">
        <v>334</v>
      </c>
      <c r="D187" s="33"/>
      <c r="E187" s="33"/>
      <c r="F187" s="39">
        <f>$F64*F$133*$F72/1000*F$115*(1+$F$75)*F$120</f>
        <v>0</v>
      </c>
      <c r="G187" s="39">
        <f>$F64*G$133*$F72/1000*G$115*(1+$F$75)*G$120</f>
        <v>0</v>
      </c>
      <c r="H187" s="39">
        <f>$F64*H$133*$F72/1000*H$115*(1+$F$75)*H$120</f>
        <v>0</v>
      </c>
      <c r="I187" s="39">
        <f>$F64*I$133*$F72/1000*I$115*(1+$F$75)*I$120</f>
        <v>0</v>
      </c>
      <c r="J187" s="39">
        <f>$F64*J$133*$F72/1000*J$115*(1+$F$75)*J$120</f>
        <v>0</v>
      </c>
      <c r="K187" s="39">
        <f>$F64*K$133*$F72/1000*K$115*(1+$F$75)*K$120</f>
        <v>0</v>
      </c>
      <c r="L187" s="39">
        <f>$F64*L$133*$F72/1000*L$115*(1+$F$75)*L$120</f>
        <v>0</v>
      </c>
      <c r="M187" s="39">
        <f>$F64*M$133*$F72/1000*M$115*(1+$F$75)*M$120</f>
        <v>0</v>
      </c>
      <c r="N187" s="39">
        <f>$F64*N$133*$F72/1000*N$115*(1+$F$75)*N$120</f>
        <v>0</v>
      </c>
      <c r="O187" s="39">
        <f>$F64*O$133*$F72/1000*O$115*(1+$F$75)*O$120</f>
        <v>0</v>
      </c>
      <c r="P187" s="3"/>
      <c r="Q187" s="3"/>
      <c r="R187" s="3"/>
      <c r="S187" s="3"/>
      <c r="T187" s="3"/>
      <c r="U187" s="3"/>
      <c r="V187" s="3"/>
      <c r="W187" s="3"/>
      <c r="X187" s="3"/>
      <c r="Y187" s="3"/>
      <c r="Z187" s="3"/>
    </row>
    <row r="188" spans="1:26" ht="12.75" x14ac:dyDescent="0.2">
      <c r="A188" s="3"/>
      <c r="B188" s="33"/>
      <c r="C188" s="9" t="s">
        <v>105</v>
      </c>
      <c r="D188" s="33"/>
      <c r="E188" s="33"/>
      <c r="F188" s="39">
        <f>$F65*F$133*$F73/1000*F$115*(1+$F$75)*F$120</f>
        <v>0</v>
      </c>
      <c r="G188" s="39">
        <f>$F65*G$133*$F73/1000*G$115*(1+$F$75)*G$120</f>
        <v>0</v>
      </c>
      <c r="H188" s="39">
        <f>$F65*H$133*$F73/1000*H$115*(1+$F$75)*H$120</f>
        <v>0</v>
      </c>
      <c r="I188" s="39">
        <f>$F65*I$133*$F73/1000*I$115*(1+$F$75)*I$120</f>
        <v>0</v>
      </c>
      <c r="J188" s="39">
        <f>$F65*J$133*$F73/1000*J$115*(1+$F$75)*J$120</f>
        <v>0</v>
      </c>
      <c r="K188" s="39">
        <f>$F65*K$133*$F73/1000*K$115*(1+$F$75)*K$120</f>
        <v>0</v>
      </c>
      <c r="L188" s="39">
        <f>$F65*L$133*$F73/1000*L$115*(1+$F$75)*L$120</f>
        <v>0</v>
      </c>
      <c r="M188" s="39">
        <f>$F65*M$133*$F73/1000*M$115*(1+$F$75)*M$120</f>
        <v>0</v>
      </c>
      <c r="N188" s="39">
        <f>$F65*N$133*$F73/1000*N$115*(1+$F$75)*N$120</f>
        <v>0</v>
      </c>
      <c r="O188" s="39">
        <f>$F65*O$133*$F73/1000*O$115*(1+$F$75)*O$120</f>
        <v>0</v>
      </c>
      <c r="P188" s="3"/>
      <c r="Q188" s="3"/>
      <c r="R188" s="3"/>
      <c r="S188" s="3"/>
      <c r="T188" s="3"/>
      <c r="U188" s="3"/>
      <c r="V188" s="3"/>
      <c r="W188" s="3"/>
      <c r="X188" s="3"/>
      <c r="Y188" s="3"/>
      <c r="Z188" s="3"/>
    </row>
    <row r="189" spans="1:26" ht="12.75" x14ac:dyDescent="0.2">
      <c r="A189" s="3"/>
      <c r="B189" s="33"/>
      <c r="C189" s="36" t="s">
        <v>217</v>
      </c>
      <c r="D189" s="36"/>
      <c r="E189" s="36"/>
      <c r="F189" s="48">
        <f t="shared" ref="F189:O189" si="37">SUM(F184:F188)</f>
        <v>4.5639000000000003</v>
      </c>
      <c r="G189" s="48">
        <f t="shared" si="37"/>
        <v>4.9244481000000002</v>
      </c>
      <c r="H189" s="48">
        <f t="shared" si="37"/>
        <v>5.3134794998999997</v>
      </c>
      <c r="I189" s="48">
        <f t="shared" si="37"/>
        <v>5.7332443803921</v>
      </c>
      <c r="J189" s="48">
        <f t="shared" si="37"/>
        <v>6.1861706864430754</v>
      </c>
      <c r="K189" s="48">
        <f t="shared" si="37"/>
        <v>6.6748781706720779</v>
      </c>
      <c r="L189" s="48">
        <f t="shared" si="37"/>
        <v>7.2021935461551729</v>
      </c>
      <c r="M189" s="48">
        <f t="shared" si="37"/>
        <v>7.7711668363014308</v>
      </c>
      <c r="N189" s="48">
        <f t="shared" si="37"/>
        <v>8.3850890163692426</v>
      </c>
      <c r="O189" s="48">
        <f t="shared" si="37"/>
        <v>9.0475110486624128</v>
      </c>
      <c r="P189" s="3"/>
      <c r="Q189" s="3"/>
      <c r="R189" s="3"/>
      <c r="S189" s="3"/>
      <c r="T189" s="3"/>
      <c r="U189" s="3"/>
      <c r="V189" s="3"/>
      <c r="W189" s="3"/>
      <c r="X189" s="3"/>
      <c r="Y189" s="3"/>
      <c r="Z189" s="3"/>
    </row>
    <row r="190" spans="1:26" ht="12.75" x14ac:dyDescent="0.2">
      <c r="A190" s="3"/>
      <c r="B190" s="33"/>
      <c r="C190" s="62"/>
      <c r="D190" s="62"/>
      <c r="E190" s="62"/>
      <c r="F190" s="103"/>
      <c r="G190" s="103"/>
      <c r="H190" s="103"/>
      <c r="I190" s="103"/>
      <c r="J190" s="103"/>
      <c r="K190" s="103"/>
      <c r="L190" s="103"/>
      <c r="M190" s="103"/>
      <c r="N190" s="103"/>
      <c r="O190" s="103"/>
      <c r="P190" s="3"/>
      <c r="Q190" s="3"/>
      <c r="R190" s="3"/>
      <c r="S190" s="3"/>
      <c r="T190" s="3"/>
      <c r="U190" s="3"/>
      <c r="V190" s="3"/>
      <c r="W190" s="3"/>
      <c r="X190" s="3"/>
      <c r="Y190" s="3"/>
      <c r="Z190" s="3"/>
    </row>
    <row r="191" spans="1:26" ht="12.75" x14ac:dyDescent="0.2">
      <c r="A191" s="3"/>
      <c r="B191" s="33"/>
      <c r="C191" s="34" t="s">
        <v>287</v>
      </c>
      <c r="D191" s="62"/>
      <c r="E191" s="62"/>
      <c r="F191" s="103"/>
      <c r="G191" s="103"/>
      <c r="H191" s="103"/>
      <c r="I191" s="103"/>
      <c r="J191" s="103"/>
      <c r="K191" s="103"/>
      <c r="L191" s="103"/>
      <c r="M191" s="103"/>
      <c r="N191" s="103"/>
      <c r="O191" s="103"/>
      <c r="P191" s="3"/>
      <c r="Q191" s="3"/>
      <c r="R191" s="3"/>
      <c r="S191" s="3"/>
      <c r="T191" s="3"/>
      <c r="U191" s="3"/>
      <c r="V191" s="3"/>
      <c r="W191" s="3"/>
      <c r="X191" s="3"/>
      <c r="Y191" s="3"/>
      <c r="Z191" s="3"/>
    </row>
    <row r="192" spans="1:26" ht="12.75" x14ac:dyDescent="0.2">
      <c r="A192" s="3"/>
      <c r="B192" s="33"/>
      <c r="C192" s="27" t="s">
        <v>282</v>
      </c>
      <c r="D192" s="33"/>
      <c r="E192" s="33"/>
      <c r="F192" s="106">
        <f>$F78*F$113/1000*F$146</f>
        <v>15.1526817</v>
      </c>
      <c r="G192" s="106">
        <f>$F78*G$113/1000*G$146</f>
        <v>16.524921413013001</v>
      </c>
      <c r="H192" s="106">
        <f>$F78*H$113/1000*H$146</f>
        <v>18.021297283287861</v>
      </c>
      <c r="I192" s="106">
        <f>$F78*I$113/1000*I$146</f>
        <v>19.653028393906148</v>
      </c>
      <c r="J192" s="106">
        <f>$F78*J$113/1000*J$146</f>
        <v>21.432346948323438</v>
      </c>
      <c r="K192" s="106">
        <f>$F78*K$113/1000*K$146</f>
        <v>23.372589693401206</v>
      </c>
      <c r="L192" s="106">
        <f>$F78*L$113/1000*L$146</f>
        <v>25.488297587253953</v>
      </c>
      <c r="M192" s="106">
        <f>$F78*M$113/1000*M$146</f>
        <v>27.795324455053024</v>
      </c>
      <c r="N192" s="106">
        <f>$F78*N$113/1000*N$146</f>
        <v>30.310955442879507</v>
      </c>
      <c r="O192" s="106">
        <f>$F78*O$113/1000*O$146</f>
        <v>33.054036152698501</v>
      </c>
      <c r="P192" s="3"/>
      <c r="Q192" s="3"/>
      <c r="R192" s="3"/>
      <c r="S192" s="3"/>
      <c r="T192" s="3"/>
      <c r="U192" s="3"/>
      <c r="V192" s="3"/>
      <c r="W192" s="3"/>
      <c r="X192" s="3"/>
      <c r="Y192" s="3"/>
      <c r="Z192" s="3"/>
    </row>
    <row r="193" spans="1:26" ht="12.75" x14ac:dyDescent="0.2">
      <c r="A193" s="3"/>
      <c r="B193" s="33"/>
      <c r="C193" s="27" t="s">
        <v>284</v>
      </c>
      <c r="D193" s="33"/>
      <c r="E193" s="33"/>
      <c r="F193" s="107">
        <f>$F79*F$113/1000*(F$146+F$145)</f>
        <v>2.0064187000000002</v>
      </c>
      <c r="G193" s="107">
        <f>$F79*G$113/1000*(G$146+G$145)</f>
        <v>2.1865750350730004</v>
      </c>
      <c r="H193" s="107">
        <f>$F79*H$113/1000*(H$146+H$145)</f>
        <v>2.382907607472204</v>
      </c>
      <c r="I193" s="107">
        <f>$F79*I$113/1000*(I$146+I$145)</f>
        <v>2.5968688815471337</v>
      </c>
      <c r="J193" s="107">
        <f>$F79*J$113/1000*(J$146+J$145)</f>
        <v>2.8300417384212513</v>
      </c>
      <c r="K193" s="107">
        <f>$F79*K$113/1000*(K$146+K$145)</f>
        <v>3.0841511861140942</v>
      </c>
      <c r="L193" s="107">
        <f>$F79*L$113/1000*(L$146+L$145)</f>
        <v>3.3610771211152795</v>
      </c>
      <c r="M193" s="107">
        <f>$F79*M$113/1000*(M$146+M$145)</f>
        <v>3.6628682358202194</v>
      </c>
      <c r="N193" s="107">
        <f>$F79*N$113/1000*(N$146+N$145)</f>
        <v>3.9917571747145177</v>
      </c>
      <c r="O193" s="107">
        <f>$F79*O$113/1000*(O$146+O$145)</f>
        <v>4.3501770514321345</v>
      </c>
      <c r="P193" s="3"/>
      <c r="Q193" s="3"/>
      <c r="R193" s="3"/>
      <c r="S193" s="3"/>
      <c r="T193" s="3"/>
      <c r="U193" s="3"/>
      <c r="V193" s="3"/>
      <c r="W193" s="3"/>
      <c r="X193" s="3"/>
      <c r="Y193" s="3"/>
      <c r="Z193" s="3"/>
    </row>
    <row r="194" spans="1:26" ht="12.75" x14ac:dyDescent="0.2">
      <c r="A194" s="3"/>
      <c r="B194" s="33"/>
      <c r="C194" s="31" t="s">
        <v>289</v>
      </c>
      <c r="D194" s="36"/>
      <c r="E194" s="36"/>
      <c r="F194" s="40">
        <f t="shared" ref="F194:O194" si="38">SUM(F192:F193)</f>
        <v>17.1591004</v>
      </c>
      <c r="G194" s="40">
        <f t="shared" si="38"/>
        <v>18.711496448086002</v>
      </c>
      <c r="H194" s="40">
        <f t="shared" si="38"/>
        <v>20.404204890760067</v>
      </c>
      <c r="I194" s="40">
        <f t="shared" si="38"/>
        <v>22.249897275453282</v>
      </c>
      <c r="J194" s="40">
        <f t="shared" si="38"/>
        <v>24.262388686744689</v>
      </c>
      <c r="K194" s="40">
        <f t="shared" si="38"/>
        <v>26.456740879515301</v>
      </c>
      <c r="L194" s="40">
        <f t="shared" si="38"/>
        <v>28.849374708369233</v>
      </c>
      <c r="M194" s="40">
        <f t="shared" si="38"/>
        <v>31.458192690873243</v>
      </c>
      <c r="N194" s="40">
        <f t="shared" si="38"/>
        <v>34.302712617594025</v>
      </c>
      <c r="O194" s="40">
        <f t="shared" si="38"/>
        <v>37.404213204130635</v>
      </c>
      <c r="P194" s="3"/>
      <c r="Q194" s="3"/>
      <c r="R194" s="3"/>
      <c r="S194" s="3"/>
      <c r="T194" s="3"/>
      <c r="U194" s="3"/>
      <c r="V194" s="3"/>
      <c r="W194" s="3"/>
      <c r="X194" s="3"/>
      <c r="Y194" s="3"/>
      <c r="Z194" s="3"/>
    </row>
    <row r="195" spans="1:26" ht="12.75" x14ac:dyDescent="0.2">
      <c r="A195" s="3"/>
      <c r="B195" s="3"/>
      <c r="C195" s="3"/>
      <c r="D195" s="3"/>
      <c r="E195" s="3"/>
      <c r="F195" s="28"/>
      <c r="G195" s="3"/>
      <c r="H195" s="3"/>
      <c r="I195" s="3"/>
      <c r="J195" s="3"/>
      <c r="K195" s="3"/>
      <c r="L195" s="3"/>
      <c r="M195" s="3"/>
      <c r="N195" s="3"/>
      <c r="O195" s="3"/>
      <c r="P195" s="3"/>
      <c r="Q195" s="3"/>
      <c r="R195" s="3"/>
      <c r="S195" s="3"/>
      <c r="T195" s="3"/>
      <c r="U195" s="3"/>
      <c r="V195" s="3"/>
      <c r="W195" s="3"/>
      <c r="X195" s="3"/>
      <c r="Y195" s="3"/>
      <c r="Z195" s="3"/>
    </row>
    <row r="196" spans="1:26" ht="12.75" x14ac:dyDescent="0.2">
      <c r="A196" s="3"/>
      <c r="B196" s="32" t="s">
        <v>345</v>
      </c>
      <c r="C196" s="33"/>
      <c r="D196" s="33"/>
      <c r="E196" s="33"/>
      <c r="F196" s="33"/>
      <c r="G196" s="33"/>
      <c r="H196" s="33"/>
      <c r="I196" s="33"/>
      <c r="J196" s="33"/>
      <c r="K196" s="33"/>
      <c r="L196" s="33"/>
      <c r="M196" s="33"/>
      <c r="N196" s="33"/>
      <c r="O196" s="33"/>
      <c r="P196" s="3"/>
      <c r="Q196" s="3"/>
      <c r="R196" s="3"/>
      <c r="S196" s="3"/>
      <c r="T196" s="3"/>
      <c r="U196" s="3"/>
      <c r="V196" s="3"/>
      <c r="W196" s="3"/>
      <c r="X196" s="3"/>
      <c r="Y196" s="3"/>
      <c r="Z196" s="3"/>
    </row>
    <row r="197" spans="1:26" ht="12.75" x14ac:dyDescent="0.2">
      <c r="A197" s="3"/>
      <c r="B197" s="33"/>
      <c r="C197" s="34" t="s">
        <v>218</v>
      </c>
      <c r="D197" s="33"/>
      <c r="E197" s="33"/>
      <c r="F197" s="33"/>
      <c r="G197" s="33"/>
      <c r="H197" s="33"/>
      <c r="I197" s="33"/>
      <c r="J197" s="33"/>
      <c r="K197" s="33"/>
      <c r="L197" s="33"/>
      <c r="M197" s="33"/>
      <c r="N197" s="33"/>
      <c r="O197" s="33"/>
      <c r="P197" s="3"/>
      <c r="Q197" s="3"/>
      <c r="R197" s="3"/>
      <c r="S197" s="3"/>
      <c r="T197" s="3"/>
      <c r="U197" s="3"/>
      <c r="V197" s="3"/>
      <c r="W197" s="3"/>
      <c r="X197" s="3"/>
      <c r="Y197" s="3"/>
      <c r="Z197" s="3"/>
    </row>
    <row r="198" spans="1:26" ht="12.75" x14ac:dyDescent="0.2">
      <c r="A198" s="3"/>
      <c r="B198" s="33"/>
      <c r="C198" s="94" t="s">
        <v>272</v>
      </c>
      <c r="D198" s="33"/>
      <c r="E198" s="33"/>
      <c r="F198" s="39">
        <f>IF(G139=0,0,$I39*F$134*$I47*F$128*F$113/1000)</f>
        <v>6.7980000000000009</v>
      </c>
      <c r="G198" s="39">
        <f>IF(H139=0,0,$I39*G$134*$I47*G$128*G$113/1000)</f>
        <v>7.3350420000000005</v>
      </c>
      <c r="H198" s="39">
        <f>IF(I139=0,0,$I39*H$134*$I47*H$128*H$113/1000)</f>
        <v>7.9145103180000005</v>
      </c>
      <c r="I198" s="81">
        <f>IF(J139=0,0,$I39*I$134*$I47*I$128*I$113/1000)</f>
        <v>0</v>
      </c>
      <c r="J198" s="39">
        <f>IF(K139=0,0,$I39*J$134*$I47*J$128*J$113/1000)</f>
        <v>9.2143974071386374</v>
      </c>
      <c r="K198" s="39">
        <f>IF(L139=0,0,$I39*K$134*$I47*K$128*K$113/1000)</f>
        <v>9.9423348023025895</v>
      </c>
      <c r="L198" s="39">
        <f>IF(M139=0,0,$I39*L$134*$I47*L$128*L$113/1000)</f>
        <v>10.727779251684495</v>
      </c>
      <c r="M198" s="39">
        <f>IF(N139=0,0,$I39*M$134*$I47*M$128*M$113/1000)</f>
        <v>0</v>
      </c>
      <c r="N198" s="39">
        <f>IF(O139=0,0,$I39*N$134*$I47*N$128*N$113/1000)</f>
        <v>12.489720443760406</v>
      </c>
      <c r="O198" s="39">
        <f>IF(P139=0,0,$I39*O$134*$I47*O$128*O$113/1000)</f>
        <v>13.476408358817478</v>
      </c>
      <c r="P198" s="3"/>
      <c r="Q198" s="3"/>
      <c r="R198" s="3"/>
      <c r="S198" s="3"/>
      <c r="T198" s="3"/>
      <c r="U198" s="3"/>
      <c r="V198" s="3"/>
      <c r="W198" s="3"/>
      <c r="X198" s="3"/>
      <c r="Y198" s="3"/>
      <c r="Z198" s="3"/>
    </row>
    <row r="199" spans="1:26" ht="12.75" x14ac:dyDescent="0.2">
      <c r="A199" s="3"/>
      <c r="B199" s="33"/>
      <c r="C199" s="94" t="s">
        <v>273</v>
      </c>
      <c r="D199" s="33"/>
      <c r="E199" s="33"/>
      <c r="F199" s="39">
        <f>IF(G139=0,0,$I40*F$134*$I48*F$128*F$113/1000)</f>
        <v>9.0486000000000004</v>
      </c>
      <c r="G199" s="39">
        <f>IF(H139=0,0,$I40*G$134*$I48*G$128*G$113/1000)</f>
        <v>9.7634393999999993</v>
      </c>
      <c r="H199" s="39">
        <f>IF(I139=0,0,$I40*H$134*$I48*H$128*H$113/1000)</f>
        <v>10.534751112599999</v>
      </c>
      <c r="I199" s="81">
        <f>IF(J139=0,0,$I40*I$134*$I48*I$128*I$113/1000)</f>
        <v>0</v>
      </c>
      <c r="J199" s="39">
        <f>IF(K139=0,0,$I40*J$134*$I48*J$128*J$113/1000)</f>
        <v>12.264989170084537</v>
      </c>
      <c r="K199" s="39">
        <f>IF(L139=0,0,$I40*K$134*$I48*K$128*K$113/1000)</f>
        <v>13.233923314521213</v>
      </c>
      <c r="L199" s="39">
        <f>IF(M139=0,0,$I40*L$134*$I48*L$128*L$113/1000)</f>
        <v>14.27940325636839</v>
      </c>
      <c r="M199" s="39">
        <f>IF(N139=0,0,$I40*M$134*$I48*M$128*M$113/1000)</f>
        <v>0</v>
      </c>
      <c r="N199" s="39">
        <f>IF(O139=0,0,$I40*N$134*$I48*N$128*N$113/1000)</f>
        <v>16.624666726597589</v>
      </c>
      <c r="O199" s="39">
        <f>IF(P139=0,0,$I40*O$134*$I48*O$128*O$113/1000)</f>
        <v>17.9380153979988</v>
      </c>
      <c r="P199" s="3"/>
      <c r="Q199" s="3"/>
      <c r="R199" s="3"/>
      <c r="S199" s="3"/>
      <c r="T199" s="3"/>
      <c r="U199" s="3"/>
      <c r="V199" s="3"/>
      <c r="W199" s="3"/>
      <c r="X199" s="3"/>
      <c r="Y199" s="3"/>
      <c r="Z199" s="3"/>
    </row>
    <row r="200" spans="1:26" ht="12.75" x14ac:dyDescent="0.2">
      <c r="A200" s="3"/>
      <c r="B200" s="33"/>
      <c r="C200" s="27" t="s">
        <v>323</v>
      </c>
      <c r="D200" s="33"/>
      <c r="E200" s="35"/>
      <c r="F200" s="39">
        <f>$I41*F$134*$I49*F$128*F$113/1000</f>
        <v>1.3057000000000001</v>
      </c>
      <c r="G200" s="39">
        <f>$I41*G$134*$I49*G$128*G$113/1000</f>
        <v>1.4088503000000001</v>
      </c>
      <c r="H200" s="39">
        <f>$I41*H$134*$I49*H$128*H$113/1000</f>
        <v>1.5201494736999999</v>
      </c>
      <c r="I200" s="39">
        <f>$I41*I$134*$I49*I$128*I$113/1000</f>
        <v>1.6402412821223</v>
      </c>
      <c r="J200" s="39">
        <f>$I41*J$134*$I49*J$128*J$113/1000</f>
        <v>1.7698203434099617</v>
      </c>
      <c r="K200" s="39">
        <f>$I41*K$134*$I49*K$128*K$113/1000</f>
        <v>1.9096361505393484</v>
      </c>
      <c r="L200" s="39">
        <f>$I41*L$134*$I49*L$128*L$113/1000</f>
        <v>2.0604974064319572</v>
      </c>
      <c r="M200" s="39">
        <f>$I41*M$134*$I49*M$128*M$113/1000</f>
        <v>2.2232767015400814</v>
      </c>
      <c r="N200" s="39">
        <f>$I41*N$134*$I49*N$128*N$113/1000</f>
        <v>2.3989155609617479</v>
      </c>
      <c r="O200" s="39">
        <f>$I41*O$134*$I49*O$128*O$113/1000</f>
        <v>2.5884298902777259</v>
      </c>
      <c r="P200" s="3"/>
      <c r="Q200" s="3"/>
      <c r="R200" s="3"/>
      <c r="S200" s="3"/>
      <c r="T200" s="3"/>
      <c r="U200" s="3"/>
      <c r="V200" s="3"/>
      <c r="W200" s="3"/>
      <c r="X200" s="3"/>
      <c r="Y200" s="3"/>
      <c r="Z200" s="3"/>
    </row>
    <row r="201" spans="1:26" ht="12.75" x14ac:dyDescent="0.2">
      <c r="A201" s="3"/>
      <c r="B201" s="33"/>
      <c r="C201" s="27" t="s">
        <v>331</v>
      </c>
      <c r="D201" s="33"/>
      <c r="E201" s="35"/>
      <c r="F201" s="81">
        <f>IF(F149=0,0,$I42*F$134*$I50*F$128*F$113/1000)</f>
        <v>0</v>
      </c>
      <c r="G201" s="39">
        <f>IF(G149=0,0,$I42*G$134*$I50*G$128*G$113/1000)</f>
        <v>23.504180699999996</v>
      </c>
      <c r="H201" s="39">
        <f>IF(H149=0,0,$I42*H$134*$I50*H$128*H$113/1000)</f>
        <v>25.361010975299997</v>
      </c>
      <c r="I201" s="39">
        <f>IF(I149=0,0,$I42*I$134*$I50*I$128*I$113/1000)</f>
        <v>27.364530842348696</v>
      </c>
      <c r="J201" s="81">
        <f>IF(J149=0,0,$I42*J$134*$I50*J$128*J$113/1000)</f>
        <v>0</v>
      </c>
      <c r="K201" s="39">
        <f>IF(K149=0,0,$I42*K$134*$I50*K$128*K$113/1000)</f>
        <v>31.858908752426888</v>
      </c>
      <c r="L201" s="39">
        <f>IF(L149=0,0,$I42*L$134*$I50*L$128*L$113/1000)</f>
        <v>34.375762543868611</v>
      </c>
      <c r="M201" s="39">
        <f>IF(M149=0,0,$I42*M$134*$I50*M$128*M$113/1000)</f>
        <v>37.09144778483423</v>
      </c>
      <c r="N201" s="39">
        <f>IF(N149=0,0,$I42*N$134*$I50*N$128*N$113/1000)</f>
        <v>0</v>
      </c>
      <c r="O201" s="39">
        <f>IF(O149=0,0,$I42*O$134*$I50*O$128*O$113/1000)</f>
        <v>43.183384260463185</v>
      </c>
      <c r="P201" s="3"/>
      <c r="Q201" s="3"/>
      <c r="R201" s="3"/>
      <c r="S201" s="3"/>
      <c r="T201" s="3"/>
      <c r="U201" s="3"/>
      <c r="V201" s="3"/>
      <c r="W201" s="3"/>
      <c r="X201" s="3"/>
      <c r="Y201" s="3"/>
      <c r="Z201" s="3"/>
    </row>
    <row r="202" spans="1:26" ht="12.75" x14ac:dyDescent="0.2">
      <c r="A202" s="3"/>
      <c r="B202" s="33"/>
      <c r="C202" s="84" t="s">
        <v>293</v>
      </c>
      <c r="D202" s="35"/>
      <c r="E202" s="35"/>
      <c r="F202" s="104">
        <f>$I43*F$134*$I51*F$128*F$113/1000</f>
        <v>1.4751000000000001</v>
      </c>
      <c r="G202" s="104">
        <f>$I43*G$134*$I51*G$128*G$113/1000</f>
        <v>1.5916329</v>
      </c>
      <c r="H202" s="104">
        <f>$I43*H$134*$I51*H$128*H$113/1000</f>
        <v>1.7173718991</v>
      </c>
      <c r="I202" s="104">
        <f>$I43*I$134*$I51*I$128*I$113/1000</f>
        <v>1.8530442791288999</v>
      </c>
      <c r="J202" s="104">
        <f>$I43*J$134*$I51*J$128*J$113/1000</f>
        <v>1.9994347771800831</v>
      </c>
      <c r="K202" s="104">
        <f>$I43*K$134*$I51*K$128*K$113/1000</f>
        <v>2.1573901245773097</v>
      </c>
      <c r="L202" s="104">
        <f>$I43*L$134*$I51*L$128*L$113/1000</f>
        <v>2.3278239444189173</v>
      </c>
      <c r="M202" s="104">
        <f>$I43*M$134*$I51*M$128*M$113/1000</f>
        <v>2.511722036028011</v>
      </c>
      <c r="N202" s="104">
        <f>$I43*N$134*$I51*N$128*N$113/1000</f>
        <v>2.7101480768742241</v>
      </c>
      <c r="O202" s="104">
        <f>$I43*O$134*$I51*O$128*O$113/1000</f>
        <v>2.9242497749472878</v>
      </c>
      <c r="P202" s="3"/>
      <c r="Q202" s="3"/>
      <c r="R202" s="3"/>
      <c r="S202" s="3"/>
      <c r="T202" s="3"/>
      <c r="U202" s="3"/>
      <c r="V202" s="3"/>
      <c r="W202" s="3"/>
      <c r="X202" s="3"/>
      <c r="Y202" s="3"/>
      <c r="Z202" s="3"/>
    </row>
    <row r="203" spans="1:26" ht="12.75" x14ac:dyDescent="0.2">
      <c r="A203" s="3"/>
      <c r="B203" s="33"/>
      <c r="C203" s="94" t="s">
        <v>278</v>
      </c>
      <c r="D203" s="33"/>
      <c r="E203" s="35"/>
      <c r="F203" s="39">
        <f>$I44*F$134*$I52*F$128*F$113/1000</f>
        <v>17.022500000000004</v>
      </c>
      <c r="G203" s="39">
        <f>$I44*G$134*$I52*G$128*G$113/1000</f>
        <v>18.367277500000004</v>
      </c>
      <c r="H203" s="39">
        <f>$I44*H$134*$I52*H$128*H$113/1000</f>
        <v>19.818292422500001</v>
      </c>
      <c r="I203" s="39">
        <f>$I44*I$134*$I52*I$128*I$113/1000</f>
        <v>21.383937523877503</v>
      </c>
      <c r="J203" s="39">
        <f>$I44*J$134*$I52*J$128*J$113/1000</f>
        <v>23.073268588263826</v>
      </c>
      <c r="K203" s="39">
        <f>$I44*K$134*$I52*K$128*K$113/1000</f>
        <v>24.896056806736667</v>
      </c>
      <c r="L203" s="39">
        <f>$I44*L$134*$I52*L$128*L$113/1000</f>
        <v>26.862845294468862</v>
      </c>
      <c r="M203" s="39">
        <f>$I44*M$134*$I52*M$128*M$113/1000</f>
        <v>28.9850100727319</v>
      </c>
      <c r="N203" s="39">
        <f>$I44*N$134*$I52*N$128*N$113/1000</f>
        <v>31.27482586847772</v>
      </c>
      <c r="O203" s="39">
        <f>$I44*O$134*$I52*O$128*O$113/1000</f>
        <v>33.745537112087462</v>
      </c>
      <c r="P203" s="3"/>
      <c r="Q203" s="3"/>
      <c r="R203" s="3"/>
      <c r="S203" s="3"/>
      <c r="T203" s="3"/>
      <c r="U203" s="3"/>
      <c r="V203" s="3"/>
      <c r="W203" s="3"/>
      <c r="X203" s="3"/>
      <c r="Y203" s="3"/>
      <c r="Z203" s="3"/>
    </row>
    <row r="204" spans="1:26" ht="12.75" x14ac:dyDescent="0.2">
      <c r="A204" s="3"/>
      <c r="B204" s="33"/>
      <c r="C204" s="9" t="s">
        <v>85</v>
      </c>
      <c r="D204" s="33"/>
      <c r="E204" s="35"/>
      <c r="F204" s="39">
        <f t="shared" ref="F204:O204" si="39">IF(F166&gt;($I$46-1),0,$I$45*$I$52*F$128*F$113/1000)</f>
        <v>15.475</v>
      </c>
      <c r="G204" s="39">
        <f t="shared" si="39"/>
        <v>16.697524999999999</v>
      </c>
      <c r="H204" s="39">
        <f t="shared" si="39"/>
        <v>18.016629474999998</v>
      </c>
      <c r="I204" s="39">
        <f t="shared" si="39"/>
        <v>19.439943203525001</v>
      </c>
      <c r="J204" s="39">
        <f t="shared" si="39"/>
        <v>0</v>
      </c>
      <c r="K204" s="39">
        <f t="shared" si="39"/>
        <v>0</v>
      </c>
      <c r="L204" s="39">
        <f t="shared" si="39"/>
        <v>0</v>
      </c>
      <c r="M204" s="39">
        <f t="shared" si="39"/>
        <v>0</v>
      </c>
      <c r="N204" s="39">
        <f t="shared" si="39"/>
        <v>0</v>
      </c>
      <c r="O204" s="39">
        <f t="shared" si="39"/>
        <v>0</v>
      </c>
      <c r="P204" s="3"/>
      <c r="Q204" s="3"/>
      <c r="R204" s="3"/>
      <c r="S204" s="3"/>
      <c r="T204" s="3"/>
      <c r="U204" s="3"/>
      <c r="V204" s="3"/>
      <c r="W204" s="3"/>
      <c r="X204" s="3"/>
      <c r="Y204" s="3"/>
      <c r="Z204" s="3"/>
    </row>
    <row r="205" spans="1:26" ht="12.75" x14ac:dyDescent="0.2">
      <c r="A205" s="3"/>
      <c r="B205" s="33"/>
      <c r="C205" s="31" t="s">
        <v>207</v>
      </c>
      <c r="D205" s="36"/>
      <c r="E205" s="36"/>
      <c r="F205" s="40">
        <f>SUM(F198:F204)</f>
        <v>51.124900000000011</v>
      </c>
      <c r="G205" s="40">
        <f t="shared" ref="G205:O205" si="40">SUM(G198:G204)</f>
        <v>78.667947800000007</v>
      </c>
      <c r="H205" s="40">
        <f t="shared" si="40"/>
        <v>84.882715676200007</v>
      </c>
      <c r="I205" s="40">
        <f t="shared" si="40"/>
        <v>71.681697131002394</v>
      </c>
      <c r="J205" s="40">
        <f t="shared" si="40"/>
        <v>48.321910286077042</v>
      </c>
      <c r="K205" s="40">
        <f t="shared" si="40"/>
        <v>83.998249951104015</v>
      </c>
      <c r="L205" s="40">
        <f t="shared" si="40"/>
        <v>90.634111697241224</v>
      </c>
      <c r="M205" s="40">
        <f t="shared" si="40"/>
        <v>70.811456595134217</v>
      </c>
      <c r="N205" s="40">
        <f t="shared" si="40"/>
        <v>65.498276676671679</v>
      </c>
      <c r="O205" s="40">
        <f t="shared" si="40"/>
        <v>113.85602479459193</v>
      </c>
      <c r="P205" s="3"/>
      <c r="Q205" s="3"/>
      <c r="R205" s="3"/>
      <c r="S205" s="3"/>
      <c r="T205" s="3"/>
      <c r="U205" s="3"/>
      <c r="V205" s="3"/>
      <c r="W205" s="3"/>
      <c r="X205" s="3"/>
      <c r="Y205" s="3"/>
      <c r="Z205" s="3"/>
    </row>
    <row r="206" spans="1:26" ht="12.75" x14ac:dyDescent="0.2">
      <c r="A206" s="3"/>
      <c r="B206" s="33"/>
      <c r="C206" s="9"/>
      <c r="D206" s="33"/>
      <c r="E206" s="33"/>
      <c r="F206" s="41"/>
      <c r="G206" s="41"/>
      <c r="H206" s="41"/>
      <c r="I206" s="41"/>
      <c r="J206" s="41"/>
      <c r="K206" s="41"/>
      <c r="L206" s="41"/>
      <c r="M206" s="41"/>
      <c r="N206" s="41"/>
      <c r="O206" s="41"/>
      <c r="P206" s="3"/>
      <c r="Q206" s="3"/>
      <c r="R206" s="3"/>
      <c r="S206" s="3"/>
      <c r="T206" s="3"/>
      <c r="U206" s="3"/>
      <c r="V206" s="3"/>
      <c r="W206" s="3"/>
      <c r="X206" s="3"/>
      <c r="Y206" s="3"/>
      <c r="Z206" s="3"/>
    </row>
    <row r="207" spans="1:26" ht="12.75" x14ac:dyDescent="0.2">
      <c r="A207" s="3"/>
      <c r="B207" s="33"/>
      <c r="C207" s="34" t="s">
        <v>215</v>
      </c>
      <c r="D207" s="33"/>
      <c r="E207" s="33"/>
      <c r="F207" s="41"/>
      <c r="G207" s="41"/>
      <c r="H207" s="41"/>
      <c r="I207" s="41"/>
      <c r="J207" s="41"/>
      <c r="K207" s="41"/>
      <c r="L207" s="41"/>
      <c r="M207" s="41"/>
      <c r="N207" s="41"/>
      <c r="O207" s="41"/>
      <c r="P207" s="3"/>
      <c r="Q207" s="3"/>
      <c r="R207" s="3"/>
      <c r="S207" s="3"/>
      <c r="T207" s="3"/>
      <c r="U207" s="3"/>
      <c r="V207" s="3"/>
      <c r="W207" s="3"/>
      <c r="X207" s="3"/>
      <c r="Y207" s="3"/>
      <c r="Z207" s="3"/>
    </row>
    <row r="208" spans="1:26" ht="12.75" x14ac:dyDescent="0.2">
      <c r="A208" s="3"/>
      <c r="B208" s="33"/>
      <c r="C208" s="9" t="s">
        <v>110</v>
      </c>
      <c r="D208" s="33"/>
      <c r="E208" s="33"/>
      <c r="F208" s="39">
        <f>$I56*F$134*F$113/1000</f>
        <v>5.6496000000000004</v>
      </c>
      <c r="G208" s="39">
        <f>$I56*G$134*G$113/1000</f>
        <v>6.0959184000000004</v>
      </c>
      <c r="H208" s="39">
        <f>$I56*H$134*H$113/1000</f>
        <v>6.5774959535999997</v>
      </c>
      <c r="I208" s="39">
        <f>$I56*I$134*I$113/1000</f>
        <v>7.0971181339344005</v>
      </c>
      <c r="J208" s="39">
        <f>$I56*J$134*J$113/1000</f>
        <v>7.657790466515217</v>
      </c>
      <c r="K208" s="39">
        <f>$I56*K$134*K$113/1000</f>
        <v>8.2627559133699204</v>
      </c>
      <c r="L208" s="39">
        <f>$I56*L$134*L$113/1000</f>
        <v>8.9155136305261422</v>
      </c>
      <c r="M208" s="39">
        <f>$I56*M$134*M$113/1000</f>
        <v>9.6198392073377068</v>
      </c>
      <c r="N208" s="39">
        <f>$I56*N$134*N$113/1000</f>
        <v>10.379806504717386</v>
      </c>
      <c r="O208" s="39">
        <f>$I56*O$134*O$113/1000</f>
        <v>11.199811218590058</v>
      </c>
      <c r="P208" s="3"/>
      <c r="Q208" s="3"/>
      <c r="R208" s="3"/>
      <c r="S208" s="3"/>
      <c r="T208" s="3"/>
      <c r="U208" s="3"/>
      <c r="V208" s="3"/>
      <c r="W208" s="3"/>
      <c r="X208" s="3"/>
      <c r="Y208" s="3"/>
      <c r="Z208" s="3"/>
    </row>
    <row r="209" spans="1:26" ht="12.75" x14ac:dyDescent="0.2">
      <c r="A209" s="3"/>
      <c r="B209" s="33"/>
      <c r="C209" s="27" t="s">
        <v>283</v>
      </c>
      <c r="D209" s="33"/>
      <c r="E209" s="33"/>
      <c r="F209" s="107">
        <f t="shared" ref="F209:O209" si="41">($F$58+$F$58*(F$134-1)*($F$57))/1000*F$113</f>
        <v>2.6292000000000004</v>
      </c>
      <c r="G209" s="107">
        <f t="shared" si="41"/>
        <v>2.8369068000000004</v>
      </c>
      <c r="H209" s="107">
        <f t="shared" si="41"/>
        <v>3.0610224372000001</v>
      </c>
      <c r="I209" s="107">
        <f t="shared" si="41"/>
        <v>3.3028432097388003</v>
      </c>
      <c r="J209" s="107">
        <f t="shared" si="41"/>
        <v>3.5637678233081655</v>
      </c>
      <c r="K209" s="107">
        <f t="shared" si="41"/>
        <v>3.8453054813495102</v>
      </c>
      <c r="L209" s="107">
        <f t="shared" si="41"/>
        <v>4.1490846143761217</v>
      </c>
      <c r="M209" s="107">
        <f t="shared" si="41"/>
        <v>4.4768622989118345</v>
      </c>
      <c r="N209" s="107">
        <f t="shared" si="41"/>
        <v>4.8305344205258693</v>
      </c>
      <c r="O209" s="107">
        <f t="shared" si="41"/>
        <v>5.2121466397474139</v>
      </c>
      <c r="P209" s="3"/>
      <c r="Q209" s="3"/>
      <c r="R209" s="3"/>
      <c r="S209" s="3"/>
      <c r="T209" s="3"/>
      <c r="U209" s="3"/>
      <c r="V209" s="3"/>
      <c r="W209" s="3"/>
      <c r="X209" s="3"/>
      <c r="Y209" s="3"/>
      <c r="Z209" s="3"/>
    </row>
    <row r="210" spans="1:26" ht="12.75" x14ac:dyDescent="0.2">
      <c r="A210" s="3"/>
      <c r="B210" s="33"/>
      <c r="C210" s="31" t="s">
        <v>216</v>
      </c>
      <c r="D210" s="36"/>
      <c r="E210" s="36"/>
      <c r="F210" s="40">
        <f t="shared" ref="F210:O210" si="42">SUM(F208:F209)</f>
        <v>8.2788000000000004</v>
      </c>
      <c r="G210" s="40">
        <f t="shared" si="42"/>
        <v>8.9328251999999999</v>
      </c>
      <c r="H210" s="40">
        <f t="shared" si="42"/>
        <v>9.6385183907999998</v>
      </c>
      <c r="I210" s="40">
        <f t="shared" si="42"/>
        <v>10.399961343673201</v>
      </c>
      <c r="J210" s="40">
        <f t="shared" si="42"/>
        <v>11.221558289823383</v>
      </c>
      <c r="K210" s="40">
        <f t="shared" si="42"/>
        <v>12.108061394719432</v>
      </c>
      <c r="L210" s="40">
        <f t="shared" si="42"/>
        <v>13.064598244902264</v>
      </c>
      <c r="M210" s="40">
        <f t="shared" si="42"/>
        <v>14.096701506249541</v>
      </c>
      <c r="N210" s="40">
        <f t="shared" si="42"/>
        <v>15.210340925243255</v>
      </c>
      <c r="O210" s="40">
        <f t="shared" si="42"/>
        <v>16.411957858337473</v>
      </c>
      <c r="P210" s="3"/>
      <c r="Q210" s="3"/>
      <c r="R210" s="3"/>
      <c r="S210" s="3"/>
      <c r="T210" s="3"/>
      <c r="U210" s="3"/>
      <c r="V210" s="3"/>
      <c r="W210" s="3"/>
      <c r="X210" s="3"/>
      <c r="Y210" s="3"/>
      <c r="Z210" s="3"/>
    </row>
    <row r="211" spans="1:26" ht="12.75" x14ac:dyDescent="0.2">
      <c r="A211" s="3"/>
      <c r="B211" s="33"/>
      <c r="C211" s="35"/>
      <c r="D211" s="33"/>
      <c r="E211" s="33"/>
      <c r="F211" s="41"/>
      <c r="G211" s="41"/>
      <c r="H211" s="41"/>
      <c r="I211" s="41"/>
      <c r="J211" s="41"/>
      <c r="K211" s="41"/>
      <c r="L211" s="41"/>
      <c r="M211" s="41"/>
      <c r="N211" s="41"/>
      <c r="O211" s="41"/>
      <c r="P211" s="3"/>
      <c r="Q211" s="3"/>
      <c r="R211" s="3"/>
      <c r="S211" s="3"/>
      <c r="T211" s="3"/>
      <c r="U211" s="3"/>
      <c r="V211" s="3"/>
      <c r="W211" s="3"/>
      <c r="X211" s="3"/>
      <c r="Y211" s="3"/>
      <c r="Z211" s="3"/>
    </row>
    <row r="212" spans="1:26" ht="12.75" x14ac:dyDescent="0.2">
      <c r="A212" s="3"/>
      <c r="B212" s="33"/>
      <c r="C212" s="34" t="s">
        <v>219</v>
      </c>
      <c r="D212" s="33"/>
      <c r="E212" s="33"/>
      <c r="F212" s="41"/>
      <c r="G212" s="41"/>
      <c r="H212" s="41"/>
      <c r="I212" s="41"/>
      <c r="J212" s="41"/>
      <c r="K212" s="41"/>
      <c r="L212" s="41"/>
      <c r="M212" s="41"/>
      <c r="N212" s="41"/>
      <c r="O212" s="41"/>
      <c r="P212" s="3"/>
      <c r="Q212" s="3"/>
      <c r="R212" s="3"/>
      <c r="S212" s="3"/>
      <c r="T212" s="3"/>
      <c r="U212" s="3"/>
      <c r="V212" s="3"/>
      <c r="W212" s="3"/>
      <c r="X212" s="3"/>
      <c r="Y212" s="3"/>
      <c r="Z212" s="3"/>
    </row>
    <row r="213" spans="1:26" ht="12.75" x14ac:dyDescent="0.2">
      <c r="A213" s="3"/>
      <c r="B213" s="33"/>
      <c r="C213" s="111" t="s">
        <v>312</v>
      </c>
      <c r="D213" s="33"/>
      <c r="E213" s="33"/>
      <c r="F213" s="39">
        <f>$I$61*$I$69*F$134/1000*F$139*F$113*(1+$F$75)</f>
        <v>0</v>
      </c>
      <c r="G213" s="39">
        <f t="shared" ref="G213:O213" si="43">$I$61*$I$69*G$134/1000*G$139*G$113*(1+$F$75)</f>
        <v>4.9244481000000002</v>
      </c>
      <c r="H213" s="39">
        <f t="shared" si="43"/>
        <v>5.3134794998999997</v>
      </c>
      <c r="I213" s="39">
        <f t="shared" si="43"/>
        <v>5.7332443803921</v>
      </c>
      <c r="J213" s="39">
        <f t="shared" si="43"/>
        <v>0</v>
      </c>
      <c r="K213" s="39">
        <f t="shared" si="43"/>
        <v>6.6748781706720779</v>
      </c>
      <c r="L213" s="39">
        <f t="shared" si="43"/>
        <v>7.2021935461551729</v>
      </c>
      <c r="M213" s="39">
        <f t="shared" si="43"/>
        <v>7.7711668363014308</v>
      </c>
      <c r="N213" s="39">
        <f t="shared" si="43"/>
        <v>0</v>
      </c>
      <c r="O213" s="39">
        <f t="shared" si="43"/>
        <v>9.0475110486624128</v>
      </c>
      <c r="P213" s="3"/>
      <c r="Q213" s="3"/>
      <c r="R213" s="3"/>
      <c r="S213" s="3"/>
      <c r="T213" s="3"/>
      <c r="U213" s="3"/>
      <c r="V213" s="3"/>
      <c r="W213" s="3"/>
      <c r="X213" s="3"/>
      <c r="Y213" s="3"/>
      <c r="Z213" s="3"/>
    </row>
    <row r="214" spans="1:26" ht="12.75" x14ac:dyDescent="0.2">
      <c r="A214" s="3"/>
      <c r="B214" s="33"/>
      <c r="C214" s="111" t="s">
        <v>313</v>
      </c>
      <c r="D214" s="33"/>
      <c r="E214" s="33"/>
      <c r="F214" s="39">
        <f>IF(F139=0,$I62*F$134*$I70/1000*F$113*F$130,0)*(1+$F$75)</f>
        <v>16.5</v>
      </c>
      <c r="G214" s="39">
        <f>IF(G139=0,$I62*G$134*$I70/1000*G$113*G$130,0)*(1+$F$75)</f>
        <v>0</v>
      </c>
      <c r="H214" s="39">
        <f>IF(H139=0,$I62*H$134*$I70/1000*H$113*H$130,0)*(1+$F$75)</f>
        <v>0</v>
      </c>
      <c r="I214" s="39">
        <f>IF(I139=0,$I62*I$134*$I70/1000*I$113*I$130,0)*(1+$F$75)</f>
        <v>0</v>
      </c>
      <c r="J214" s="39">
        <f>IF(J139=0,$I62*J$134*$I70/1000*J$113*J$130,0)*(1+$F$75)</f>
        <v>22.365042250336497</v>
      </c>
      <c r="K214" s="39">
        <f>IF(K139=0,$I62*K$134*$I70/1000*K$113*K$130,0)*(1+$F$75)</f>
        <v>0</v>
      </c>
      <c r="L214" s="39">
        <f>IF(L139=0,$I62*L$134*$I70/1000*L$113*L$130,0)*(1+$F$75)</f>
        <v>0</v>
      </c>
      <c r="M214" s="39">
        <f>IF(M139=0,$I62*M$134*$I70/1000*M$113*M$130,0)*(1+$F$75)</f>
        <v>0</v>
      </c>
      <c r="N214" s="39">
        <f>IF(N139=0,$I62*N$134*$I70/1000*N$113*N$130,0)*(1+$F$75)</f>
        <v>30.314855446020402</v>
      </c>
      <c r="O214" s="39">
        <f>IF(O139=0,$I62*O$134*$I70/1000*O$113*O$130,0)*(1+$F$75)</f>
        <v>0</v>
      </c>
      <c r="P214" s="3"/>
      <c r="Q214" s="3"/>
      <c r="R214" s="3"/>
      <c r="S214" s="3"/>
      <c r="T214" s="3"/>
      <c r="U214" s="3"/>
      <c r="V214" s="3"/>
      <c r="W214" s="3"/>
      <c r="X214" s="3"/>
      <c r="Y214" s="3"/>
      <c r="Z214" s="3"/>
    </row>
    <row r="215" spans="1:26" ht="12.75" x14ac:dyDescent="0.2">
      <c r="A215" s="3"/>
      <c r="B215" s="33"/>
      <c r="C215" s="9" t="s">
        <v>102</v>
      </c>
      <c r="D215" s="33"/>
      <c r="E215" s="33"/>
      <c r="F215" s="39">
        <f>$I63*F$134*$I71/1000*F$115*(1+$F$75)*F$120</f>
        <v>21.1072092</v>
      </c>
      <c r="G215" s="39">
        <f>$I63*G$134*$I71/1000*G$115*(1+$F$75)*G$120</f>
        <v>22.774678726799998</v>
      </c>
      <c r="H215" s="39">
        <f>$I63*H$134*$I71/1000*H$115*(1+$F$75)*H$120</f>
        <v>24.573878346217199</v>
      </c>
      <c r="I215" s="39">
        <f>$I63*I$134*$I71/1000*I$115*(1+$F$75)*I$120</f>
        <v>26.51521473556836</v>
      </c>
      <c r="J215" s="39">
        <f>$I63*J$134*$I71/1000*J$115*(1+$F$75)*J$120</f>
        <v>28.609916699678259</v>
      </c>
      <c r="K215" s="39">
        <f>$I63*K$134*$I71/1000*K$115*(1+$F$75)*K$120</f>
        <v>30.870100118952838</v>
      </c>
      <c r="L215" s="39">
        <f>$I63*L$134*$I71/1000*L$115*(1+$F$75)*L$120</f>
        <v>33.308838028350117</v>
      </c>
      <c r="M215" s="39">
        <f>$I63*M$134*$I71/1000*M$115*(1+$F$75)*M$120</f>
        <v>35.940236232589776</v>
      </c>
      <c r="N215" s="39">
        <f>$I63*N$134*$I71/1000*N$115*(1+$F$75)*N$120</f>
        <v>38.779514894964365</v>
      </c>
      <c r="O215" s="39">
        <f>$I63*O$134*$I71/1000*O$115*(1+$F$75)*O$120</f>
        <v>41.843096571666543</v>
      </c>
      <c r="P215" s="3"/>
      <c r="Q215" s="3"/>
      <c r="R215" s="3"/>
      <c r="S215" s="3"/>
      <c r="T215" s="3"/>
      <c r="U215" s="3"/>
      <c r="V215" s="3"/>
      <c r="W215" s="3"/>
      <c r="X215" s="3"/>
      <c r="Y215" s="3"/>
      <c r="Z215" s="3"/>
    </row>
    <row r="216" spans="1:26" ht="12.75" x14ac:dyDescent="0.2">
      <c r="A216" s="3"/>
      <c r="B216" s="33"/>
      <c r="C216" s="27" t="s">
        <v>334</v>
      </c>
      <c r="D216" s="35"/>
      <c r="E216" s="35"/>
      <c r="F216" s="39">
        <f>$I64*F$134*$I72/1000*F$115*(1+$F$75)*F$120</f>
        <v>2.200000000078056</v>
      </c>
      <c r="G216" s="39">
        <f>$I64*G$134*$I72/1000*G$115*(1+$F$75)*G$120</f>
        <v>2.3738000000842221</v>
      </c>
      <c r="H216" s="39">
        <f>$I64*H$134*$I72/1000*H$115*(1+$F$75)*H$120</f>
        <v>2.5613302000908753</v>
      </c>
      <c r="I216" s="39">
        <f>$I64*I$134*$I72/1000*I$115*(1+$F$75)*I$120</f>
        <v>2.7636752858980551</v>
      </c>
      <c r="J216" s="39">
        <f>$I64*J$134*$I72/1000*J$115*(1+$F$75)*J$120</f>
        <v>2.9820056334840013</v>
      </c>
      <c r="K216" s="39">
        <f>$I64*K$134*$I72/1000*K$115*(1+$F$75)*K$120</f>
        <v>3.2175840785292373</v>
      </c>
      <c r="L216" s="39">
        <f>$I64*L$134*$I72/1000*L$115*(1+$F$75)*L$120</f>
        <v>3.4717732207330472</v>
      </c>
      <c r="M216" s="39">
        <f>$I64*M$134*$I72/1000*M$115*(1+$F$75)*M$120</f>
        <v>3.7460433051709581</v>
      </c>
      <c r="N216" s="39">
        <f>$I64*N$134*$I72/1000*N$115*(1+$F$75)*N$120</f>
        <v>4.0419807262794629</v>
      </c>
      <c r="O216" s="39">
        <f>$I64*O$134*$I72/1000*O$115*(1+$F$75)*O$120</f>
        <v>4.3612972036555409</v>
      </c>
      <c r="P216" s="3"/>
      <c r="Q216" s="3"/>
      <c r="R216" s="3"/>
      <c r="S216" s="3"/>
      <c r="T216" s="3"/>
      <c r="U216" s="3"/>
      <c r="V216" s="3"/>
      <c r="W216" s="3"/>
      <c r="X216" s="3"/>
      <c r="Y216" s="3"/>
      <c r="Z216" s="3"/>
    </row>
    <row r="217" spans="1:26" ht="12.75" x14ac:dyDescent="0.2">
      <c r="A217" s="3"/>
      <c r="B217" s="33"/>
      <c r="C217" s="9" t="s">
        <v>105</v>
      </c>
      <c r="D217" s="33"/>
      <c r="E217" s="33"/>
      <c r="F217" s="39">
        <f>$I65*F$134*$I73/1000*F$115*(1+$F$75)*F$120</f>
        <v>3.9600000000000004</v>
      </c>
      <c r="G217" s="39">
        <f>$I65*G$134*$I73/1000*G$115*(1+$F$75)*G$120</f>
        <v>4.2728399999999995</v>
      </c>
      <c r="H217" s="39">
        <f>$I65*H$134*$I73/1000*H$115*(1+$F$75)*H$120</f>
        <v>4.610394359999999</v>
      </c>
      <c r="I217" s="39">
        <f>$I65*I$134*$I73/1000*I$115*(1+$F$75)*I$120</f>
        <v>4.9746155144399999</v>
      </c>
      <c r="J217" s="39">
        <f>$I65*J$134*$I73/1000*J$115*(1+$F$75)*J$120</f>
        <v>5.3676101400807594</v>
      </c>
      <c r="K217" s="39">
        <f>$I65*K$134*$I73/1000*K$115*(1+$F$75)*K$120</f>
        <v>5.7916513411471398</v>
      </c>
      <c r="L217" s="39">
        <f>$I65*L$134*$I73/1000*L$115*(1+$F$75)*L$120</f>
        <v>6.2491917970977626</v>
      </c>
      <c r="M217" s="39">
        <f>$I65*M$134*$I73/1000*M$115*(1+$F$75)*M$120</f>
        <v>6.7428779490684869</v>
      </c>
      <c r="N217" s="39">
        <f>$I65*N$134*$I73/1000*N$115*(1+$F$75)*N$120</f>
        <v>7.2755653070448965</v>
      </c>
      <c r="O217" s="39">
        <f>$I65*O$134*$I73/1000*O$115*(1+$F$75)*O$120</f>
        <v>7.8503349663014426</v>
      </c>
      <c r="P217" s="3"/>
      <c r="Q217" s="3"/>
      <c r="R217" s="3"/>
      <c r="S217" s="3"/>
      <c r="T217" s="3"/>
      <c r="U217" s="3"/>
      <c r="V217" s="3"/>
      <c r="W217" s="3"/>
      <c r="X217" s="3"/>
      <c r="Y217" s="3"/>
      <c r="Z217" s="3"/>
    </row>
    <row r="218" spans="1:26" ht="12.75" x14ac:dyDescent="0.2">
      <c r="A218" s="3"/>
      <c r="B218" s="33"/>
      <c r="C218" s="36" t="s">
        <v>217</v>
      </c>
      <c r="D218" s="36"/>
      <c r="E218" s="36"/>
      <c r="F218" s="48">
        <f t="shared" ref="F218:N218" si="44">SUM(F213:F217)</f>
        <v>43.767209200078057</v>
      </c>
      <c r="G218" s="48">
        <f t="shared" si="44"/>
        <v>34.345766826884223</v>
      </c>
      <c r="H218" s="48">
        <f t="shared" si="44"/>
        <v>37.059082406208077</v>
      </c>
      <c r="I218" s="48">
        <f t="shared" si="44"/>
        <v>39.986749916298507</v>
      </c>
      <c r="J218" s="48">
        <f t="shared" si="44"/>
        <v>59.324574723579509</v>
      </c>
      <c r="K218" s="48">
        <f t="shared" si="44"/>
        <v>46.554213709301287</v>
      </c>
      <c r="L218" s="48">
        <f t="shared" si="44"/>
        <v>50.231996592336102</v>
      </c>
      <c r="M218" s="48">
        <f t="shared" si="44"/>
        <v>54.200324323130651</v>
      </c>
      <c r="N218" s="48">
        <f t="shared" si="44"/>
        <v>80.411916374309129</v>
      </c>
      <c r="O218" s="48">
        <f>SUM(O213:O217)</f>
        <v>63.102239790285935</v>
      </c>
      <c r="P218" s="3"/>
      <c r="Q218" s="3"/>
      <c r="R218" s="3"/>
      <c r="S218" s="3"/>
      <c r="T218" s="3"/>
      <c r="U218" s="3"/>
      <c r="V218" s="3"/>
      <c r="W218" s="3"/>
      <c r="X218" s="3"/>
      <c r="Y218" s="3"/>
      <c r="Z218" s="3"/>
    </row>
    <row r="219" spans="1:26" ht="12.75" x14ac:dyDescent="0.2">
      <c r="A219" s="3"/>
      <c r="B219" s="33"/>
      <c r="C219" s="62"/>
      <c r="D219" s="62"/>
      <c r="E219" s="62"/>
      <c r="F219" s="103"/>
      <c r="G219" s="103"/>
      <c r="H219" s="103"/>
      <c r="I219" s="103"/>
      <c r="J219" s="103"/>
      <c r="K219" s="103"/>
      <c r="L219" s="103"/>
      <c r="M219" s="103"/>
      <c r="N219" s="103"/>
      <c r="O219" s="103"/>
      <c r="P219" s="3"/>
      <c r="Q219" s="3"/>
      <c r="R219" s="3"/>
      <c r="S219" s="3"/>
      <c r="T219" s="3"/>
      <c r="U219" s="3"/>
      <c r="V219" s="3"/>
      <c r="W219" s="3"/>
      <c r="X219" s="3"/>
      <c r="Y219" s="3"/>
      <c r="Z219" s="3"/>
    </row>
    <row r="220" spans="1:26" ht="12.75" x14ac:dyDescent="0.2">
      <c r="A220" s="3"/>
      <c r="B220" s="33"/>
      <c r="C220" s="34" t="s">
        <v>287</v>
      </c>
      <c r="D220" s="62"/>
      <c r="E220" s="62"/>
      <c r="F220" s="103"/>
      <c r="G220" s="103"/>
      <c r="H220" s="103"/>
      <c r="I220" s="103"/>
      <c r="J220" s="103"/>
      <c r="K220" s="103"/>
      <c r="L220" s="103"/>
      <c r="M220" s="103"/>
      <c r="N220" s="103"/>
      <c r="O220" s="103"/>
      <c r="P220" s="3"/>
      <c r="Q220" s="3"/>
      <c r="R220" s="3"/>
      <c r="S220" s="3"/>
      <c r="T220" s="3"/>
      <c r="U220" s="3"/>
      <c r="V220" s="3"/>
      <c r="W220" s="3"/>
      <c r="X220" s="3"/>
      <c r="Y220" s="3"/>
      <c r="Z220" s="3"/>
    </row>
    <row r="221" spans="1:26" ht="12.75" x14ac:dyDescent="0.2">
      <c r="A221" s="3"/>
      <c r="B221" s="33"/>
      <c r="C221" s="27" t="s">
        <v>282</v>
      </c>
      <c r="D221" s="33"/>
      <c r="E221" s="33"/>
      <c r="F221" s="106">
        <f>$I78*F$113/1000*F$152</f>
        <v>0</v>
      </c>
      <c r="G221" s="106">
        <f>$I78*G$113/1000*G$152</f>
        <v>36.008794243500006</v>
      </c>
      <c r="H221" s="106">
        <f>$I78*H$113/1000*H$152</f>
        <v>34.778974212182852</v>
      </c>
      <c r="I221" s="106">
        <f>$I78*I$113/1000*I$152</f>
        <v>33.569751875434051</v>
      </c>
      <c r="J221" s="106">
        <f>$I78*J$113/1000*J$152</f>
        <v>0</v>
      </c>
      <c r="K221" s="106">
        <f>$I78*K$113/1000*K$152</f>
        <v>48.808376038760684</v>
      </c>
      <c r="L221" s="106">
        <f>$I78*L$113/1000*L$152</f>
        <v>47.141407738111099</v>
      </c>
      <c r="M221" s="106">
        <f>$I78*M$113/1000*M$152</f>
        <v>45.502358728933061</v>
      </c>
      <c r="N221" s="106">
        <f>$I78*N$113/1000*N$152</f>
        <v>0</v>
      </c>
      <c r="O221" s="106">
        <f>$I78*O$113/1000*O$152</f>
        <v>66.157660138011764</v>
      </c>
      <c r="P221" s="3"/>
      <c r="Q221" s="3"/>
      <c r="R221" s="3"/>
      <c r="S221" s="3"/>
      <c r="T221" s="3"/>
      <c r="U221" s="3"/>
      <c r="V221" s="3"/>
      <c r="W221" s="3"/>
      <c r="X221" s="3"/>
      <c r="Y221" s="3"/>
      <c r="Z221" s="3"/>
    </row>
    <row r="222" spans="1:26" ht="12.75" x14ac:dyDescent="0.2">
      <c r="A222" s="3"/>
      <c r="B222" s="33"/>
      <c r="C222" s="27" t="s">
        <v>284</v>
      </c>
      <c r="D222" s="33"/>
      <c r="E222" s="33"/>
      <c r="F222" s="107">
        <f>$I79*F$113/1000*(F$152+F$151)</f>
        <v>0</v>
      </c>
      <c r="G222" s="107">
        <f>$I79*G$113/1000*(G$152+G$151)</f>
        <v>4.6667899135000006</v>
      </c>
      <c r="H222" s="107">
        <f>$I79*H$113/1000*(H$152+H$151)</f>
        <v>4.53191968499985</v>
      </c>
      <c r="I222" s="107">
        <f>$I79*I$113/1000*(I$152+I$151)</f>
        <v>4.4009472061033552</v>
      </c>
      <c r="J222" s="107">
        <f>$I79*J$113/1000*(J$152+J$151)</f>
        <v>0</v>
      </c>
      <c r="K222" s="107">
        <f>$I79*K$113/1000*(K$152+K$151)</f>
        <v>6.3256335508407107</v>
      </c>
      <c r="L222" s="107">
        <f>$I79*L$113/1000*(L$152+L$151)</f>
        <v>6.1428227412214147</v>
      </c>
      <c r="M222" s="107">
        <f>$I79*M$113/1000*(M$152+M$151)</f>
        <v>5.9652951640001159</v>
      </c>
      <c r="N222" s="107">
        <f>$I79*N$113/1000*(N$152+N$151)</f>
        <v>0</v>
      </c>
      <c r="O222" s="107">
        <f>$I79*O$113/1000*(O$152+O$151)</f>
        <v>8.5741249469514287</v>
      </c>
      <c r="P222" s="3"/>
      <c r="Q222" s="3"/>
      <c r="R222" s="3"/>
      <c r="S222" s="3"/>
      <c r="T222" s="3"/>
      <c r="U222" s="3"/>
      <c r="V222" s="3"/>
      <c r="W222" s="3"/>
      <c r="X222" s="3"/>
      <c r="Y222" s="3"/>
      <c r="Z222" s="3"/>
    </row>
    <row r="223" spans="1:26" ht="12.75" x14ac:dyDescent="0.2">
      <c r="A223" s="3"/>
      <c r="B223" s="33"/>
      <c r="C223" s="31" t="s">
        <v>289</v>
      </c>
      <c r="D223" s="36"/>
      <c r="E223" s="36"/>
      <c r="F223" s="40">
        <f t="shared" ref="F223:N223" si="45">SUM(F221:F222)</f>
        <v>0</v>
      </c>
      <c r="G223" s="40">
        <f>SUM(G221:G222)</f>
        <v>40.675584157000003</v>
      </c>
      <c r="H223" s="40">
        <f t="shared" si="45"/>
        <v>39.310893897182702</v>
      </c>
      <c r="I223" s="40">
        <f t="shared" si="45"/>
        <v>37.970699081537404</v>
      </c>
      <c r="J223" s="40">
        <f t="shared" si="45"/>
        <v>0</v>
      </c>
      <c r="K223" s="40">
        <f t="shared" si="45"/>
        <v>55.134009589601398</v>
      </c>
      <c r="L223" s="40">
        <f t="shared" si="45"/>
        <v>53.284230479332514</v>
      </c>
      <c r="M223" s="40">
        <f t="shared" si="45"/>
        <v>51.467653892933178</v>
      </c>
      <c r="N223" s="40">
        <f t="shared" si="45"/>
        <v>0</v>
      </c>
      <c r="O223" s="40">
        <f>SUM(O221:O222)</f>
        <v>74.731785084963192</v>
      </c>
      <c r="P223" s="3"/>
      <c r="Q223" s="3"/>
      <c r="R223" s="3"/>
      <c r="S223" s="3"/>
      <c r="T223" s="3"/>
      <c r="U223" s="3"/>
      <c r="V223" s="3"/>
      <c r="W223" s="3"/>
      <c r="X223" s="3"/>
      <c r="Y223" s="3"/>
      <c r="Z223" s="3"/>
    </row>
    <row r="224" spans="1:26" ht="12.75" hidden="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hidden="1" x14ac:dyDescent="0.2">
      <c r="A225" s="3"/>
      <c r="B225" s="32" t="s">
        <v>346</v>
      </c>
      <c r="C225" s="33"/>
      <c r="D225" s="33"/>
      <c r="E225" s="33"/>
      <c r="F225" s="33"/>
      <c r="G225" s="33"/>
      <c r="H225" s="33"/>
      <c r="I225" s="33"/>
      <c r="J225" s="33"/>
      <c r="K225" s="33"/>
      <c r="L225" s="33"/>
      <c r="M225" s="33"/>
      <c r="N225" s="33"/>
      <c r="O225" s="33"/>
      <c r="P225" s="3"/>
      <c r="Q225" s="3"/>
      <c r="R225" s="3"/>
      <c r="S225" s="3"/>
      <c r="T225" s="3"/>
      <c r="U225" s="3"/>
      <c r="V225" s="3"/>
      <c r="W225" s="3"/>
      <c r="X225" s="3"/>
      <c r="Y225" s="3"/>
      <c r="Z225" s="3"/>
    </row>
    <row r="226" spans="1:26" ht="12.75" hidden="1" x14ac:dyDescent="0.2">
      <c r="A226" s="3"/>
      <c r="B226" s="33"/>
      <c r="C226" s="34" t="s">
        <v>218</v>
      </c>
      <c r="D226" s="33"/>
      <c r="E226" s="33"/>
      <c r="F226" s="33"/>
      <c r="G226" s="33"/>
      <c r="H226" s="33"/>
      <c r="I226" s="33"/>
      <c r="J226" s="33"/>
      <c r="K226" s="33"/>
      <c r="L226" s="33"/>
      <c r="M226" s="33"/>
      <c r="N226" s="33"/>
      <c r="O226" s="33"/>
      <c r="P226" s="3"/>
      <c r="Q226" s="3"/>
      <c r="R226" s="3"/>
      <c r="S226" s="3"/>
      <c r="T226" s="3"/>
      <c r="U226" s="3"/>
      <c r="V226" s="3"/>
      <c r="W226" s="3"/>
      <c r="X226" s="3"/>
      <c r="Y226" s="3"/>
      <c r="Z226" s="3"/>
    </row>
    <row r="227" spans="1:26" ht="12.75" hidden="1" x14ac:dyDescent="0.2">
      <c r="A227" s="3"/>
      <c r="B227" s="33"/>
      <c r="C227" s="94" t="s">
        <v>272</v>
      </c>
      <c r="D227" s="33"/>
      <c r="E227" s="33"/>
      <c r="F227" s="39" t="e">
        <f>IF(#REF!=0,0,$M39*F$135*$M47*F$128*F$113/1000)</f>
        <v>#REF!</v>
      </c>
      <c r="G227" s="39" t="e">
        <f>IF(#REF!=0,0,$M39*G$135*$M47*G$128*G$113/1000)</f>
        <v>#REF!</v>
      </c>
      <c r="H227" s="39" t="e">
        <f>IF(#REF!=0,0,$M39*H$135*$M47*H$128*H$113/1000)</f>
        <v>#REF!</v>
      </c>
      <c r="I227" s="39" t="e">
        <f>IF(#REF!=0,0,$M39*I$135*$M47*I$128*I$113/1000)</f>
        <v>#REF!</v>
      </c>
      <c r="J227" s="39" t="e">
        <f>IF(#REF!=0,0,$M39*J$135*$M47*J$128*J$113/1000)</f>
        <v>#REF!</v>
      </c>
      <c r="K227" s="39" t="e">
        <f>IF(#REF!=0,0,$M39*K$135*$M47*K$128*K$113/1000)</f>
        <v>#REF!</v>
      </c>
      <c r="L227" s="39" t="e">
        <f>IF(#REF!=0,0,$M39*L$135*$M47*L$128*L$113/1000)</f>
        <v>#REF!</v>
      </c>
      <c r="M227" s="39" t="e">
        <f>IF(#REF!=0,0,$M39*M$135*$M47*M$128*M$113/1000)</f>
        <v>#REF!</v>
      </c>
      <c r="N227" s="39" t="e">
        <f>IF(#REF!=0,0,$M39*N$135*$M47*N$128*N$113/1000)</f>
        <v>#REF!</v>
      </c>
      <c r="O227" s="39" t="e">
        <f>IF(#REF!=0,0,$M39*O$135*$M47*O$128*O$113/1000)</f>
        <v>#REF!</v>
      </c>
      <c r="P227" s="3"/>
      <c r="Q227" s="3"/>
      <c r="R227" s="3"/>
      <c r="S227" s="3"/>
      <c r="T227" s="3"/>
      <c r="U227" s="3"/>
      <c r="V227" s="3"/>
      <c r="W227" s="3"/>
      <c r="X227" s="3"/>
      <c r="Y227" s="3"/>
      <c r="Z227" s="3"/>
    </row>
    <row r="228" spans="1:26" ht="12.75" hidden="1" x14ac:dyDescent="0.2">
      <c r="A228" s="3"/>
      <c r="B228" s="33"/>
      <c r="C228" s="94" t="s">
        <v>273</v>
      </c>
      <c r="D228" s="33"/>
      <c r="E228" s="33"/>
      <c r="F228" s="39" t="e">
        <f>IF(#REF!=0,0,$M40*F$135*$M48*F$128*F$113/1000)</f>
        <v>#REF!</v>
      </c>
      <c r="G228" s="39" t="e">
        <f>IF(#REF!=0,0,$M40*G$135*$M48*G$128*G$113/1000)</f>
        <v>#REF!</v>
      </c>
      <c r="H228" s="39" t="e">
        <f>IF(#REF!=0,0,$M40*H$135*$M48*H$128*H$113/1000)</f>
        <v>#REF!</v>
      </c>
      <c r="I228" s="39" t="e">
        <f>IF(#REF!=0,0,$M40*I$135*$M48*I$128*I$113/1000)</f>
        <v>#REF!</v>
      </c>
      <c r="J228" s="39" t="e">
        <f>IF(#REF!=0,0,$M40*J$135*$M48*J$128*J$113/1000)</f>
        <v>#REF!</v>
      </c>
      <c r="K228" s="39" t="e">
        <f>IF(#REF!=0,0,$M40*K$135*$M48*K$128*K$113/1000)</f>
        <v>#REF!</v>
      </c>
      <c r="L228" s="39" t="e">
        <f>IF(#REF!=0,0,$M40*L$135*$M48*L$128*L$113/1000)</f>
        <v>#REF!</v>
      </c>
      <c r="M228" s="39" t="e">
        <f>IF(#REF!=0,0,$M40*M$135*$M48*M$128*M$113/1000)</f>
        <v>#REF!</v>
      </c>
      <c r="N228" s="39" t="e">
        <f>IF(#REF!=0,0,$M40*N$135*$M48*N$128*N$113/1000)</f>
        <v>#REF!</v>
      </c>
      <c r="O228" s="39" t="e">
        <f>IF(#REF!=0,0,$M40*O$135*$M48*O$128*O$113/1000)</f>
        <v>#REF!</v>
      </c>
      <c r="P228" s="3"/>
      <c r="Q228" s="3"/>
      <c r="R228" s="3"/>
      <c r="S228" s="3"/>
      <c r="T228" s="3"/>
      <c r="U228" s="3"/>
      <c r="V228" s="3"/>
      <c r="W228" s="3"/>
      <c r="X228" s="3"/>
      <c r="Y228" s="3"/>
      <c r="Z228" s="3"/>
    </row>
    <row r="229" spans="1:26" ht="12.75" hidden="1" x14ac:dyDescent="0.2">
      <c r="A229" s="3"/>
      <c r="B229" s="33"/>
      <c r="C229" s="27" t="s">
        <v>323</v>
      </c>
      <c r="D229" s="33"/>
      <c r="E229" s="35"/>
      <c r="F229" s="39">
        <f>$M41*F$135*$M49*F$128*F$113/1000</f>
        <v>0</v>
      </c>
      <c r="G229" s="39">
        <f>$M41*G$135*$M49*G$128*G$113/1000</f>
        <v>0</v>
      </c>
      <c r="H229" s="39">
        <f>$M41*H$135*$M49*H$128*H$113/1000</f>
        <v>0</v>
      </c>
      <c r="I229" s="39">
        <f>$M41*I$135*$M49*I$128*I$113/1000</f>
        <v>0</v>
      </c>
      <c r="J229" s="39">
        <f>$M41*J$135*$M49*J$128*J$113/1000</f>
        <v>0</v>
      </c>
      <c r="K229" s="39">
        <f>$M41*K$135*$M49*K$128*K$113/1000</f>
        <v>0</v>
      </c>
      <c r="L229" s="39">
        <f>$M41*L$135*$M49*L$128*L$113/1000</f>
        <v>0</v>
      </c>
      <c r="M229" s="39">
        <f>$M41*M$135*$M49*M$128*M$113/1000</f>
        <v>0</v>
      </c>
      <c r="N229" s="39">
        <f>$M41*N$135*$M49*N$128*N$113/1000</f>
        <v>0</v>
      </c>
      <c r="O229" s="39">
        <f>$M41*O$135*$M49*O$128*O$113/1000</f>
        <v>0</v>
      </c>
      <c r="P229" s="3"/>
      <c r="Q229" s="3"/>
      <c r="R229" s="3"/>
      <c r="S229" s="3"/>
      <c r="T229" s="3"/>
      <c r="U229" s="3"/>
      <c r="V229" s="3"/>
      <c r="W229" s="3"/>
      <c r="X229" s="3"/>
      <c r="Y229" s="3"/>
      <c r="Z229" s="3"/>
    </row>
    <row r="230" spans="1:26" ht="12.75" hidden="1" x14ac:dyDescent="0.2">
      <c r="A230" s="3"/>
      <c r="B230" s="33"/>
      <c r="C230" s="27" t="s">
        <v>331</v>
      </c>
      <c r="D230" s="33"/>
      <c r="E230" s="35"/>
      <c r="F230" s="39" t="e">
        <f>IF(#REF!=0,0,$M42*F$135*$M50*F$128*F$113/1000)</f>
        <v>#REF!</v>
      </c>
      <c r="G230" s="39" t="e">
        <f>IF(#REF!=0,0,$M42*G$135*$M50*G$128*G$113/1000)</f>
        <v>#REF!</v>
      </c>
      <c r="H230" s="39" t="e">
        <f>IF(#REF!=0,0,$M42*H$135*$M50*H$128*H$113/1000)</f>
        <v>#REF!</v>
      </c>
      <c r="I230" s="39" t="e">
        <f>IF(#REF!=0,0,$M42*I$135*$M50*I$128*I$113/1000)</f>
        <v>#REF!</v>
      </c>
      <c r="J230" s="39" t="e">
        <f>IF(#REF!=0,0,$M42*J$135*$M50*J$128*J$113/1000)</f>
        <v>#REF!</v>
      </c>
      <c r="K230" s="39" t="e">
        <f>IF(#REF!=0,0,$M42*K$135*$M50*K$128*K$113/1000)</f>
        <v>#REF!</v>
      </c>
      <c r="L230" s="39" t="e">
        <f>IF(#REF!=0,0,$M42*L$135*$M50*L$128*L$113/1000)</f>
        <v>#REF!</v>
      </c>
      <c r="M230" s="39" t="e">
        <f>IF(#REF!=0,0,$M42*M$135*$M50*M$128*M$113/1000)</f>
        <v>#REF!</v>
      </c>
      <c r="N230" s="39" t="e">
        <f>IF(#REF!=0,0,$M42*N$135*$M50*N$128*N$113/1000)</f>
        <v>#REF!</v>
      </c>
      <c r="O230" s="39" t="e">
        <f>IF(#REF!=0,0,$M42*O$135*$M50*O$128*O$113/1000)</f>
        <v>#REF!</v>
      </c>
      <c r="P230" s="3"/>
      <c r="Q230" s="3"/>
      <c r="R230" s="3"/>
      <c r="S230" s="3"/>
      <c r="T230" s="3"/>
      <c r="U230" s="3"/>
      <c r="V230" s="3"/>
      <c r="W230" s="3"/>
      <c r="X230" s="3"/>
      <c r="Y230" s="3"/>
      <c r="Z230" s="3"/>
    </row>
    <row r="231" spans="1:26" s="105" customFormat="1" ht="12.75" hidden="1" x14ac:dyDescent="0.2">
      <c r="A231" s="102"/>
      <c r="B231" s="35"/>
      <c r="C231" s="84" t="s">
        <v>293</v>
      </c>
      <c r="D231" s="35"/>
      <c r="E231" s="35"/>
      <c r="F231" s="104">
        <f>$M43*F$135*$M51*F$128*F$113/1000</f>
        <v>0</v>
      </c>
      <c r="G231" s="104">
        <f>$M43*G$135*$M51*G$128*G$113/1000</f>
        <v>0</v>
      </c>
      <c r="H231" s="104">
        <f>$M43*H$135*$M51*H$128*H$113/1000</f>
        <v>0</v>
      </c>
      <c r="I231" s="104">
        <f>$M43*I$135*$M51*I$128*I$113/1000</f>
        <v>0</v>
      </c>
      <c r="J231" s="104">
        <f>$M43*J$135*$M51*J$128*J$113/1000</f>
        <v>0</v>
      </c>
      <c r="K231" s="104">
        <f>$M43*K$135*$M51*K$128*K$113/1000</f>
        <v>0</v>
      </c>
      <c r="L231" s="104">
        <f>$M43*L$135*$M51*L$128*L$113/1000</f>
        <v>0</v>
      </c>
      <c r="M231" s="104">
        <f>$M43*M$135*$M51*M$128*M$113/1000</f>
        <v>0</v>
      </c>
      <c r="N231" s="104">
        <f>$M43*N$135*$M51*N$128*N$113/1000</f>
        <v>0</v>
      </c>
      <c r="O231" s="104">
        <f>$M43*O$135*$M51*O$128*O$113/1000</f>
        <v>0</v>
      </c>
      <c r="P231" s="102"/>
      <c r="Q231" s="102"/>
      <c r="R231" s="102"/>
      <c r="S231" s="102"/>
      <c r="T231" s="102"/>
      <c r="U231" s="102"/>
      <c r="V231" s="102"/>
      <c r="W231" s="102"/>
      <c r="X231" s="102"/>
      <c r="Y231" s="102"/>
      <c r="Z231" s="102"/>
    </row>
    <row r="232" spans="1:26" ht="12.75" hidden="1" x14ac:dyDescent="0.2">
      <c r="A232" s="3"/>
      <c r="B232" s="33"/>
      <c r="C232" s="94" t="s">
        <v>278</v>
      </c>
      <c r="D232" s="33"/>
      <c r="E232" s="35"/>
      <c r="F232" s="39">
        <f>$M44*F$135*$M52*F$128*F$113/1000</f>
        <v>0</v>
      </c>
      <c r="G232" s="39">
        <f>$M44*G$135*$M52*G$128*G$113/1000</f>
        <v>0</v>
      </c>
      <c r="H232" s="39">
        <f>$M44*H$135*$M52*H$128*H$113/1000</f>
        <v>0</v>
      </c>
      <c r="I232" s="39">
        <f>$M44*I$135*$M52*I$128*I$113/1000</f>
        <v>0</v>
      </c>
      <c r="J232" s="39">
        <f>$M44*J$135*$M52*J$128*J$113/1000</f>
        <v>0</v>
      </c>
      <c r="K232" s="39">
        <f>$M44*K$135*$M52*K$128*K$113/1000</f>
        <v>0</v>
      </c>
      <c r="L232" s="39">
        <f>$M44*L$135*$M52*L$128*L$113/1000</f>
        <v>0</v>
      </c>
      <c r="M232" s="39">
        <f>$M44*M$135*$M52*M$128*M$113/1000</f>
        <v>0</v>
      </c>
      <c r="N232" s="39">
        <f>$M44*N$135*$M52*N$128*N$113/1000</f>
        <v>0</v>
      </c>
      <c r="O232" s="39">
        <f>$M44*O$135*$M52*O$128*O$113/1000</f>
        <v>0</v>
      </c>
      <c r="P232" s="3"/>
      <c r="Q232" s="3"/>
      <c r="R232" s="3"/>
      <c r="S232" s="3"/>
      <c r="T232" s="3"/>
      <c r="U232" s="3"/>
      <c r="V232" s="3"/>
      <c r="W232" s="3"/>
      <c r="X232" s="3"/>
      <c r="Y232" s="3"/>
      <c r="Z232" s="3"/>
    </row>
    <row r="233" spans="1:26" ht="12.75" hidden="1" x14ac:dyDescent="0.2">
      <c r="A233" s="3"/>
      <c r="B233" s="33"/>
      <c r="C233" s="9" t="s">
        <v>85</v>
      </c>
      <c r="D233" s="33"/>
      <c r="E233" s="35"/>
      <c r="F233" s="39">
        <f t="shared" ref="F233:O233" si="46">$M$45*$M$52*F$128*F$113/1000</f>
        <v>0</v>
      </c>
      <c r="G233" s="39">
        <f t="shared" si="46"/>
        <v>0</v>
      </c>
      <c r="H233" s="39">
        <f t="shared" si="46"/>
        <v>0</v>
      </c>
      <c r="I233" s="39">
        <f t="shared" si="46"/>
        <v>0</v>
      </c>
      <c r="J233" s="39">
        <f t="shared" si="46"/>
        <v>0</v>
      </c>
      <c r="K233" s="39">
        <f t="shared" si="46"/>
        <v>0</v>
      </c>
      <c r="L233" s="39">
        <f t="shared" si="46"/>
        <v>0</v>
      </c>
      <c r="M233" s="39">
        <f t="shared" si="46"/>
        <v>0</v>
      </c>
      <c r="N233" s="39">
        <f t="shared" si="46"/>
        <v>0</v>
      </c>
      <c r="O233" s="39">
        <f t="shared" si="46"/>
        <v>0</v>
      </c>
      <c r="P233" s="3"/>
      <c r="Q233" s="3"/>
      <c r="R233" s="3"/>
      <c r="S233" s="3"/>
      <c r="T233" s="3"/>
      <c r="U233" s="3"/>
      <c r="V233" s="3"/>
      <c r="W233" s="3"/>
      <c r="X233" s="3"/>
      <c r="Y233" s="3"/>
      <c r="Z233" s="3"/>
    </row>
    <row r="234" spans="1:26" ht="12.75" hidden="1" x14ac:dyDescent="0.2">
      <c r="A234" s="3"/>
      <c r="B234" s="33"/>
      <c r="C234" s="31" t="s">
        <v>207</v>
      </c>
      <c r="D234" s="36"/>
      <c r="E234" s="36"/>
      <c r="F234" s="40" t="e">
        <f t="shared" ref="F234:O234" si="47">SUM(F227:F233)*(1+$F$54)</f>
        <v>#REF!</v>
      </c>
      <c r="G234" s="40" t="e">
        <f t="shared" si="47"/>
        <v>#REF!</v>
      </c>
      <c r="H234" s="40" t="e">
        <f t="shared" si="47"/>
        <v>#REF!</v>
      </c>
      <c r="I234" s="40" t="e">
        <f t="shared" si="47"/>
        <v>#REF!</v>
      </c>
      <c r="J234" s="40" t="e">
        <f t="shared" si="47"/>
        <v>#REF!</v>
      </c>
      <c r="K234" s="40" t="e">
        <f t="shared" si="47"/>
        <v>#REF!</v>
      </c>
      <c r="L234" s="40" t="e">
        <f t="shared" si="47"/>
        <v>#REF!</v>
      </c>
      <c r="M234" s="40" t="e">
        <f t="shared" si="47"/>
        <v>#REF!</v>
      </c>
      <c r="N234" s="40" t="e">
        <f t="shared" si="47"/>
        <v>#REF!</v>
      </c>
      <c r="O234" s="40" t="e">
        <f t="shared" si="47"/>
        <v>#REF!</v>
      </c>
      <c r="P234" s="3"/>
      <c r="Q234" s="3"/>
      <c r="R234" s="3"/>
      <c r="S234" s="3"/>
      <c r="T234" s="3"/>
      <c r="U234" s="3"/>
      <c r="V234" s="3"/>
      <c r="W234" s="3"/>
      <c r="X234" s="3"/>
      <c r="Y234" s="3"/>
      <c r="Z234" s="3"/>
    </row>
    <row r="235" spans="1:26" ht="12.75" hidden="1" x14ac:dyDescent="0.2">
      <c r="A235" s="3"/>
      <c r="B235" s="33"/>
      <c r="C235" s="9"/>
      <c r="D235" s="33"/>
      <c r="E235" s="33"/>
      <c r="F235" s="41"/>
      <c r="G235" s="41"/>
      <c r="H235" s="41"/>
      <c r="I235" s="41"/>
      <c r="J235" s="41"/>
      <c r="K235" s="41"/>
      <c r="L235" s="41"/>
      <c r="M235" s="41"/>
      <c r="N235" s="41"/>
      <c r="O235" s="41"/>
      <c r="P235" s="3"/>
      <c r="Q235" s="3"/>
      <c r="R235" s="3"/>
      <c r="S235" s="3"/>
      <c r="T235" s="3"/>
      <c r="U235" s="3"/>
      <c r="V235" s="3"/>
      <c r="W235" s="3"/>
      <c r="X235" s="3"/>
      <c r="Y235" s="3"/>
      <c r="Z235" s="3"/>
    </row>
    <row r="236" spans="1:26" ht="12.75" hidden="1" x14ac:dyDescent="0.2">
      <c r="A236" s="3"/>
      <c r="B236" s="33"/>
      <c r="C236" s="34" t="s">
        <v>215</v>
      </c>
      <c r="D236" s="33"/>
      <c r="E236" s="33"/>
      <c r="F236" s="41"/>
      <c r="G236" s="41"/>
      <c r="H236" s="41"/>
      <c r="I236" s="41"/>
      <c r="J236" s="41"/>
      <c r="K236" s="41"/>
      <c r="L236" s="41"/>
      <c r="M236" s="41"/>
      <c r="N236" s="41"/>
      <c r="O236" s="41"/>
      <c r="P236" s="3"/>
      <c r="Q236" s="3"/>
      <c r="R236" s="3"/>
      <c r="S236" s="3"/>
      <c r="T236" s="3"/>
      <c r="U236" s="3"/>
      <c r="V236" s="3"/>
      <c r="W236" s="3"/>
      <c r="X236" s="3"/>
      <c r="Y236" s="3"/>
      <c r="Z236" s="3"/>
    </row>
    <row r="237" spans="1:26" ht="12.75" hidden="1" x14ac:dyDescent="0.2">
      <c r="A237" s="3"/>
      <c r="B237" s="33"/>
      <c r="C237" s="9" t="s">
        <v>110</v>
      </c>
      <c r="D237" s="33"/>
      <c r="E237" s="33"/>
      <c r="F237" s="39">
        <f>$M56*F$135*F$113/1000</f>
        <v>0</v>
      </c>
      <c r="G237" s="39">
        <f>$M56*G$135*G$113/1000</f>
        <v>0</v>
      </c>
      <c r="H237" s="39">
        <f>$M56*H$135*H$113/1000</f>
        <v>0</v>
      </c>
      <c r="I237" s="39">
        <f>$M56*I$135*I$113/1000</f>
        <v>0</v>
      </c>
      <c r="J237" s="39">
        <f>$M56*J$135*J$113/1000</f>
        <v>0</v>
      </c>
      <c r="K237" s="39">
        <f>$M56*K$135*K$113/1000</f>
        <v>0</v>
      </c>
      <c r="L237" s="39">
        <f>$M56*L$135*L$113/1000</f>
        <v>0</v>
      </c>
      <c r="M237" s="39">
        <f>$M56*M$135*M$113/1000</f>
        <v>0</v>
      </c>
      <c r="N237" s="39">
        <f>$M56*N$135*N$113/1000</f>
        <v>0</v>
      </c>
      <c r="O237" s="39">
        <f>$M56*O$135*O$113/1000</f>
        <v>0</v>
      </c>
      <c r="P237" s="3"/>
      <c r="Q237" s="3"/>
      <c r="R237" s="3"/>
      <c r="S237" s="3"/>
      <c r="T237" s="3"/>
      <c r="U237" s="3"/>
      <c r="V237" s="3"/>
      <c r="W237" s="3"/>
      <c r="X237" s="3"/>
      <c r="Y237" s="3"/>
      <c r="Z237" s="3"/>
    </row>
    <row r="238" spans="1:26" ht="12.75" hidden="1" x14ac:dyDescent="0.2">
      <c r="A238" s="3"/>
      <c r="B238" s="33"/>
      <c r="C238" s="27" t="s">
        <v>283</v>
      </c>
      <c r="D238" s="33"/>
      <c r="E238" s="33"/>
      <c r="F238" s="107">
        <f t="shared" ref="F238:O238" si="48">($F$58+$F$58*(F$135-1)*($F$57))/1000*F$113</f>
        <v>1.252</v>
      </c>
      <c r="G238" s="107">
        <f t="shared" si="48"/>
        <v>1.350908</v>
      </c>
      <c r="H238" s="107">
        <f t="shared" si="48"/>
        <v>1.4576297319999998</v>
      </c>
      <c r="I238" s="107">
        <f t="shared" si="48"/>
        <v>1.5727824808279998</v>
      </c>
      <c r="J238" s="107">
        <f t="shared" si="48"/>
        <v>1.6970322968134119</v>
      </c>
      <c r="K238" s="107">
        <f t="shared" si="48"/>
        <v>1.8310978482616713</v>
      </c>
      <c r="L238" s="107">
        <f t="shared" si="48"/>
        <v>1.9757545782743433</v>
      </c>
      <c r="M238" s="107">
        <f t="shared" si="48"/>
        <v>2.1318391899580162</v>
      </c>
      <c r="N238" s="107">
        <f t="shared" si="48"/>
        <v>2.3002544859646994</v>
      </c>
      <c r="O238" s="107">
        <f t="shared" si="48"/>
        <v>2.4819745903559109</v>
      </c>
      <c r="P238" s="3"/>
      <c r="Q238" s="3"/>
      <c r="R238" s="3"/>
      <c r="S238" s="3"/>
      <c r="T238" s="3"/>
      <c r="U238" s="3"/>
      <c r="V238" s="3"/>
      <c r="W238" s="3"/>
      <c r="X238" s="3"/>
      <c r="Y238" s="3"/>
      <c r="Z238" s="3"/>
    </row>
    <row r="239" spans="1:26" ht="12.75" hidden="1" x14ac:dyDescent="0.2">
      <c r="A239" s="3"/>
      <c r="B239" s="33"/>
      <c r="C239" s="31" t="s">
        <v>216</v>
      </c>
      <c r="D239" s="36"/>
      <c r="E239" s="36"/>
      <c r="F239" s="40">
        <f t="shared" ref="F239:O239" si="49">SUM(F237:F238)</f>
        <v>1.252</v>
      </c>
      <c r="G239" s="40">
        <f t="shared" si="49"/>
        <v>1.350908</v>
      </c>
      <c r="H239" s="40">
        <f t="shared" si="49"/>
        <v>1.4576297319999998</v>
      </c>
      <c r="I239" s="40">
        <f t="shared" si="49"/>
        <v>1.5727824808279998</v>
      </c>
      <c r="J239" s="40">
        <f t="shared" si="49"/>
        <v>1.6970322968134119</v>
      </c>
      <c r="K239" s="40">
        <f t="shared" si="49"/>
        <v>1.8310978482616713</v>
      </c>
      <c r="L239" s="40">
        <f t="shared" si="49"/>
        <v>1.9757545782743433</v>
      </c>
      <c r="M239" s="40">
        <f t="shared" si="49"/>
        <v>2.1318391899580162</v>
      </c>
      <c r="N239" s="40">
        <f t="shared" si="49"/>
        <v>2.3002544859646994</v>
      </c>
      <c r="O239" s="40">
        <f t="shared" si="49"/>
        <v>2.4819745903559109</v>
      </c>
      <c r="P239" s="3"/>
      <c r="Q239" s="3"/>
      <c r="R239" s="3"/>
      <c r="S239" s="3"/>
      <c r="T239" s="3"/>
      <c r="U239" s="3"/>
      <c r="V239" s="3"/>
      <c r="W239" s="3"/>
      <c r="X239" s="3"/>
      <c r="Y239" s="3"/>
      <c r="Z239" s="3"/>
    </row>
    <row r="240" spans="1:26" ht="12.75" hidden="1" x14ac:dyDescent="0.2">
      <c r="A240" s="3"/>
      <c r="B240" s="33"/>
      <c r="C240" s="30"/>
      <c r="D240" s="62"/>
      <c r="E240" s="62"/>
      <c r="F240" s="63"/>
      <c r="G240" s="63"/>
      <c r="H240" s="63"/>
      <c r="I240" s="63"/>
      <c r="J240" s="63"/>
      <c r="K240" s="63"/>
      <c r="L240" s="63"/>
      <c r="M240" s="63"/>
      <c r="N240" s="63"/>
      <c r="O240" s="63"/>
      <c r="P240" s="3"/>
      <c r="Q240" s="3"/>
      <c r="R240" s="3"/>
      <c r="S240" s="3"/>
      <c r="T240" s="3"/>
      <c r="U240" s="3"/>
      <c r="V240" s="3"/>
      <c r="W240" s="3"/>
      <c r="X240" s="3"/>
      <c r="Y240" s="3"/>
      <c r="Z240" s="3"/>
    </row>
    <row r="241" spans="1:26" ht="12.75" hidden="1" x14ac:dyDescent="0.2">
      <c r="A241" s="3"/>
      <c r="B241" s="33"/>
      <c r="C241" s="34" t="s">
        <v>219</v>
      </c>
      <c r="D241" s="62"/>
      <c r="E241" s="62"/>
      <c r="F241" s="63"/>
      <c r="G241" s="63"/>
      <c r="H241" s="63"/>
      <c r="I241" s="63"/>
      <c r="J241" s="63"/>
      <c r="K241" s="63"/>
      <c r="L241" s="63"/>
      <c r="M241" s="63"/>
      <c r="N241" s="63"/>
      <c r="O241" s="63"/>
      <c r="P241" s="3"/>
      <c r="Q241" s="3"/>
      <c r="R241" s="3"/>
      <c r="S241" s="3"/>
      <c r="T241" s="3"/>
      <c r="U241" s="3"/>
      <c r="V241" s="3"/>
      <c r="W241" s="3"/>
      <c r="X241" s="3"/>
      <c r="Y241" s="3"/>
      <c r="Z241" s="3"/>
    </row>
    <row r="242" spans="1:26" ht="12.75" hidden="1" x14ac:dyDescent="0.2">
      <c r="A242" s="3"/>
      <c r="B242" s="33"/>
      <c r="C242" s="111" t="s">
        <v>312</v>
      </c>
      <c r="D242" s="33"/>
      <c r="E242" s="33"/>
      <c r="F242" s="39" t="e">
        <f>$M$61*$M$69*F$135/1000*#REF!*F$113</f>
        <v>#REF!</v>
      </c>
      <c r="G242" s="39" t="e">
        <f>$M$61*$M$69*G$135/1000*#REF!*G$113</f>
        <v>#REF!</v>
      </c>
      <c r="H242" s="39" t="e">
        <f>$M$61*$M$69*H$135/1000*#REF!*H$113</f>
        <v>#REF!</v>
      </c>
      <c r="I242" s="39" t="e">
        <f>$M$61*$M$69*I$135/1000*#REF!*I$113</f>
        <v>#REF!</v>
      </c>
      <c r="J242" s="39" t="e">
        <f>$M$61*$M$69*J$135/1000*#REF!*J$113</f>
        <v>#REF!</v>
      </c>
      <c r="K242" s="39" t="e">
        <f>$M$61*$M$69*K$135/1000*#REF!*K$113</f>
        <v>#REF!</v>
      </c>
      <c r="L242" s="39" t="e">
        <f>$M$61*$M$69*L$135/1000*#REF!*L$113</f>
        <v>#REF!</v>
      </c>
      <c r="M242" s="39" t="e">
        <f>$M$61*$M$69*M$135/1000*#REF!*M$113</f>
        <v>#REF!</v>
      </c>
      <c r="N242" s="39" t="e">
        <f>$M$61*$M$69*N$135/1000*#REF!*N$113</f>
        <v>#REF!</v>
      </c>
      <c r="O242" s="39" t="e">
        <f>$M$61*$M$69*O$135/1000*#REF!*O$113</f>
        <v>#REF!</v>
      </c>
      <c r="P242" s="3"/>
      <c r="Q242" s="3"/>
      <c r="R242" s="3"/>
      <c r="S242" s="3"/>
      <c r="T242" s="3"/>
      <c r="U242" s="3"/>
      <c r="V242" s="3"/>
      <c r="W242" s="3"/>
      <c r="X242" s="3"/>
      <c r="Y242" s="3"/>
      <c r="Z242" s="3"/>
    </row>
    <row r="243" spans="1:26" ht="12.75" hidden="1" x14ac:dyDescent="0.2">
      <c r="A243" s="3"/>
      <c r="B243" s="33"/>
      <c r="C243" s="111" t="s">
        <v>313</v>
      </c>
      <c r="D243" s="33"/>
      <c r="E243" s="33"/>
      <c r="F243" s="39" t="e">
        <f>IF(#REF!=0,$M62*F$135*$M70/1000*F$113*F$130,0)</f>
        <v>#REF!</v>
      </c>
      <c r="G243" s="39" t="e">
        <f>IF(#REF!=0,$M62*G$135*$M70/1000*G$113*G$130,0)</f>
        <v>#REF!</v>
      </c>
      <c r="H243" s="39" t="e">
        <f>IF(#REF!=0,$M62*H$135*$M70/1000*H$113*H$130,0)</f>
        <v>#REF!</v>
      </c>
      <c r="I243" s="39" t="e">
        <f>IF(#REF!=0,$M62*I$135*$M70/1000*I$113*I$130,0)</f>
        <v>#REF!</v>
      </c>
      <c r="J243" s="39" t="e">
        <f>IF(#REF!=0,$M62*J$135*$M70/1000*J$113*J$130,0)</f>
        <v>#REF!</v>
      </c>
      <c r="K243" s="39" t="e">
        <f>IF(#REF!=0,$M62*K$135*$M70/1000*K$113*K$130,0)</f>
        <v>#REF!</v>
      </c>
      <c r="L243" s="39" t="e">
        <f>IF(#REF!=0,$M62*L$135*$M70/1000*L$113*L$130,0)</f>
        <v>#REF!</v>
      </c>
      <c r="M243" s="39" t="e">
        <f>IF(#REF!=0,$M62*M$135*$M70/1000*M$113*M$130,0)</f>
        <v>#REF!</v>
      </c>
      <c r="N243" s="39" t="e">
        <f>IF(#REF!=0,$M62*N$135*$M70/1000*N$113*N$130,0)</f>
        <v>#REF!</v>
      </c>
      <c r="O243" s="39" t="e">
        <f>IF(#REF!=0,$M62*O$135*$M70/1000*O$113*O$130,0)</f>
        <v>#REF!</v>
      </c>
      <c r="P243" s="3"/>
      <c r="Q243" s="3"/>
      <c r="R243" s="3"/>
      <c r="S243" s="3"/>
      <c r="T243" s="3"/>
      <c r="U243" s="3"/>
      <c r="V243" s="3"/>
      <c r="W243" s="3"/>
      <c r="X243" s="3"/>
      <c r="Y243" s="3"/>
      <c r="Z243" s="3"/>
    </row>
    <row r="244" spans="1:26" ht="12.75" hidden="1" x14ac:dyDescent="0.2">
      <c r="A244" s="3"/>
      <c r="B244" s="33"/>
      <c r="C244" s="27"/>
      <c r="D244" s="33"/>
      <c r="E244" s="33"/>
      <c r="F244" s="39"/>
      <c r="G244" s="39"/>
      <c r="H244" s="39"/>
      <c r="I244" s="39"/>
      <c r="J244" s="39"/>
      <c r="K244" s="39"/>
      <c r="L244" s="39"/>
      <c r="M244" s="39"/>
      <c r="N244" s="39"/>
      <c r="O244" s="39"/>
      <c r="P244" s="3"/>
      <c r="Q244" s="3"/>
      <c r="R244" s="3"/>
      <c r="S244" s="3"/>
      <c r="T244" s="3"/>
      <c r="U244" s="3"/>
      <c r="V244" s="3"/>
      <c r="W244" s="3"/>
      <c r="X244" s="3"/>
      <c r="Y244" s="3"/>
      <c r="Z244" s="3"/>
    </row>
    <row r="245" spans="1:26" ht="12.75" hidden="1" x14ac:dyDescent="0.2">
      <c r="A245" s="3"/>
      <c r="B245" s="33"/>
      <c r="C245" s="9" t="s">
        <v>102</v>
      </c>
      <c r="D245" s="33"/>
      <c r="E245" s="33"/>
      <c r="F245" s="39">
        <f>$M63*F$135*$M71/1000*F$113</f>
        <v>0</v>
      </c>
      <c r="G245" s="39">
        <f>$M63*G$135*$M71/1000*G$113</f>
        <v>0</v>
      </c>
      <c r="H245" s="39">
        <f>$M63*H$135*$M71/1000*H$113</f>
        <v>0</v>
      </c>
      <c r="I245" s="39">
        <f>$M63*I$135*$M71/1000*I$113</f>
        <v>0</v>
      </c>
      <c r="J245" s="39">
        <f>$M63*J$135*$M71/1000*J$113</f>
        <v>0</v>
      </c>
      <c r="K245" s="39">
        <f>$M63*K$135*$M71/1000*K$113</f>
        <v>0</v>
      </c>
      <c r="L245" s="39">
        <f>$M63*L$135*$M71/1000*L$113</f>
        <v>0</v>
      </c>
      <c r="M245" s="39">
        <f>$M63*M$135*$M71/1000*M$113</f>
        <v>0</v>
      </c>
      <c r="N245" s="39">
        <f>$M63*N$135*$M71/1000*N$113</f>
        <v>0</v>
      </c>
      <c r="O245" s="39">
        <f>$M63*O$135*$M71/1000*O$113</f>
        <v>0</v>
      </c>
      <c r="P245" s="3"/>
      <c r="Q245" s="3"/>
      <c r="R245" s="3"/>
      <c r="S245" s="3"/>
      <c r="T245" s="3"/>
      <c r="U245" s="3"/>
      <c r="V245" s="3"/>
      <c r="W245" s="3"/>
      <c r="X245" s="3"/>
      <c r="Y245" s="3"/>
      <c r="Z245" s="3"/>
    </row>
    <row r="246" spans="1:26" s="105" customFormat="1" ht="12.75" hidden="1" x14ac:dyDescent="0.2">
      <c r="A246" s="102"/>
      <c r="B246" s="35"/>
      <c r="C246" s="27" t="s">
        <v>334</v>
      </c>
      <c r="D246" s="35"/>
      <c r="E246" s="35"/>
      <c r="F246" s="39">
        <f>$M64*F$135*$M72/1000*F$113</f>
        <v>0</v>
      </c>
      <c r="G246" s="39">
        <f>$M64*G$135*$M72/1000*G$113</f>
        <v>0</v>
      </c>
      <c r="H246" s="39">
        <f>$M64*H$135*$M72/1000*H$113</f>
        <v>0</v>
      </c>
      <c r="I246" s="39">
        <f>$M64*I$135*$M72/1000*I$113</f>
        <v>0</v>
      </c>
      <c r="J246" s="39">
        <f>$M64*J$135*$M72/1000*J$113</f>
        <v>0</v>
      </c>
      <c r="K246" s="39">
        <f>$M64*K$135*$M72/1000*K$113</f>
        <v>0</v>
      </c>
      <c r="L246" s="39">
        <f>$M64*L$135*$M72/1000*L$113</f>
        <v>0</v>
      </c>
      <c r="M246" s="39">
        <f>$M64*M$135*$M72/1000*M$113</f>
        <v>0</v>
      </c>
      <c r="N246" s="39">
        <f>$M64*N$135*$M72/1000*N$113</f>
        <v>0</v>
      </c>
      <c r="O246" s="39">
        <f>$M64*O$135*$M72/1000*O$113</f>
        <v>0</v>
      </c>
      <c r="P246" s="102"/>
      <c r="Q246" s="102"/>
      <c r="R246" s="102"/>
      <c r="S246" s="102"/>
      <c r="T246" s="102"/>
      <c r="U246" s="102"/>
      <c r="V246" s="102"/>
      <c r="W246" s="102"/>
      <c r="X246" s="102"/>
      <c r="Y246" s="102"/>
      <c r="Z246" s="102"/>
    </row>
    <row r="247" spans="1:26" ht="12.75" hidden="1" x14ac:dyDescent="0.2">
      <c r="A247" s="3"/>
      <c r="B247" s="33"/>
      <c r="C247" s="9" t="s">
        <v>105</v>
      </c>
      <c r="D247" s="33"/>
      <c r="E247" s="33"/>
      <c r="F247" s="39">
        <f>$M65*F$135*$M73/1000*F$113</f>
        <v>0</v>
      </c>
      <c r="G247" s="39">
        <f>$M65*G$135*$M73/1000*G$113</f>
        <v>0</v>
      </c>
      <c r="H247" s="39">
        <f>$M65*H$135*$M73/1000*H$113</f>
        <v>0</v>
      </c>
      <c r="I247" s="39">
        <f>$M65*I$135*$M73/1000*I$113</f>
        <v>0</v>
      </c>
      <c r="J247" s="39">
        <f>$M65*J$135*$M73/1000*J$113</f>
        <v>0</v>
      </c>
      <c r="K247" s="39">
        <f>$M65*K$135*$M73/1000*K$113</f>
        <v>0</v>
      </c>
      <c r="L247" s="39">
        <f>$M65*L$135*$M73/1000*L$113</f>
        <v>0</v>
      </c>
      <c r="M247" s="39">
        <f>$M65*M$135*$M73/1000*M$113</f>
        <v>0</v>
      </c>
      <c r="N247" s="39">
        <f>$M65*N$135*$M73/1000*N$113</f>
        <v>0</v>
      </c>
      <c r="O247" s="39">
        <f>$M65*O$135*$M73/1000*O$113</f>
        <v>0</v>
      </c>
      <c r="P247" s="3"/>
      <c r="Q247" s="3"/>
      <c r="R247" s="3"/>
      <c r="S247" s="3"/>
      <c r="T247" s="3"/>
      <c r="U247" s="3"/>
      <c r="V247" s="3"/>
      <c r="W247" s="3"/>
      <c r="X247" s="3"/>
      <c r="Y247" s="3"/>
      <c r="Z247" s="3"/>
    </row>
    <row r="248" spans="1:26" ht="12.75" hidden="1" x14ac:dyDescent="0.2">
      <c r="A248" s="3"/>
      <c r="B248" s="33"/>
      <c r="C248" s="9"/>
      <c r="D248" s="33"/>
      <c r="E248" s="33"/>
      <c r="F248" s="39"/>
      <c r="G248" s="39"/>
      <c r="H248" s="39"/>
      <c r="I248" s="39"/>
      <c r="J248" s="39"/>
      <c r="K248" s="39"/>
      <c r="L248" s="39"/>
      <c r="M248" s="39"/>
      <c r="N248" s="39"/>
      <c r="O248" s="39"/>
      <c r="P248" s="3"/>
      <c r="Q248" s="3"/>
      <c r="R248" s="3"/>
      <c r="S248" s="3"/>
      <c r="T248" s="3"/>
      <c r="U248" s="3"/>
      <c r="V248" s="3"/>
      <c r="W248" s="3"/>
      <c r="X248" s="3"/>
      <c r="Y248" s="3"/>
      <c r="Z248" s="3"/>
    </row>
    <row r="249" spans="1:26" ht="12.75" hidden="1" x14ac:dyDescent="0.2">
      <c r="A249" s="3"/>
      <c r="B249" s="33"/>
      <c r="C249" s="36" t="s">
        <v>217</v>
      </c>
      <c r="D249" s="36"/>
      <c r="E249" s="36"/>
      <c r="F249" s="48" t="e">
        <f>SUM(F242:F248)</f>
        <v>#REF!</v>
      </c>
      <c r="G249" s="48" t="e">
        <f t="shared" ref="G249:O249" si="50">SUM(G242:G248)</f>
        <v>#REF!</v>
      </c>
      <c r="H249" s="48" t="e">
        <f t="shared" si="50"/>
        <v>#REF!</v>
      </c>
      <c r="I249" s="48" t="e">
        <f t="shared" si="50"/>
        <v>#REF!</v>
      </c>
      <c r="J249" s="48" t="e">
        <f t="shared" si="50"/>
        <v>#REF!</v>
      </c>
      <c r="K249" s="48" t="e">
        <f t="shared" si="50"/>
        <v>#REF!</v>
      </c>
      <c r="L249" s="48" t="e">
        <f t="shared" si="50"/>
        <v>#REF!</v>
      </c>
      <c r="M249" s="48" t="e">
        <f t="shared" si="50"/>
        <v>#REF!</v>
      </c>
      <c r="N249" s="48" t="e">
        <f t="shared" si="50"/>
        <v>#REF!</v>
      </c>
      <c r="O249" s="48" t="e">
        <f t="shared" si="50"/>
        <v>#REF!</v>
      </c>
      <c r="P249" s="3"/>
      <c r="Q249" s="3"/>
      <c r="R249" s="3"/>
      <c r="S249" s="3"/>
      <c r="T249" s="3"/>
      <c r="U249" s="3"/>
      <c r="V249" s="3"/>
      <c r="W249" s="3"/>
      <c r="X249" s="3"/>
      <c r="Y249" s="3"/>
      <c r="Z249" s="3"/>
    </row>
    <row r="250" spans="1:26" ht="12.75" hidden="1" x14ac:dyDescent="0.2">
      <c r="A250" s="3"/>
      <c r="B250" s="33"/>
      <c r="C250" s="33"/>
      <c r="D250" s="33"/>
      <c r="E250" s="33"/>
      <c r="F250" s="33"/>
      <c r="G250" s="33"/>
      <c r="H250" s="33"/>
      <c r="I250" s="33"/>
      <c r="J250" s="33"/>
      <c r="K250" s="33"/>
      <c r="L250" s="33"/>
      <c r="M250" s="33"/>
      <c r="N250" s="33"/>
      <c r="O250" s="33"/>
      <c r="P250" s="3"/>
      <c r="Q250" s="3"/>
      <c r="R250" s="3"/>
      <c r="S250" s="3"/>
      <c r="T250" s="3"/>
      <c r="U250" s="3"/>
      <c r="V250" s="3"/>
      <c r="W250" s="3"/>
      <c r="X250" s="3"/>
      <c r="Y250" s="3"/>
      <c r="Z250" s="3"/>
    </row>
    <row r="251" spans="1:26" ht="12.75" hidden="1" x14ac:dyDescent="0.2">
      <c r="A251" s="3"/>
      <c r="B251" s="33"/>
      <c r="C251" s="34" t="s">
        <v>214</v>
      </c>
      <c r="D251" s="33"/>
      <c r="E251" s="33"/>
      <c r="F251" s="33"/>
      <c r="G251" s="33"/>
      <c r="H251" s="33"/>
      <c r="I251" s="33"/>
      <c r="J251" s="33"/>
      <c r="K251" s="33"/>
      <c r="L251" s="33"/>
      <c r="M251" s="33"/>
      <c r="N251" s="33"/>
      <c r="O251" s="33"/>
      <c r="P251" s="3"/>
      <c r="Q251" s="3"/>
      <c r="R251" s="3"/>
      <c r="S251" s="3"/>
      <c r="T251" s="3"/>
      <c r="U251" s="3"/>
      <c r="V251" s="3"/>
      <c r="W251" s="3"/>
      <c r="X251" s="3"/>
      <c r="Y251" s="3"/>
      <c r="Z251" s="3"/>
    </row>
    <row r="252" spans="1:26" ht="12.75" hidden="1" x14ac:dyDescent="0.2">
      <c r="A252" s="3"/>
      <c r="B252" s="33"/>
      <c r="C252" s="27" t="s">
        <v>499</v>
      </c>
      <c r="D252" s="33"/>
      <c r="E252" s="33"/>
      <c r="F252" s="39" t="e">
        <f>#REF!/1000*F$113</f>
        <v>#REF!</v>
      </c>
      <c r="G252" s="39" t="e">
        <f>#REF!/1000*G$113</f>
        <v>#REF!</v>
      </c>
      <c r="H252" s="39" t="e">
        <f>#REF!/1000*H$113</f>
        <v>#REF!</v>
      </c>
      <c r="I252" s="39" t="e">
        <f>#REF!/1000*I$113</f>
        <v>#REF!</v>
      </c>
      <c r="J252" s="39" t="e">
        <f>#REF!/1000*J$113</f>
        <v>#REF!</v>
      </c>
      <c r="K252" s="39" t="e">
        <f>#REF!/1000*K$113</f>
        <v>#REF!</v>
      </c>
      <c r="L252" s="39" t="e">
        <f>#REF!/1000*L$113</f>
        <v>#REF!</v>
      </c>
      <c r="M252" s="39" t="e">
        <f>#REF!/1000*M$113</f>
        <v>#REF!</v>
      </c>
      <c r="N252" s="39" t="e">
        <f>#REF!/1000*N$113</f>
        <v>#REF!</v>
      </c>
      <c r="O252" s="39" t="e">
        <f>#REF!/1000*O$113</f>
        <v>#REF!</v>
      </c>
      <c r="P252" s="3"/>
      <c r="Q252" s="3"/>
      <c r="R252" s="3"/>
      <c r="S252" s="3"/>
      <c r="T252" s="3"/>
      <c r="U252" s="3"/>
      <c r="V252" s="3"/>
      <c r="W252" s="3"/>
      <c r="X252" s="3"/>
      <c r="Y252" s="3"/>
      <c r="Z252" s="3"/>
    </row>
    <row r="253" spans="1:26" ht="12.75" hidden="1" x14ac:dyDescent="0.2">
      <c r="A253" s="3"/>
      <c r="B253" s="33"/>
      <c r="C253" s="57"/>
      <c r="D253" s="57"/>
      <c r="E253" s="57"/>
      <c r="F253" s="57"/>
      <c r="G253" s="57"/>
      <c r="H253" s="57"/>
      <c r="I253" s="57"/>
      <c r="J253" s="57"/>
      <c r="K253" s="57"/>
      <c r="L253" s="57"/>
      <c r="M253" s="57"/>
      <c r="N253" s="57"/>
      <c r="O253" s="57"/>
      <c r="P253" s="3"/>
      <c r="Q253" s="3"/>
      <c r="R253" s="3"/>
      <c r="S253" s="3"/>
      <c r="T253" s="3"/>
      <c r="U253" s="3"/>
      <c r="V253" s="3"/>
      <c r="W253" s="3"/>
      <c r="X253" s="3"/>
      <c r="Y253" s="3"/>
      <c r="Z253" s="3"/>
    </row>
    <row r="254" spans="1:26" ht="12.75" hidden="1" x14ac:dyDescent="0.2">
      <c r="A254" s="3"/>
      <c r="B254" s="33"/>
      <c r="C254" s="36" t="s">
        <v>220</v>
      </c>
      <c r="D254" s="36"/>
      <c r="E254" s="36"/>
      <c r="F254" s="59" t="e">
        <f t="shared" ref="F254:O254" si="51">SUM(F252:F252)</f>
        <v>#REF!</v>
      </c>
      <c r="G254" s="59" t="e">
        <f t="shared" si="51"/>
        <v>#REF!</v>
      </c>
      <c r="H254" s="59" t="e">
        <f t="shared" si="51"/>
        <v>#REF!</v>
      </c>
      <c r="I254" s="59" t="e">
        <f t="shared" si="51"/>
        <v>#REF!</v>
      </c>
      <c r="J254" s="59" t="e">
        <f t="shared" si="51"/>
        <v>#REF!</v>
      </c>
      <c r="K254" s="59" t="e">
        <f t="shared" si="51"/>
        <v>#REF!</v>
      </c>
      <c r="L254" s="59" t="e">
        <f t="shared" si="51"/>
        <v>#REF!</v>
      </c>
      <c r="M254" s="59" t="e">
        <f t="shared" si="51"/>
        <v>#REF!</v>
      </c>
      <c r="N254" s="59" t="e">
        <f t="shared" si="51"/>
        <v>#REF!</v>
      </c>
      <c r="O254" s="59" t="e">
        <f t="shared" si="51"/>
        <v>#REF!</v>
      </c>
      <c r="P254" s="3"/>
      <c r="Q254" s="3"/>
      <c r="R254" s="3"/>
      <c r="S254" s="3"/>
      <c r="T254" s="3"/>
      <c r="U254" s="3"/>
      <c r="V254" s="3"/>
      <c r="W254" s="3"/>
      <c r="X254" s="3"/>
      <c r="Y254" s="3"/>
      <c r="Z254" s="3"/>
    </row>
    <row r="255" spans="1:26" ht="12.75" hidden="1" x14ac:dyDescent="0.2">
      <c r="A255" s="3"/>
      <c r="B255" s="33"/>
      <c r="C255" s="62"/>
      <c r="D255" s="62"/>
      <c r="E255" s="62"/>
      <c r="F255" s="103"/>
      <c r="G255" s="103"/>
      <c r="H255" s="103"/>
      <c r="I255" s="103"/>
      <c r="J255" s="103"/>
      <c r="K255" s="103"/>
      <c r="L255" s="103"/>
      <c r="M255" s="103"/>
      <c r="N255" s="103"/>
      <c r="O255" s="103"/>
      <c r="P255" s="3"/>
      <c r="Q255" s="3"/>
      <c r="R255" s="3"/>
      <c r="S255" s="3"/>
      <c r="T255" s="3"/>
      <c r="U255" s="3"/>
      <c r="V255" s="3"/>
      <c r="W255" s="3"/>
      <c r="X255" s="3"/>
      <c r="Y255" s="3"/>
      <c r="Z255" s="3"/>
    </row>
    <row r="256" spans="1:26" ht="12.75" hidden="1" x14ac:dyDescent="0.2">
      <c r="A256" s="3"/>
      <c r="B256" s="33"/>
      <c r="C256" s="34" t="s">
        <v>287</v>
      </c>
      <c r="D256" s="62"/>
      <c r="E256" s="62"/>
      <c r="F256" s="103"/>
      <c r="G256" s="103"/>
      <c r="H256" s="103"/>
      <c r="I256" s="103"/>
      <c r="J256" s="103"/>
      <c r="K256" s="103"/>
      <c r="L256" s="103"/>
      <c r="M256" s="103"/>
      <c r="N256" s="103"/>
      <c r="O256" s="103"/>
      <c r="P256" s="3"/>
      <c r="Q256" s="3"/>
      <c r="R256" s="3"/>
      <c r="S256" s="3"/>
      <c r="T256" s="3"/>
      <c r="U256" s="3"/>
      <c r="V256" s="3"/>
      <c r="W256" s="3"/>
      <c r="X256" s="3"/>
      <c r="Y256" s="3"/>
      <c r="Z256" s="3"/>
    </row>
    <row r="257" spans="1:26" ht="12.75" hidden="1" x14ac:dyDescent="0.2">
      <c r="A257" s="3"/>
      <c r="B257" s="33"/>
      <c r="C257" s="27" t="s">
        <v>282</v>
      </c>
      <c r="D257" s="33"/>
      <c r="E257" s="33"/>
      <c r="F257" s="106" t="e">
        <f>$M78*F$113/1000*#REF!</f>
        <v>#REF!</v>
      </c>
      <c r="G257" s="106" t="e">
        <f>$M78*G$113/1000*#REF!</f>
        <v>#REF!</v>
      </c>
      <c r="H257" s="106" t="e">
        <f>$M78*H$113/1000*#REF!</f>
        <v>#REF!</v>
      </c>
      <c r="I257" s="106" t="e">
        <f>$M78*I$113/1000*#REF!</f>
        <v>#REF!</v>
      </c>
      <c r="J257" s="106" t="e">
        <f>$M78*J$113/1000*#REF!</f>
        <v>#REF!</v>
      </c>
      <c r="K257" s="106" t="e">
        <f>$M78*K$113/1000*#REF!</f>
        <v>#REF!</v>
      </c>
      <c r="L257" s="106" t="e">
        <f>$M78*L$113/1000*#REF!</f>
        <v>#REF!</v>
      </c>
      <c r="M257" s="106" t="e">
        <f>$M78*M$113/1000*#REF!</f>
        <v>#REF!</v>
      </c>
      <c r="N257" s="106" t="e">
        <f>$M78*N$113/1000*#REF!</f>
        <v>#REF!</v>
      </c>
      <c r="O257" s="106" t="e">
        <f>$M78*O$113/1000*#REF!</f>
        <v>#REF!</v>
      </c>
      <c r="P257" s="3"/>
      <c r="Q257" s="3"/>
      <c r="R257" s="3"/>
      <c r="S257" s="3"/>
      <c r="T257" s="3"/>
      <c r="U257" s="3"/>
      <c r="V257" s="3"/>
      <c r="W257" s="3"/>
      <c r="X257" s="3"/>
      <c r="Y257" s="3"/>
      <c r="Z257" s="3"/>
    </row>
    <row r="258" spans="1:26" ht="12.75" hidden="1" x14ac:dyDescent="0.2">
      <c r="A258" s="3"/>
      <c r="B258" s="33"/>
      <c r="C258" s="27" t="s">
        <v>284</v>
      </c>
      <c r="D258" s="33"/>
      <c r="E258" s="33"/>
      <c r="F258" s="107" t="e">
        <f>$M79*F$113/1000*(#REF!+#REF!)</f>
        <v>#REF!</v>
      </c>
      <c r="G258" s="107" t="e">
        <f>$M79*G$113/1000*(#REF!+#REF!)</f>
        <v>#REF!</v>
      </c>
      <c r="H258" s="107" t="e">
        <f>$M79*H$113/1000*(#REF!+#REF!)</f>
        <v>#REF!</v>
      </c>
      <c r="I258" s="107" t="e">
        <f>$M79*I$113/1000*(#REF!+#REF!)</f>
        <v>#REF!</v>
      </c>
      <c r="J258" s="107" t="e">
        <f>$M79*J$113/1000*(#REF!+#REF!)</f>
        <v>#REF!</v>
      </c>
      <c r="K258" s="107" t="e">
        <f>$M79*K$113/1000*(#REF!+#REF!)</f>
        <v>#REF!</v>
      </c>
      <c r="L258" s="107" t="e">
        <f>$M79*L$113/1000*(#REF!+#REF!)</f>
        <v>#REF!</v>
      </c>
      <c r="M258" s="107" t="e">
        <f>$M79*M$113/1000*(#REF!+#REF!)</f>
        <v>#REF!</v>
      </c>
      <c r="N258" s="107" t="e">
        <f>$M79*N$113/1000*(#REF!+#REF!)</f>
        <v>#REF!</v>
      </c>
      <c r="O258" s="107" t="e">
        <f>$M79*O$113/1000*(#REF!+#REF!)</f>
        <v>#REF!</v>
      </c>
      <c r="P258" s="3"/>
      <c r="Q258" s="3"/>
      <c r="R258" s="3"/>
      <c r="S258" s="3"/>
      <c r="T258" s="3"/>
      <c r="U258" s="3"/>
      <c r="V258" s="3"/>
      <c r="W258" s="3"/>
      <c r="X258" s="3"/>
      <c r="Y258" s="3"/>
      <c r="Z258" s="3"/>
    </row>
    <row r="259" spans="1:26" ht="12.75" hidden="1" x14ac:dyDescent="0.2">
      <c r="A259" s="3"/>
      <c r="B259" s="33"/>
      <c r="C259" s="31" t="s">
        <v>289</v>
      </c>
      <c r="D259" s="36"/>
      <c r="E259" s="36"/>
      <c r="F259" s="40" t="e">
        <f>SUM(F257:F258)</f>
        <v>#REF!</v>
      </c>
      <c r="G259" s="40" t="e">
        <f t="shared" ref="G259:O259" si="52">SUM(G257:G258)</f>
        <v>#REF!</v>
      </c>
      <c r="H259" s="40" t="e">
        <f t="shared" si="52"/>
        <v>#REF!</v>
      </c>
      <c r="I259" s="40" t="e">
        <f t="shared" si="52"/>
        <v>#REF!</v>
      </c>
      <c r="J259" s="40" t="e">
        <f t="shared" si="52"/>
        <v>#REF!</v>
      </c>
      <c r="K259" s="40" t="e">
        <f t="shared" si="52"/>
        <v>#REF!</v>
      </c>
      <c r="L259" s="40" t="e">
        <f t="shared" si="52"/>
        <v>#REF!</v>
      </c>
      <c r="M259" s="40" t="e">
        <f t="shared" si="52"/>
        <v>#REF!</v>
      </c>
      <c r="N259" s="40" t="e">
        <f t="shared" si="52"/>
        <v>#REF!</v>
      </c>
      <c r="O259" s="40" t="e">
        <f t="shared" si="52"/>
        <v>#REF!</v>
      </c>
      <c r="P259" s="3"/>
      <c r="Q259" s="3"/>
      <c r="R259" s="3"/>
      <c r="S259" s="3"/>
      <c r="T259" s="3"/>
      <c r="U259" s="3"/>
      <c r="V259" s="3"/>
      <c r="W259" s="3"/>
      <c r="X259" s="3"/>
      <c r="Y259" s="3"/>
      <c r="Z259" s="3"/>
    </row>
    <row r="260" spans="1:26" ht="12.75"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x14ac:dyDescent="0.2">
      <c r="A261" s="29" t="s">
        <v>221</v>
      </c>
      <c r="B261" s="2"/>
      <c r="C261" s="2"/>
      <c r="D261" s="6" t="s">
        <v>174</v>
      </c>
      <c r="E261" s="21"/>
      <c r="F261" s="51">
        <v>0</v>
      </c>
      <c r="G261" s="51">
        <v>1</v>
      </c>
      <c r="H261" s="51">
        <v>2</v>
      </c>
      <c r="I261" s="51">
        <v>3</v>
      </c>
      <c r="J261" s="51">
        <v>4</v>
      </c>
      <c r="K261" s="51">
        <v>5</v>
      </c>
      <c r="L261" s="51">
        <v>6</v>
      </c>
      <c r="M261" s="51">
        <v>7</v>
      </c>
      <c r="N261" s="51">
        <v>8</v>
      </c>
      <c r="O261" s="51">
        <v>9</v>
      </c>
      <c r="P261" s="2"/>
      <c r="Q261" s="2"/>
      <c r="R261" s="2"/>
      <c r="S261" s="2"/>
      <c r="T261" s="2"/>
      <c r="U261" s="2"/>
      <c r="V261" s="2"/>
      <c r="W261" s="2"/>
      <c r="X261" s="2"/>
      <c r="Y261" s="2"/>
      <c r="Z261" s="2"/>
    </row>
    <row r="262" spans="1:26" ht="12.75" x14ac:dyDescent="0.2">
      <c r="A262" s="3"/>
      <c r="B262" s="65" t="s">
        <v>244</v>
      </c>
      <c r="C262" s="43"/>
      <c r="D262" s="43"/>
      <c r="E262" s="43"/>
      <c r="F262" s="43"/>
      <c r="G262" s="43"/>
      <c r="H262" s="43"/>
      <c r="I262" s="43"/>
      <c r="J262" s="43"/>
      <c r="K262" s="43"/>
      <c r="L262" s="43"/>
      <c r="M262" s="43"/>
      <c r="N262" s="43"/>
      <c r="O262" s="43"/>
      <c r="P262" s="3"/>
      <c r="Q262" s="3"/>
      <c r="R262" s="3"/>
      <c r="S262" s="3"/>
      <c r="T262" s="3"/>
      <c r="U262" s="3"/>
      <c r="V262" s="3"/>
      <c r="W262" s="3"/>
      <c r="X262" s="3"/>
      <c r="Y262" s="3"/>
      <c r="Z262" s="3"/>
    </row>
    <row r="263" spans="1:26" ht="12.75"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x14ac:dyDescent="0.2">
      <c r="A264" s="3"/>
      <c r="B264" s="32" t="s">
        <v>229</v>
      </c>
      <c r="C264" s="33"/>
      <c r="D264" s="33"/>
      <c r="E264" s="33"/>
      <c r="F264" s="33"/>
      <c r="G264" s="33"/>
      <c r="H264" s="33"/>
      <c r="I264" s="33"/>
      <c r="J264" s="33"/>
      <c r="K264" s="33"/>
      <c r="L264" s="33"/>
      <c r="M264" s="33"/>
      <c r="N264" s="33"/>
      <c r="O264" s="33"/>
      <c r="P264" s="3"/>
      <c r="Q264" s="3"/>
      <c r="R264" s="3"/>
      <c r="S264" s="3"/>
      <c r="T264" s="3"/>
      <c r="U264" s="3"/>
      <c r="V264" s="3"/>
      <c r="W264" s="3"/>
      <c r="X264" s="3"/>
      <c r="Y264" s="3"/>
      <c r="Z264" s="3"/>
    </row>
    <row r="265" spans="1:26" ht="12.75" x14ac:dyDescent="0.2">
      <c r="A265" s="3"/>
      <c r="C265" s="64" t="s">
        <v>222</v>
      </c>
      <c r="D265" s="33"/>
      <c r="E265" s="33"/>
      <c r="F265" s="33"/>
      <c r="G265" s="33"/>
      <c r="H265" s="33"/>
      <c r="I265" s="33"/>
      <c r="J265" s="33"/>
      <c r="K265" s="33"/>
      <c r="L265" s="33"/>
      <c r="M265" s="33"/>
      <c r="N265" s="33"/>
      <c r="O265" s="33"/>
      <c r="P265" s="3"/>
      <c r="Q265" s="3"/>
      <c r="R265" s="3"/>
      <c r="S265" s="3"/>
      <c r="T265" s="3"/>
      <c r="U265" s="3"/>
      <c r="V265" s="3"/>
      <c r="W265" s="3"/>
      <c r="X265" s="3"/>
      <c r="Y265" s="3"/>
      <c r="Z265" s="3"/>
    </row>
    <row r="266" spans="1:26" ht="12.75" x14ac:dyDescent="0.2">
      <c r="A266" s="3"/>
      <c r="B266" s="64"/>
      <c r="C266" s="34" t="s">
        <v>305</v>
      </c>
      <c r="D266" s="33"/>
      <c r="E266" s="33"/>
      <c r="F266" s="33"/>
      <c r="G266" s="33"/>
      <c r="H266" s="33"/>
      <c r="I266" s="33"/>
      <c r="J266" s="33"/>
      <c r="K266" s="33"/>
      <c r="L266" s="33"/>
      <c r="M266" s="33"/>
      <c r="N266" s="33"/>
      <c r="O266" s="33"/>
      <c r="P266" s="3"/>
      <c r="Q266" s="3"/>
      <c r="R266" s="3"/>
      <c r="S266" s="3"/>
      <c r="T266" s="3"/>
      <c r="U266" s="3"/>
      <c r="V266" s="3"/>
      <c r="W266" s="3"/>
      <c r="X266" s="3"/>
      <c r="Y266" s="3"/>
      <c r="Z266" s="3"/>
    </row>
    <row r="267" spans="1:26" ht="12.75" x14ac:dyDescent="0.2">
      <c r="A267" s="3"/>
      <c r="B267" s="33"/>
      <c r="C267" s="9" t="s">
        <v>302</v>
      </c>
      <c r="D267" s="33"/>
      <c r="E267" s="33"/>
      <c r="F267" s="39">
        <f>F155/F$113</f>
        <v>135.65923800000002</v>
      </c>
      <c r="G267" s="39">
        <f>G155/G$113</f>
        <v>137.01583038000001</v>
      </c>
      <c r="H267" s="39">
        <f>H155/H$113</f>
        <v>138.38598868380001</v>
      </c>
      <c r="I267" s="39">
        <f>I155/I$113</f>
        <v>139.769848570638</v>
      </c>
      <c r="J267" s="39">
        <f>J155/J$113</f>
        <v>141.16754705634438</v>
      </c>
      <c r="K267" s="39">
        <f>K155/K$113</f>
        <v>142.57922252690781</v>
      </c>
      <c r="L267" s="39">
        <f>L155/L$113</f>
        <v>144.00501475217689</v>
      </c>
      <c r="M267" s="39">
        <f>M155/M$113</f>
        <v>145.44506489969865</v>
      </c>
      <c r="N267" s="39">
        <f>N155/N$113</f>
        <v>146.89951554869566</v>
      </c>
      <c r="O267" s="39">
        <f>O155/O$113</f>
        <v>148.36851070418263</v>
      </c>
      <c r="P267" s="3"/>
      <c r="Q267" s="3"/>
      <c r="R267" s="3"/>
      <c r="S267" s="3"/>
      <c r="T267" s="3"/>
      <c r="U267" s="3"/>
      <c r="V267" s="3"/>
      <c r="W267" s="3"/>
      <c r="X267" s="3"/>
      <c r="Y267" s="3"/>
      <c r="Z267" s="3"/>
    </row>
    <row r="268" spans="1:26" ht="12.75" x14ac:dyDescent="0.2">
      <c r="A268" s="3"/>
      <c r="B268" s="33"/>
      <c r="C268" s="27" t="s">
        <v>231</v>
      </c>
      <c r="D268" s="33"/>
      <c r="E268" s="33"/>
      <c r="F268" s="39">
        <f>F156/F$113</f>
        <v>38.738699999999994</v>
      </c>
      <c r="G268" s="39">
        <f>G156/G$113</f>
        <v>39.126086999999998</v>
      </c>
      <c r="H268" s="39">
        <f>H156/H$113</f>
        <v>39.517347869999995</v>
      </c>
      <c r="I268" s="39">
        <f>I156/I$113</f>
        <v>39.912521348699997</v>
      </c>
      <c r="J268" s="39">
        <f>J156/J$113</f>
        <v>40.311646562187001</v>
      </c>
      <c r="K268" s="39">
        <f>K156/K$113</f>
        <v>40.714763027808857</v>
      </c>
      <c r="L268" s="39">
        <f>L156/L$113</f>
        <v>41.121910658086946</v>
      </c>
      <c r="M268" s="39">
        <f>M156/M$113</f>
        <v>41.533129764667819</v>
      </c>
      <c r="N268" s="39">
        <f>N156/N$113</f>
        <v>41.9484610623145</v>
      </c>
      <c r="O268" s="39">
        <f>O156/O$113</f>
        <v>42.367945672937644</v>
      </c>
      <c r="P268" s="3"/>
      <c r="Q268" s="3"/>
      <c r="R268" s="3"/>
      <c r="S268" s="3"/>
      <c r="T268" s="3"/>
      <c r="U268" s="3"/>
      <c r="V268" s="3"/>
      <c r="W268" s="3"/>
      <c r="X268" s="3"/>
      <c r="Y268" s="3"/>
      <c r="Z268" s="3"/>
    </row>
    <row r="269" spans="1:26" ht="12.75" x14ac:dyDescent="0.2">
      <c r="A269" s="3"/>
      <c r="B269" s="33"/>
      <c r="C269" s="36" t="s">
        <v>306</v>
      </c>
      <c r="D269" s="36"/>
      <c r="E269" s="36"/>
      <c r="F269" s="59">
        <f t="shared" ref="F269:O269" si="53">F267-F268</f>
        <v>96.920538000000022</v>
      </c>
      <c r="G269" s="59">
        <f t="shared" si="53"/>
        <v>97.889743380000013</v>
      </c>
      <c r="H269" s="59">
        <f t="shared" si="53"/>
        <v>98.868640813800013</v>
      </c>
      <c r="I269" s="59">
        <f t="shared" si="53"/>
        <v>99.857327221938007</v>
      </c>
      <c r="J269" s="59">
        <f t="shared" si="53"/>
        <v>100.85590049415737</v>
      </c>
      <c r="K269" s="59">
        <f t="shared" si="53"/>
        <v>101.86445949909896</v>
      </c>
      <c r="L269" s="59">
        <f t="shared" si="53"/>
        <v>102.88310409408994</v>
      </c>
      <c r="M269" s="59">
        <f t="shared" si="53"/>
        <v>103.91193513503083</v>
      </c>
      <c r="N269" s="59">
        <f t="shared" si="53"/>
        <v>104.95105448638117</v>
      </c>
      <c r="O269" s="59">
        <f t="shared" si="53"/>
        <v>106.00056503124497</v>
      </c>
      <c r="P269" s="3"/>
      <c r="Q269" s="3"/>
      <c r="R269" s="3"/>
      <c r="S269" s="3"/>
      <c r="T269" s="3"/>
      <c r="U269" s="3"/>
      <c r="V269" s="3"/>
      <c r="W269" s="3"/>
      <c r="X269" s="3"/>
      <c r="Y269" s="3"/>
      <c r="Z269" s="3"/>
    </row>
    <row r="270" spans="1:26" ht="12.75" x14ac:dyDescent="0.2">
      <c r="A270" s="3"/>
      <c r="B270" s="33"/>
      <c r="C270" s="27"/>
      <c r="D270" s="33"/>
      <c r="E270" s="33"/>
      <c r="F270" s="41"/>
      <c r="G270" s="37"/>
      <c r="H270" s="37"/>
      <c r="I270" s="37"/>
      <c r="J270" s="37"/>
      <c r="K270" s="37"/>
      <c r="L270" s="37"/>
      <c r="M270" s="37"/>
      <c r="N270" s="37"/>
      <c r="O270" s="37"/>
      <c r="P270" s="3"/>
      <c r="Q270" s="3"/>
      <c r="R270" s="3"/>
      <c r="S270" s="3"/>
      <c r="T270" s="3"/>
      <c r="U270" s="3"/>
      <c r="V270" s="3"/>
      <c r="W270" s="3"/>
      <c r="X270" s="3"/>
      <c r="Y270" s="3"/>
      <c r="Z270" s="3"/>
    </row>
    <row r="271" spans="1:26" ht="12.75" x14ac:dyDescent="0.2">
      <c r="A271" s="3"/>
      <c r="B271" s="33"/>
      <c r="C271" s="34" t="s">
        <v>266</v>
      </c>
      <c r="D271" s="33"/>
      <c r="E271" s="33"/>
      <c r="F271" s="37"/>
      <c r="G271" s="37"/>
      <c r="H271" s="37"/>
      <c r="I271" s="37"/>
      <c r="J271" s="37"/>
      <c r="K271" s="37"/>
      <c r="L271" s="37"/>
      <c r="M271" s="37"/>
      <c r="N271" s="37"/>
      <c r="O271" s="37"/>
      <c r="P271" s="3"/>
      <c r="Q271" s="3"/>
      <c r="R271" s="3"/>
      <c r="S271" s="3"/>
      <c r="T271" s="3"/>
      <c r="U271" s="3"/>
      <c r="V271" s="3"/>
      <c r="W271" s="3"/>
      <c r="X271" s="3"/>
      <c r="Y271" s="3"/>
      <c r="Z271" s="3"/>
    </row>
    <row r="272" spans="1:26" ht="12.75" x14ac:dyDescent="0.2">
      <c r="A272" s="3"/>
      <c r="B272" s="33"/>
      <c r="C272" s="35" t="s">
        <v>267</v>
      </c>
      <c r="D272" s="33"/>
      <c r="E272" s="33"/>
      <c r="F272" s="39">
        <f>$F$88/1000</f>
        <v>0</v>
      </c>
      <c r="G272" s="39">
        <f t="shared" ref="G272:O272" si="54">$F$88/1000</f>
        <v>0</v>
      </c>
      <c r="H272" s="39">
        <f t="shared" si="54"/>
        <v>0</v>
      </c>
      <c r="I272" s="39">
        <f t="shared" si="54"/>
        <v>0</v>
      </c>
      <c r="J272" s="39">
        <f t="shared" si="54"/>
        <v>0</v>
      </c>
      <c r="K272" s="39">
        <f t="shared" si="54"/>
        <v>0</v>
      </c>
      <c r="L272" s="39">
        <f t="shared" si="54"/>
        <v>0</v>
      </c>
      <c r="M272" s="39">
        <f t="shared" si="54"/>
        <v>0</v>
      </c>
      <c r="N272" s="39">
        <f t="shared" si="54"/>
        <v>0</v>
      </c>
      <c r="O272" s="39">
        <f t="shared" si="54"/>
        <v>0</v>
      </c>
      <c r="P272" s="3"/>
      <c r="Q272" s="3"/>
      <c r="R272" s="3"/>
      <c r="S272" s="3"/>
      <c r="T272" s="3"/>
      <c r="U272" s="3"/>
      <c r="V272" s="3"/>
      <c r="W272" s="3"/>
      <c r="X272" s="3"/>
      <c r="Y272" s="3"/>
      <c r="Z272" s="3"/>
    </row>
    <row r="273" spans="1:26" ht="12.75" x14ac:dyDescent="0.2">
      <c r="A273" s="3"/>
      <c r="B273" s="33"/>
      <c r="C273" s="35" t="s">
        <v>138</v>
      </c>
      <c r="D273" s="33"/>
      <c r="E273" s="33"/>
      <c r="F273" s="39">
        <f>IF(F269=0,$F$84*F$133/1000,)</f>
        <v>0</v>
      </c>
      <c r="G273" s="39">
        <f t="shared" ref="G273:O273" si="55">IF(G269=0,$F$84*G$133/1000,)</f>
        <v>0</v>
      </c>
      <c r="H273" s="39">
        <f t="shared" si="55"/>
        <v>0</v>
      </c>
      <c r="I273" s="39">
        <f t="shared" si="55"/>
        <v>0</v>
      </c>
      <c r="J273" s="39">
        <f t="shared" si="55"/>
        <v>0</v>
      </c>
      <c r="K273" s="39">
        <f t="shared" si="55"/>
        <v>0</v>
      </c>
      <c r="L273" s="39">
        <f t="shared" si="55"/>
        <v>0</v>
      </c>
      <c r="M273" s="39">
        <f t="shared" si="55"/>
        <v>0</v>
      </c>
      <c r="N273" s="39">
        <f t="shared" si="55"/>
        <v>0</v>
      </c>
      <c r="O273" s="39">
        <f t="shared" si="55"/>
        <v>0</v>
      </c>
      <c r="P273" s="3"/>
      <c r="Q273" s="3"/>
      <c r="R273" s="3"/>
      <c r="S273" s="3"/>
      <c r="T273" s="3"/>
      <c r="U273" s="3"/>
      <c r="V273" s="3"/>
      <c r="W273" s="3"/>
      <c r="X273" s="3"/>
      <c r="Y273" s="3"/>
      <c r="Z273" s="3"/>
    </row>
    <row r="274" spans="1:26" ht="12.75" x14ac:dyDescent="0.2">
      <c r="A274" s="3"/>
      <c r="B274" s="33"/>
      <c r="C274" s="36" t="s">
        <v>320</v>
      </c>
      <c r="D274" s="36"/>
      <c r="E274" s="36"/>
      <c r="F274" s="59">
        <f>SUM(F272:F273)</f>
        <v>0</v>
      </c>
      <c r="G274" s="59">
        <f t="shared" ref="G274:O274" si="56">SUM(G272:G273)</f>
        <v>0</v>
      </c>
      <c r="H274" s="59">
        <f t="shared" si="56"/>
        <v>0</v>
      </c>
      <c r="I274" s="59">
        <f t="shared" si="56"/>
        <v>0</v>
      </c>
      <c r="J274" s="59">
        <f t="shared" si="56"/>
        <v>0</v>
      </c>
      <c r="K274" s="59">
        <f t="shared" si="56"/>
        <v>0</v>
      </c>
      <c r="L274" s="59">
        <f t="shared" si="56"/>
        <v>0</v>
      </c>
      <c r="M274" s="59">
        <f t="shared" si="56"/>
        <v>0</v>
      </c>
      <c r="N274" s="59">
        <f t="shared" si="56"/>
        <v>0</v>
      </c>
      <c r="O274" s="59">
        <f t="shared" si="56"/>
        <v>0</v>
      </c>
      <c r="P274" s="3"/>
      <c r="Q274" s="3"/>
      <c r="R274" s="3"/>
      <c r="S274" s="3"/>
      <c r="T274" s="3"/>
      <c r="U274" s="3"/>
      <c r="V274" s="3"/>
      <c r="W274" s="3"/>
      <c r="X274" s="3"/>
      <c r="Y274" s="3"/>
      <c r="Z274" s="3"/>
    </row>
    <row r="275" spans="1:26" ht="12.75" x14ac:dyDescent="0.2">
      <c r="A275" s="3"/>
      <c r="B275" s="33"/>
      <c r="C275" s="27"/>
      <c r="D275" s="33"/>
      <c r="E275" s="33"/>
      <c r="F275" s="37"/>
      <c r="G275" s="37"/>
      <c r="H275" s="37"/>
      <c r="I275" s="37"/>
      <c r="J275" s="37"/>
      <c r="K275" s="37"/>
      <c r="L275" s="37"/>
      <c r="M275" s="37"/>
      <c r="N275" s="37"/>
      <c r="O275" s="37"/>
      <c r="P275" s="3"/>
      <c r="Q275" s="3"/>
      <c r="R275" s="3"/>
      <c r="S275" s="3"/>
      <c r="T275" s="3"/>
      <c r="U275" s="3"/>
      <c r="V275" s="3"/>
      <c r="W275" s="3"/>
      <c r="X275" s="3"/>
      <c r="Y275" s="3"/>
      <c r="Z275" s="3"/>
    </row>
    <row r="276" spans="1:26" ht="12.75" x14ac:dyDescent="0.2">
      <c r="A276" s="3"/>
      <c r="B276" s="33"/>
      <c r="C276" s="66" t="s">
        <v>230</v>
      </c>
      <c r="D276" s="66"/>
      <c r="E276" s="66"/>
      <c r="F276" s="67">
        <f>F269+F274</f>
        <v>96.920538000000022</v>
      </c>
      <c r="G276" s="67">
        <f t="shared" ref="G276:O276" si="57">G269+G274</f>
        <v>97.889743380000013</v>
      </c>
      <c r="H276" s="67">
        <f t="shared" si="57"/>
        <v>98.868640813800013</v>
      </c>
      <c r="I276" s="67">
        <f t="shared" si="57"/>
        <v>99.857327221938007</v>
      </c>
      <c r="J276" s="67">
        <f t="shared" si="57"/>
        <v>100.85590049415737</v>
      </c>
      <c r="K276" s="67">
        <f t="shared" si="57"/>
        <v>101.86445949909896</v>
      </c>
      <c r="L276" s="67">
        <f t="shared" si="57"/>
        <v>102.88310409408994</v>
      </c>
      <c r="M276" s="67">
        <f t="shared" si="57"/>
        <v>103.91193513503083</v>
      </c>
      <c r="N276" s="67">
        <f t="shared" si="57"/>
        <v>104.95105448638117</v>
      </c>
      <c r="O276" s="67">
        <f t="shared" si="57"/>
        <v>106.00056503124497</v>
      </c>
      <c r="P276" s="3"/>
      <c r="Q276" s="3"/>
      <c r="R276" s="3"/>
      <c r="S276" s="3"/>
      <c r="T276" s="3"/>
      <c r="U276" s="3"/>
      <c r="V276" s="3"/>
      <c r="W276" s="3"/>
      <c r="X276" s="3"/>
      <c r="Y276" s="3"/>
      <c r="Z276" s="3"/>
    </row>
    <row r="277" spans="1:26" ht="12.75" x14ac:dyDescent="0.2">
      <c r="A277" s="3"/>
      <c r="B277" s="33"/>
      <c r="C277" s="33"/>
      <c r="D277" s="33"/>
      <c r="E277" s="33"/>
      <c r="F277" s="33"/>
      <c r="G277" s="33"/>
      <c r="H277" s="33"/>
      <c r="I277" s="33"/>
      <c r="J277" s="33"/>
      <c r="K277" s="33"/>
      <c r="L277" s="33"/>
      <c r="M277" s="33"/>
      <c r="N277" s="33"/>
      <c r="O277" s="33"/>
      <c r="P277" s="3"/>
      <c r="Q277" s="3"/>
      <c r="R277" s="3"/>
      <c r="S277" s="3"/>
      <c r="T277" s="3"/>
      <c r="U277" s="3"/>
      <c r="V277" s="3"/>
      <c r="W277" s="3"/>
      <c r="X277" s="3"/>
      <c r="Y277" s="3"/>
      <c r="Z277" s="3"/>
    </row>
    <row r="278" spans="1:26" ht="12.75" x14ac:dyDescent="0.2">
      <c r="A278" s="3"/>
      <c r="C278" s="64" t="s">
        <v>235</v>
      </c>
      <c r="D278" s="33"/>
      <c r="E278" s="33"/>
      <c r="F278" s="33"/>
      <c r="G278" s="33"/>
      <c r="H278" s="33"/>
      <c r="I278" s="33"/>
      <c r="J278" s="33"/>
      <c r="K278" s="33"/>
      <c r="L278" s="33"/>
      <c r="M278" s="33"/>
      <c r="N278" s="33"/>
      <c r="O278" s="33"/>
      <c r="P278" s="3"/>
      <c r="Q278" s="3"/>
      <c r="R278" s="3"/>
      <c r="S278" s="3"/>
      <c r="T278" s="3"/>
      <c r="U278" s="3"/>
      <c r="V278" s="3"/>
      <c r="W278" s="3"/>
      <c r="X278" s="3"/>
      <c r="Y278" s="3"/>
      <c r="Z278" s="3"/>
    </row>
    <row r="279" spans="1:26" ht="12.75" x14ac:dyDescent="0.2">
      <c r="A279" s="3"/>
      <c r="B279" s="64"/>
      <c r="C279" s="34" t="s">
        <v>144</v>
      </c>
      <c r="D279" s="33"/>
      <c r="E279" s="33"/>
      <c r="F279" s="33"/>
      <c r="G279" s="33"/>
      <c r="H279" s="33"/>
      <c r="I279" s="33"/>
      <c r="J279" s="33"/>
      <c r="K279" s="33"/>
      <c r="L279" s="33"/>
      <c r="M279" s="33"/>
      <c r="N279" s="33"/>
      <c r="O279" s="33"/>
      <c r="P279" s="3"/>
      <c r="Q279" s="3"/>
      <c r="R279" s="3"/>
      <c r="S279" s="3"/>
      <c r="T279" s="3"/>
      <c r="U279" s="3"/>
      <c r="V279" s="3"/>
      <c r="W279" s="3"/>
      <c r="X279" s="3"/>
      <c r="Y279" s="3"/>
      <c r="Z279" s="3"/>
    </row>
    <row r="280" spans="1:26" ht="12.75" x14ac:dyDescent="0.2">
      <c r="A280" s="3"/>
      <c r="B280" s="64"/>
      <c r="C280" s="35" t="s">
        <v>245</v>
      </c>
      <c r="D280" s="33"/>
      <c r="E280" s="33"/>
      <c r="F280" s="39">
        <f>$F$88*(1+$F$89)/1000</f>
        <v>0</v>
      </c>
      <c r="G280" s="39">
        <f t="shared" ref="G280:O280" si="58">$F$88*(1+$F$89)/1000</f>
        <v>0</v>
      </c>
      <c r="H280" s="39">
        <f t="shared" si="58"/>
        <v>0</v>
      </c>
      <c r="I280" s="39">
        <f t="shared" si="58"/>
        <v>0</v>
      </c>
      <c r="J280" s="39">
        <f t="shared" si="58"/>
        <v>0</v>
      </c>
      <c r="K280" s="39">
        <f t="shared" si="58"/>
        <v>0</v>
      </c>
      <c r="L280" s="39">
        <f t="shared" si="58"/>
        <v>0</v>
      </c>
      <c r="M280" s="39">
        <f t="shared" si="58"/>
        <v>0</v>
      </c>
      <c r="N280" s="39">
        <f t="shared" si="58"/>
        <v>0</v>
      </c>
      <c r="O280" s="39">
        <f t="shared" si="58"/>
        <v>0</v>
      </c>
      <c r="P280" s="3"/>
      <c r="Q280" s="3"/>
      <c r="R280" s="3"/>
      <c r="S280" s="3"/>
      <c r="T280" s="3"/>
      <c r="U280" s="3"/>
      <c r="V280" s="3"/>
      <c r="W280" s="3"/>
      <c r="X280" s="3"/>
      <c r="Y280" s="3"/>
      <c r="Z280" s="3"/>
    </row>
    <row r="281" spans="1:26" ht="12.75" x14ac:dyDescent="0.2">
      <c r="A281" s="3"/>
      <c r="B281" s="64"/>
      <c r="C281" s="36" t="s">
        <v>245</v>
      </c>
      <c r="D281" s="36"/>
      <c r="E281" s="36"/>
      <c r="F281" s="59">
        <f>F280</f>
        <v>0</v>
      </c>
      <c r="G281" s="59">
        <f t="shared" ref="G281:O281" si="59">G280</f>
        <v>0</v>
      </c>
      <c r="H281" s="59">
        <f t="shared" si="59"/>
        <v>0</v>
      </c>
      <c r="I281" s="59">
        <f t="shared" si="59"/>
        <v>0</v>
      </c>
      <c r="J281" s="59">
        <f t="shared" si="59"/>
        <v>0</v>
      </c>
      <c r="K281" s="59">
        <f t="shared" si="59"/>
        <v>0</v>
      </c>
      <c r="L281" s="59">
        <f t="shared" si="59"/>
        <v>0</v>
      </c>
      <c r="M281" s="59">
        <f t="shared" si="59"/>
        <v>0</v>
      </c>
      <c r="N281" s="59">
        <f t="shared" si="59"/>
        <v>0</v>
      </c>
      <c r="O281" s="59">
        <f t="shared" si="59"/>
        <v>0</v>
      </c>
      <c r="P281" s="3"/>
      <c r="Q281" s="3"/>
      <c r="R281" s="3"/>
      <c r="S281" s="3"/>
      <c r="T281" s="3"/>
      <c r="U281" s="3"/>
      <c r="V281" s="3"/>
      <c r="W281" s="3"/>
      <c r="X281" s="3"/>
      <c r="Y281" s="3"/>
      <c r="Z281" s="3"/>
    </row>
    <row r="282" spans="1:26" ht="12.75" x14ac:dyDescent="0.2">
      <c r="A282" s="3"/>
      <c r="B282" s="64"/>
      <c r="C282" s="64"/>
      <c r="D282" s="33"/>
      <c r="E282" s="33"/>
      <c r="F282" s="33"/>
      <c r="G282" s="33"/>
      <c r="H282" s="33"/>
      <c r="I282" s="33"/>
      <c r="J282" s="33"/>
      <c r="K282" s="33"/>
      <c r="L282" s="33"/>
      <c r="M282" s="33"/>
      <c r="N282" s="33"/>
      <c r="O282" s="33"/>
      <c r="P282" s="3"/>
      <c r="Q282" s="3"/>
      <c r="R282" s="3"/>
      <c r="S282" s="3"/>
      <c r="T282" s="3"/>
      <c r="U282" s="3"/>
      <c r="V282" s="3"/>
      <c r="W282" s="3"/>
      <c r="X282" s="3"/>
      <c r="Y282" s="3"/>
      <c r="Z282" s="3"/>
    </row>
    <row r="283" spans="1:26" ht="12.75" x14ac:dyDescent="0.2">
      <c r="A283" s="3"/>
      <c r="B283" s="33"/>
      <c r="C283" s="34" t="s">
        <v>218</v>
      </c>
      <c r="D283" s="33"/>
      <c r="E283" s="33"/>
      <c r="F283" s="33"/>
      <c r="G283" s="33"/>
      <c r="H283" s="33"/>
      <c r="I283" s="33"/>
      <c r="J283" s="33"/>
      <c r="K283" s="33"/>
      <c r="L283" s="33"/>
      <c r="M283" s="33"/>
      <c r="N283" s="33"/>
      <c r="O283" s="33"/>
      <c r="P283" s="3"/>
      <c r="Q283" s="3"/>
      <c r="R283" s="3"/>
      <c r="S283" s="3"/>
      <c r="T283" s="3"/>
      <c r="U283" s="3"/>
      <c r="V283" s="3"/>
      <c r="W283" s="3"/>
      <c r="X283" s="3"/>
      <c r="Y283" s="3"/>
      <c r="Z283" s="3"/>
    </row>
    <row r="284" spans="1:26" ht="12.75" x14ac:dyDescent="0.2">
      <c r="A284" s="3"/>
      <c r="B284" s="33"/>
      <c r="C284" s="94" t="s">
        <v>272</v>
      </c>
      <c r="D284" s="33"/>
      <c r="E284" s="33"/>
      <c r="F284" s="39">
        <f t="shared" ref="F284:O284" si="60">F169/F$113</f>
        <v>6.7980000000000009</v>
      </c>
      <c r="G284" s="39">
        <f t="shared" si="60"/>
        <v>6.7980000000000009</v>
      </c>
      <c r="H284" s="39">
        <f t="shared" si="60"/>
        <v>6.7980000000000009</v>
      </c>
      <c r="I284" s="39">
        <f t="shared" si="60"/>
        <v>6.798</v>
      </c>
      <c r="J284" s="39">
        <f t="shared" si="60"/>
        <v>6.798</v>
      </c>
      <c r="K284" s="39">
        <f t="shared" si="60"/>
        <v>6.798</v>
      </c>
      <c r="L284" s="39">
        <f t="shared" si="60"/>
        <v>6.7980000000000009</v>
      </c>
      <c r="M284" s="39">
        <f t="shared" si="60"/>
        <v>6.7980000000000009</v>
      </c>
      <c r="N284" s="39">
        <f t="shared" si="60"/>
        <v>6.7980000000000009</v>
      </c>
      <c r="O284" s="39">
        <f t="shared" si="60"/>
        <v>6.7980000000000009</v>
      </c>
      <c r="P284" s="3"/>
      <c r="Q284" s="3"/>
      <c r="R284" s="3"/>
      <c r="S284" s="3"/>
      <c r="T284" s="3"/>
      <c r="U284" s="3"/>
      <c r="V284" s="3"/>
      <c r="W284" s="3"/>
      <c r="X284" s="3"/>
      <c r="Y284" s="3"/>
      <c r="Z284" s="3"/>
    </row>
    <row r="285" spans="1:26" ht="12.75" x14ac:dyDescent="0.2">
      <c r="A285" s="3"/>
      <c r="B285" s="33"/>
      <c r="C285" s="94" t="s">
        <v>273</v>
      </c>
      <c r="D285" s="33"/>
      <c r="E285" s="33"/>
      <c r="F285" s="39">
        <f t="shared" ref="F285:O285" si="61">F170/F$113</f>
        <v>6.0324000000000009</v>
      </c>
      <c r="G285" s="39">
        <f t="shared" si="61"/>
        <v>6.0324</v>
      </c>
      <c r="H285" s="39">
        <f t="shared" si="61"/>
        <v>6.0324000000000009</v>
      </c>
      <c r="I285" s="39">
        <f t="shared" si="61"/>
        <v>6.0324</v>
      </c>
      <c r="J285" s="39">
        <f t="shared" si="61"/>
        <v>6.0324</v>
      </c>
      <c r="K285" s="39">
        <f t="shared" si="61"/>
        <v>6.0324000000000009</v>
      </c>
      <c r="L285" s="39">
        <f t="shared" si="61"/>
        <v>6.0324</v>
      </c>
      <c r="M285" s="39">
        <f t="shared" si="61"/>
        <v>6.0324</v>
      </c>
      <c r="N285" s="39">
        <f t="shared" si="61"/>
        <v>6.0324000000000009</v>
      </c>
      <c r="O285" s="39">
        <f t="shared" si="61"/>
        <v>6.0324000000000009</v>
      </c>
      <c r="P285" s="3"/>
      <c r="Q285" s="3"/>
      <c r="R285" s="3"/>
      <c r="S285" s="3"/>
      <c r="T285" s="3"/>
      <c r="U285" s="3"/>
      <c r="V285" s="3"/>
      <c r="W285" s="3"/>
      <c r="X285" s="3"/>
      <c r="Y285" s="3"/>
      <c r="Z285" s="3"/>
    </row>
    <row r="286" spans="1:26" ht="12.75" x14ac:dyDescent="0.2">
      <c r="A286" s="3"/>
      <c r="B286" s="33"/>
      <c r="C286" s="27" t="s">
        <v>323</v>
      </c>
      <c r="D286" s="33"/>
      <c r="E286" s="33"/>
      <c r="F286" s="39">
        <f t="shared" ref="F286:O286" si="62">F171/F$113</f>
        <v>3.9171000000000005</v>
      </c>
      <c r="G286" s="39">
        <f t="shared" si="62"/>
        <v>3.9171000000000005</v>
      </c>
      <c r="H286" s="39">
        <f t="shared" si="62"/>
        <v>3.9171000000000009</v>
      </c>
      <c r="I286" s="39">
        <f t="shared" si="62"/>
        <v>3.9171</v>
      </c>
      <c r="J286" s="39">
        <f t="shared" si="62"/>
        <v>3.9171</v>
      </c>
      <c r="K286" s="39">
        <f t="shared" si="62"/>
        <v>3.9171000000000005</v>
      </c>
      <c r="L286" s="39">
        <f t="shared" si="62"/>
        <v>3.9171</v>
      </c>
      <c r="M286" s="39">
        <f t="shared" si="62"/>
        <v>3.9171000000000005</v>
      </c>
      <c r="N286" s="39">
        <f t="shared" si="62"/>
        <v>3.9171</v>
      </c>
      <c r="O286" s="39">
        <f t="shared" si="62"/>
        <v>3.9171000000000005</v>
      </c>
      <c r="P286" s="3"/>
      <c r="Q286" s="3"/>
      <c r="R286" s="3"/>
      <c r="S286" s="3"/>
      <c r="T286" s="3"/>
      <c r="U286" s="3"/>
      <c r="V286" s="3"/>
      <c r="W286" s="3"/>
      <c r="X286" s="3"/>
      <c r="Y286" s="3"/>
      <c r="Z286" s="3"/>
    </row>
    <row r="287" spans="1:26" ht="12.75" x14ac:dyDescent="0.2">
      <c r="A287" s="3"/>
      <c r="B287" s="33"/>
      <c r="C287" s="27" t="s">
        <v>331</v>
      </c>
      <c r="D287" s="33"/>
      <c r="E287" s="33"/>
      <c r="F287" s="39">
        <f t="shared" ref="F287:O287" si="63">F172/F$113</f>
        <v>12.3123</v>
      </c>
      <c r="G287" s="39">
        <f t="shared" si="63"/>
        <v>12.3123</v>
      </c>
      <c r="H287" s="39">
        <f t="shared" si="63"/>
        <v>12.3123</v>
      </c>
      <c r="I287" s="39">
        <f t="shared" si="63"/>
        <v>12.312300000000002</v>
      </c>
      <c r="J287" s="39">
        <f t="shared" si="63"/>
        <v>12.312299999999999</v>
      </c>
      <c r="K287" s="39">
        <f t="shared" si="63"/>
        <v>12.312300000000002</v>
      </c>
      <c r="L287" s="39">
        <f t="shared" si="63"/>
        <v>12.312300000000002</v>
      </c>
      <c r="M287" s="39">
        <f t="shared" si="63"/>
        <v>12.312300000000002</v>
      </c>
      <c r="N287" s="39">
        <f t="shared" si="63"/>
        <v>12.3123</v>
      </c>
      <c r="O287" s="39">
        <f t="shared" si="63"/>
        <v>12.3123</v>
      </c>
      <c r="P287" s="3"/>
      <c r="Q287" s="3"/>
      <c r="R287" s="3"/>
      <c r="S287" s="3"/>
      <c r="T287" s="3"/>
      <c r="U287" s="3"/>
      <c r="V287" s="3"/>
      <c r="W287" s="3"/>
      <c r="X287" s="3"/>
      <c r="Y287" s="3"/>
      <c r="Z287" s="3"/>
    </row>
    <row r="288" spans="1:26" s="105" customFormat="1" ht="12.75" x14ac:dyDescent="0.2">
      <c r="A288" s="102"/>
      <c r="B288" s="35"/>
      <c r="C288" s="84" t="s">
        <v>293</v>
      </c>
      <c r="D288" s="35"/>
      <c r="E288" s="35"/>
      <c r="F288" s="104">
        <f t="shared" ref="F288:O288" si="64">F173/F$113</f>
        <v>1.4751000000000001</v>
      </c>
      <c r="G288" s="104">
        <f t="shared" si="64"/>
        <v>1.4751000000000001</v>
      </c>
      <c r="H288" s="104">
        <f t="shared" si="64"/>
        <v>1.4751000000000001</v>
      </c>
      <c r="I288" s="104">
        <f t="shared" si="64"/>
        <v>1.4751000000000001</v>
      </c>
      <c r="J288" s="104">
        <f t="shared" si="64"/>
        <v>1.4751000000000001</v>
      </c>
      <c r="K288" s="104">
        <f t="shared" si="64"/>
        <v>1.4751000000000003</v>
      </c>
      <c r="L288" s="104">
        <f t="shared" si="64"/>
        <v>1.4751000000000003</v>
      </c>
      <c r="M288" s="104">
        <f t="shared" si="64"/>
        <v>1.4751000000000001</v>
      </c>
      <c r="N288" s="104">
        <f t="shared" si="64"/>
        <v>1.4751000000000001</v>
      </c>
      <c r="O288" s="104">
        <f t="shared" si="64"/>
        <v>1.4751000000000001</v>
      </c>
      <c r="P288" s="102"/>
      <c r="Q288" s="102"/>
      <c r="R288" s="102"/>
      <c r="S288" s="102"/>
      <c r="T288" s="102"/>
      <c r="U288" s="102"/>
      <c r="V288" s="102"/>
      <c r="W288" s="102"/>
      <c r="X288" s="102"/>
      <c r="Y288" s="102"/>
      <c r="Z288" s="102"/>
    </row>
    <row r="289" spans="1:26" ht="12.75" x14ac:dyDescent="0.2">
      <c r="A289" s="3"/>
      <c r="B289" s="33"/>
      <c r="C289" s="94" t="s">
        <v>278</v>
      </c>
      <c r="D289" s="33"/>
      <c r="E289" s="33"/>
      <c r="F289" s="39">
        <f t="shared" ref="F289:O289" si="65">F174/F$113</f>
        <v>17.022500000000004</v>
      </c>
      <c r="G289" s="39">
        <f t="shared" si="65"/>
        <v>17.022500000000004</v>
      </c>
      <c r="H289" s="39">
        <f t="shared" si="65"/>
        <v>17.022500000000004</v>
      </c>
      <c r="I289" s="39">
        <f t="shared" si="65"/>
        <v>17.022500000000004</v>
      </c>
      <c r="J289" s="39">
        <f t="shared" si="65"/>
        <v>17.022500000000004</v>
      </c>
      <c r="K289" s="39">
        <f t="shared" si="65"/>
        <v>17.022500000000004</v>
      </c>
      <c r="L289" s="39">
        <f t="shared" si="65"/>
        <v>17.022500000000004</v>
      </c>
      <c r="M289" s="39">
        <f t="shared" si="65"/>
        <v>17.022500000000004</v>
      </c>
      <c r="N289" s="39">
        <f t="shared" si="65"/>
        <v>17.022500000000004</v>
      </c>
      <c r="O289" s="39">
        <f t="shared" si="65"/>
        <v>17.022500000000004</v>
      </c>
      <c r="P289" s="3"/>
      <c r="Q289" s="3"/>
      <c r="R289" s="3"/>
      <c r="S289" s="3"/>
      <c r="T289" s="3"/>
      <c r="U289" s="3"/>
      <c r="V289" s="3"/>
      <c r="W289" s="3"/>
      <c r="X289" s="3"/>
      <c r="Y289" s="3"/>
      <c r="Z289" s="3"/>
    </row>
    <row r="290" spans="1:26" ht="12.75" x14ac:dyDescent="0.2">
      <c r="A290" s="3"/>
      <c r="B290" s="33"/>
      <c r="C290" s="9" t="s">
        <v>85</v>
      </c>
      <c r="D290" s="33"/>
      <c r="E290" s="33"/>
      <c r="F290" s="39">
        <f t="shared" ref="F290:O290" si="66">F175/F$113</f>
        <v>0</v>
      </c>
      <c r="G290" s="39">
        <f t="shared" si="66"/>
        <v>0</v>
      </c>
      <c r="H290" s="39">
        <f t="shared" si="66"/>
        <v>0</v>
      </c>
      <c r="I290" s="39">
        <f t="shared" si="66"/>
        <v>0</v>
      </c>
      <c r="J290" s="39">
        <f t="shared" si="66"/>
        <v>0</v>
      </c>
      <c r="K290" s="39">
        <f t="shared" si="66"/>
        <v>0</v>
      </c>
      <c r="L290" s="39">
        <f t="shared" si="66"/>
        <v>0</v>
      </c>
      <c r="M290" s="39">
        <f t="shared" si="66"/>
        <v>0</v>
      </c>
      <c r="N290" s="39">
        <f t="shared" si="66"/>
        <v>0</v>
      </c>
      <c r="O290" s="39">
        <f t="shared" si="66"/>
        <v>0</v>
      </c>
      <c r="P290" s="3"/>
      <c r="Q290" s="3"/>
      <c r="R290" s="3"/>
      <c r="S290" s="3"/>
      <c r="T290" s="3"/>
      <c r="U290" s="3"/>
      <c r="V290" s="3"/>
      <c r="W290" s="3"/>
      <c r="X290" s="3"/>
      <c r="Y290" s="3"/>
      <c r="Z290" s="3"/>
    </row>
    <row r="291" spans="1:26" ht="12.75" x14ac:dyDescent="0.2">
      <c r="A291" s="3"/>
      <c r="B291" s="33"/>
      <c r="C291" s="36" t="s">
        <v>207</v>
      </c>
      <c r="D291" s="36"/>
      <c r="E291" s="36"/>
      <c r="F291" s="59">
        <f>SUM(F284:F290)</f>
        <v>47.557400000000008</v>
      </c>
      <c r="G291" s="59">
        <f t="shared" ref="G291:O291" si="67">SUM(G284:G290)</f>
        <v>47.557400000000008</v>
      </c>
      <c r="H291" s="59">
        <f t="shared" si="67"/>
        <v>47.557400000000008</v>
      </c>
      <c r="I291" s="59">
        <f t="shared" si="67"/>
        <v>47.557400000000008</v>
      </c>
      <c r="J291" s="59">
        <f t="shared" si="67"/>
        <v>47.557400000000008</v>
      </c>
      <c r="K291" s="59">
        <f t="shared" si="67"/>
        <v>47.557400000000008</v>
      </c>
      <c r="L291" s="59">
        <f t="shared" si="67"/>
        <v>47.557400000000008</v>
      </c>
      <c r="M291" s="59">
        <f t="shared" si="67"/>
        <v>47.557400000000008</v>
      </c>
      <c r="N291" s="59">
        <f t="shared" si="67"/>
        <v>47.557400000000008</v>
      </c>
      <c r="O291" s="59">
        <f t="shared" si="67"/>
        <v>47.557400000000008</v>
      </c>
      <c r="P291" s="3"/>
      <c r="Q291" s="3"/>
      <c r="R291" s="3"/>
      <c r="S291" s="3"/>
      <c r="T291" s="3"/>
      <c r="U291" s="3"/>
      <c r="V291" s="3"/>
      <c r="W291" s="3"/>
      <c r="X291" s="3"/>
      <c r="Y291" s="3"/>
      <c r="Z291" s="3"/>
    </row>
    <row r="292" spans="1:26" ht="12.75" x14ac:dyDescent="0.2">
      <c r="A292" s="3"/>
      <c r="B292" s="33"/>
      <c r="C292" s="33"/>
      <c r="D292" s="33"/>
      <c r="E292" s="33"/>
      <c r="F292" s="41"/>
      <c r="G292" s="33"/>
      <c r="H292" s="33"/>
      <c r="I292" s="33"/>
      <c r="J292" s="33"/>
      <c r="K292" s="33"/>
      <c r="L292" s="33"/>
      <c r="M292" s="33"/>
      <c r="N292" s="33"/>
      <c r="O292" s="33"/>
      <c r="P292" s="3"/>
      <c r="Q292" s="3"/>
      <c r="R292" s="3"/>
      <c r="S292" s="3"/>
      <c r="T292" s="3"/>
      <c r="U292" s="3"/>
      <c r="V292" s="3"/>
      <c r="W292" s="3"/>
      <c r="X292" s="3"/>
      <c r="Y292" s="3"/>
      <c r="Z292" s="3"/>
    </row>
    <row r="293" spans="1:26" ht="12.75" x14ac:dyDescent="0.2">
      <c r="A293" s="3"/>
      <c r="B293" s="33"/>
      <c r="C293" s="34" t="s">
        <v>215</v>
      </c>
      <c r="D293" s="33"/>
      <c r="E293" s="33"/>
      <c r="F293" s="41"/>
      <c r="G293" s="41"/>
      <c r="H293" s="41"/>
      <c r="I293" s="41"/>
      <c r="J293" s="41"/>
      <c r="K293" s="41"/>
      <c r="L293" s="41"/>
      <c r="M293" s="41"/>
      <c r="N293" s="41"/>
      <c r="O293" s="41"/>
      <c r="P293" s="3"/>
      <c r="Q293" s="3"/>
      <c r="R293" s="3"/>
      <c r="S293" s="3"/>
      <c r="T293" s="3"/>
      <c r="U293" s="3"/>
      <c r="V293" s="3"/>
      <c r="W293" s="3"/>
      <c r="X293" s="3"/>
      <c r="Y293" s="3"/>
      <c r="Z293" s="3"/>
    </row>
    <row r="294" spans="1:26" ht="12.75" x14ac:dyDescent="0.2">
      <c r="A294" s="3"/>
      <c r="B294" s="33"/>
      <c r="C294" s="9" t="s">
        <v>110</v>
      </c>
      <c r="D294" s="33"/>
      <c r="E294" s="33"/>
      <c r="F294" s="39">
        <f t="shared" ref="F294:O294" si="68">F179/F$113</f>
        <v>5.6496000000000004</v>
      </c>
      <c r="G294" s="39">
        <f t="shared" si="68"/>
        <v>5.6496000000000004</v>
      </c>
      <c r="H294" s="39">
        <f t="shared" si="68"/>
        <v>5.6496000000000004</v>
      </c>
      <c r="I294" s="39">
        <f t="shared" si="68"/>
        <v>5.6496000000000013</v>
      </c>
      <c r="J294" s="39">
        <f t="shared" si="68"/>
        <v>5.6496000000000004</v>
      </c>
      <c r="K294" s="39">
        <f t="shared" si="68"/>
        <v>5.6496000000000013</v>
      </c>
      <c r="L294" s="39">
        <f t="shared" si="68"/>
        <v>5.6496000000000004</v>
      </c>
      <c r="M294" s="39">
        <f t="shared" si="68"/>
        <v>5.6496000000000004</v>
      </c>
      <c r="N294" s="39">
        <f t="shared" si="68"/>
        <v>5.6496000000000004</v>
      </c>
      <c r="O294" s="39">
        <f t="shared" si="68"/>
        <v>5.6495999999999995</v>
      </c>
      <c r="P294" s="3"/>
      <c r="Q294" s="3"/>
      <c r="R294" s="3"/>
      <c r="S294" s="3"/>
      <c r="T294" s="3"/>
      <c r="U294" s="3"/>
      <c r="V294" s="3"/>
      <c r="W294" s="3"/>
      <c r="X294" s="3"/>
      <c r="Y294" s="3"/>
      <c r="Z294" s="3"/>
    </row>
    <row r="295" spans="1:26" ht="12.75" x14ac:dyDescent="0.2">
      <c r="A295" s="3"/>
      <c r="B295" s="33"/>
      <c r="C295" s="27" t="s">
        <v>283</v>
      </c>
      <c r="D295" s="33"/>
      <c r="E295" s="33"/>
      <c r="F295" s="39">
        <f t="shared" ref="F295:O295" si="69">F180/F$113</f>
        <v>2.6292000000000004</v>
      </c>
      <c r="G295" s="39">
        <f t="shared" si="69"/>
        <v>2.6292000000000004</v>
      </c>
      <c r="H295" s="39">
        <f t="shared" si="69"/>
        <v>2.6292000000000004</v>
      </c>
      <c r="I295" s="39">
        <f t="shared" si="69"/>
        <v>2.6292000000000004</v>
      </c>
      <c r="J295" s="39">
        <f t="shared" si="69"/>
        <v>2.6292000000000004</v>
      </c>
      <c r="K295" s="39">
        <f t="shared" si="69"/>
        <v>2.6292000000000004</v>
      </c>
      <c r="L295" s="39">
        <f t="shared" si="69"/>
        <v>2.6292000000000004</v>
      </c>
      <c r="M295" s="39">
        <f t="shared" si="69"/>
        <v>2.6292</v>
      </c>
      <c r="N295" s="39">
        <f t="shared" si="69"/>
        <v>2.6292</v>
      </c>
      <c r="O295" s="39">
        <f t="shared" si="69"/>
        <v>2.6292000000000004</v>
      </c>
      <c r="P295" s="3"/>
      <c r="Q295" s="3"/>
      <c r="R295" s="3"/>
      <c r="S295" s="3"/>
      <c r="T295" s="3"/>
      <c r="U295" s="3"/>
      <c r="V295" s="3"/>
      <c r="W295" s="3"/>
      <c r="X295" s="3"/>
      <c r="Y295" s="3"/>
      <c r="Z295" s="3"/>
    </row>
    <row r="296" spans="1:26" ht="12.75" x14ac:dyDescent="0.2">
      <c r="A296" s="3"/>
      <c r="B296" s="33"/>
      <c r="C296" s="31" t="s">
        <v>216</v>
      </c>
      <c r="D296" s="36"/>
      <c r="E296" s="36"/>
      <c r="F296" s="40">
        <f t="shared" ref="F296:O296" si="70">SUM(F294:F295)</f>
        <v>8.2788000000000004</v>
      </c>
      <c r="G296" s="40">
        <f t="shared" si="70"/>
        <v>8.2788000000000004</v>
      </c>
      <c r="H296" s="40">
        <f t="shared" si="70"/>
        <v>8.2788000000000004</v>
      </c>
      <c r="I296" s="40">
        <f t="shared" si="70"/>
        <v>8.2788000000000022</v>
      </c>
      <c r="J296" s="40">
        <f t="shared" si="70"/>
        <v>8.2788000000000004</v>
      </c>
      <c r="K296" s="40">
        <f t="shared" si="70"/>
        <v>8.2788000000000022</v>
      </c>
      <c r="L296" s="40">
        <f t="shared" si="70"/>
        <v>8.2788000000000004</v>
      </c>
      <c r="M296" s="40">
        <f t="shared" si="70"/>
        <v>8.2788000000000004</v>
      </c>
      <c r="N296" s="40">
        <f t="shared" si="70"/>
        <v>8.2788000000000004</v>
      </c>
      <c r="O296" s="40">
        <f t="shared" si="70"/>
        <v>8.2788000000000004</v>
      </c>
      <c r="P296" s="3"/>
      <c r="Q296" s="3"/>
      <c r="R296" s="3"/>
      <c r="S296" s="3"/>
      <c r="T296" s="3"/>
      <c r="U296" s="3"/>
      <c r="V296" s="3"/>
      <c r="W296" s="3"/>
      <c r="X296" s="3"/>
      <c r="Y296" s="3"/>
      <c r="Z296" s="3"/>
    </row>
    <row r="297" spans="1:26" ht="12.75" x14ac:dyDescent="0.2">
      <c r="A297" s="3"/>
      <c r="B297" s="33"/>
      <c r="C297" s="35"/>
      <c r="D297" s="33"/>
      <c r="E297" s="33"/>
      <c r="F297" s="41"/>
      <c r="G297" s="41"/>
      <c r="H297" s="41"/>
      <c r="I297" s="41"/>
      <c r="J297" s="41"/>
      <c r="K297" s="41"/>
      <c r="L297" s="41"/>
      <c r="M297" s="41"/>
      <c r="N297" s="41"/>
      <c r="O297" s="41"/>
      <c r="P297" s="3"/>
      <c r="Q297" s="3"/>
      <c r="R297" s="3"/>
      <c r="S297" s="3"/>
      <c r="T297" s="3"/>
      <c r="U297" s="3"/>
      <c r="V297" s="3"/>
      <c r="W297" s="3"/>
      <c r="X297" s="3"/>
      <c r="Y297" s="3"/>
      <c r="Z297" s="3"/>
    </row>
    <row r="298" spans="1:26" ht="12.75" x14ac:dyDescent="0.2">
      <c r="A298" s="3"/>
      <c r="B298" s="33"/>
      <c r="C298" s="34" t="s">
        <v>219</v>
      </c>
      <c r="D298" s="33"/>
      <c r="E298" s="33"/>
      <c r="F298" s="41"/>
      <c r="G298" s="41"/>
      <c r="H298" s="41"/>
      <c r="I298" s="41"/>
      <c r="J298" s="41"/>
      <c r="K298" s="41"/>
      <c r="L298" s="41"/>
      <c r="M298" s="41"/>
      <c r="N298" s="41"/>
      <c r="O298" s="41"/>
      <c r="P298" s="3"/>
      <c r="Q298" s="3"/>
      <c r="R298" s="3"/>
      <c r="S298" s="3"/>
      <c r="T298" s="3"/>
      <c r="U298" s="3"/>
      <c r="V298" s="3"/>
      <c r="W298" s="3"/>
      <c r="X298" s="3"/>
      <c r="Y298" s="3"/>
      <c r="Z298" s="3"/>
    </row>
    <row r="299" spans="1:26" ht="12.75" x14ac:dyDescent="0.2">
      <c r="A299" s="3"/>
      <c r="B299" s="33"/>
      <c r="C299" s="111" t="s">
        <v>312</v>
      </c>
      <c r="D299" s="33"/>
      <c r="E299" s="33"/>
      <c r="F299" s="39">
        <f t="shared" ref="F299:O299" si="71">F184/F$113</f>
        <v>4.5639000000000003</v>
      </c>
      <c r="G299" s="39">
        <f t="shared" si="71"/>
        <v>4.5639000000000003</v>
      </c>
      <c r="H299" s="39">
        <f t="shared" si="71"/>
        <v>4.5639000000000003</v>
      </c>
      <c r="I299" s="39">
        <f t="shared" si="71"/>
        <v>4.5639000000000003</v>
      </c>
      <c r="J299" s="39">
        <f t="shared" si="71"/>
        <v>4.5639000000000003</v>
      </c>
      <c r="K299" s="39">
        <f t="shared" si="71"/>
        <v>4.5639000000000003</v>
      </c>
      <c r="L299" s="39">
        <f t="shared" si="71"/>
        <v>4.5639000000000003</v>
      </c>
      <c r="M299" s="39">
        <f t="shared" si="71"/>
        <v>4.5639000000000003</v>
      </c>
      <c r="N299" s="39">
        <f t="shared" si="71"/>
        <v>4.5639000000000003</v>
      </c>
      <c r="O299" s="39">
        <f t="shared" si="71"/>
        <v>4.5639000000000003</v>
      </c>
      <c r="P299" s="3"/>
      <c r="Q299" s="3"/>
      <c r="R299" s="3"/>
      <c r="S299" s="3"/>
      <c r="T299" s="3"/>
      <c r="U299" s="3"/>
      <c r="V299" s="3"/>
      <c r="W299" s="3"/>
      <c r="X299" s="3"/>
      <c r="Y299" s="3"/>
      <c r="Z299" s="3"/>
    </row>
    <row r="300" spans="1:26" ht="12.75" x14ac:dyDescent="0.2">
      <c r="A300" s="3"/>
      <c r="B300" s="33"/>
      <c r="C300" s="111" t="s">
        <v>313</v>
      </c>
      <c r="D300" s="33"/>
      <c r="E300" s="33"/>
      <c r="F300" s="39">
        <f t="shared" ref="F300:O300" si="72">F185/F$113</f>
        <v>0</v>
      </c>
      <c r="G300" s="39">
        <f t="shared" si="72"/>
        <v>0</v>
      </c>
      <c r="H300" s="39">
        <f t="shared" si="72"/>
        <v>0</v>
      </c>
      <c r="I300" s="39">
        <f t="shared" si="72"/>
        <v>0</v>
      </c>
      <c r="J300" s="39">
        <f t="shared" si="72"/>
        <v>0</v>
      </c>
      <c r="K300" s="39">
        <f t="shared" si="72"/>
        <v>0</v>
      </c>
      <c r="L300" s="39">
        <f t="shared" si="72"/>
        <v>0</v>
      </c>
      <c r="M300" s="39">
        <f t="shared" si="72"/>
        <v>0</v>
      </c>
      <c r="N300" s="39">
        <f t="shared" si="72"/>
        <v>0</v>
      </c>
      <c r="O300" s="39">
        <f t="shared" si="72"/>
        <v>0</v>
      </c>
      <c r="P300" s="3"/>
      <c r="Q300" s="3"/>
      <c r="R300" s="3"/>
      <c r="S300" s="3"/>
      <c r="T300" s="3"/>
      <c r="U300" s="3"/>
      <c r="V300" s="3"/>
      <c r="W300" s="3"/>
      <c r="X300" s="3"/>
      <c r="Y300" s="3"/>
      <c r="Z300" s="3"/>
    </row>
    <row r="301" spans="1:26" ht="12.75" x14ac:dyDescent="0.2">
      <c r="A301" s="3"/>
      <c r="B301" s="33"/>
      <c r="C301" s="9" t="s">
        <v>102</v>
      </c>
      <c r="D301" s="33"/>
      <c r="E301" s="33"/>
      <c r="F301" s="39">
        <f t="shared" ref="F301:O301" si="73">F186/F$113</f>
        <v>0</v>
      </c>
      <c r="G301" s="39">
        <f t="shared" si="73"/>
        <v>0</v>
      </c>
      <c r="H301" s="39">
        <f t="shared" si="73"/>
        <v>0</v>
      </c>
      <c r="I301" s="39">
        <f t="shared" si="73"/>
        <v>0</v>
      </c>
      <c r="J301" s="39">
        <f t="shared" si="73"/>
        <v>0</v>
      </c>
      <c r="K301" s="39">
        <f t="shared" si="73"/>
        <v>0</v>
      </c>
      <c r="L301" s="39">
        <f t="shared" si="73"/>
        <v>0</v>
      </c>
      <c r="M301" s="39">
        <f t="shared" si="73"/>
        <v>0</v>
      </c>
      <c r="N301" s="39">
        <f t="shared" si="73"/>
        <v>0</v>
      </c>
      <c r="O301" s="39">
        <f t="shared" si="73"/>
        <v>0</v>
      </c>
      <c r="P301" s="3"/>
      <c r="Q301" s="3"/>
      <c r="R301" s="3"/>
      <c r="S301" s="3"/>
      <c r="T301" s="3"/>
      <c r="U301" s="3"/>
      <c r="V301" s="3"/>
      <c r="W301" s="3"/>
      <c r="X301" s="3"/>
      <c r="Y301" s="3"/>
      <c r="Z301" s="3"/>
    </row>
    <row r="302" spans="1:26" s="105" customFormat="1" ht="12.75" x14ac:dyDescent="0.2">
      <c r="A302" s="102"/>
      <c r="B302" s="35"/>
      <c r="C302" s="27" t="s">
        <v>334</v>
      </c>
      <c r="D302" s="35"/>
      <c r="E302" s="35"/>
      <c r="F302" s="39">
        <f t="shared" ref="F302:O302" si="74">F187/F$113</f>
        <v>0</v>
      </c>
      <c r="G302" s="39">
        <f t="shared" si="74"/>
        <v>0</v>
      </c>
      <c r="H302" s="39">
        <f t="shared" si="74"/>
        <v>0</v>
      </c>
      <c r="I302" s="39">
        <f t="shared" si="74"/>
        <v>0</v>
      </c>
      <c r="J302" s="39">
        <f t="shared" si="74"/>
        <v>0</v>
      </c>
      <c r="K302" s="39">
        <f t="shared" si="74"/>
        <v>0</v>
      </c>
      <c r="L302" s="39">
        <f t="shared" si="74"/>
        <v>0</v>
      </c>
      <c r="M302" s="39">
        <f t="shared" si="74"/>
        <v>0</v>
      </c>
      <c r="N302" s="39">
        <f t="shared" si="74"/>
        <v>0</v>
      </c>
      <c r="O302" s="39">
        <f t="shared" si="74"/>
        <v>0</v>
      </c>
      <c r="P302" s="102"/>
      <c r="Q302" s="102"/>
      <c r="R302" s="102"/>
      <c r="S302" s="102"/>
      <c r="T302" s="102"/>
      <c r="U302" s="102"/>
      <c r="V302" s="102"/>
      <c r="W302" s="102"/>
      <c r="X302" s="102"/>
      <c r="Y302" s="102"/>
      <c r="Z302" s="102"/>
    </row>
    <row r="303" spans="1:26" ht="12.75" x14ac:dyDescent="0.2">
      <c r="A303" s="3"/>
      <c r="B303" s="33"/>
      <c r="C303" s="9" t="s">
        <v>105</v>
      </c>
      <c r="D303" s="33"/>
      <c r="E303" s="33"/>
      <c r="F303" s="39">
        <f t="shared" ref="F303:O303" si="75">F188/F$113</f>
        <v>0</v>
      </c>
      <c r="G303" s="39">
        <f t="shared" si="75"/>
        <v>0</v>
      </c>
      <c r="H303" s="39">
        <f t="shared" si="75"/>
        <v>0</v>
      </c>
      <c r="I303" s="39">
        <f t="shared" si="75"/>
        <v>0</v>
      </c>
      <c r="J303" s="39">
        <f t="shared" si="75"/>
        <v>0</v>
      </c>
      <c r="K303" s="39">
        <f t="shared" si="75"/>
        <v>0</v>
      </c>
      <c r="L303" s="39">
        <f t="shared" si="75"/>
        <v>0</v>
      </c>
      <c r="M303" s="39">
        <f t="shared" si="75"/>
        <v>0</v>
      </c>
      <c r="N303" s="39">
        <f t="shared" si="75"/>
        <v>0</v>
      </c>
      <c r="O303" s="39">
        <f t="shared" si="75"/>
        <v>0</v>
      </c>
      <c r="P303" s="3"/>
      <c r="Q303" s="3"/>
      <c r="R303" s="3"/>
      <c r="S303" s="3"/>
      <c r="T303" s="3"/>
      <c r="U303" s="3"/>
      <c r="V303" s="3"/>
      <c r="W303" s="3"/>
      <c r="X303" s="3"/>
      <c r="Y303" s="3"/>
      <c r="Z303" s="3"/>
    </row>
    <row r="304" spans="1:26" ht="12.75" x14ac:dyDescent="0.2">
      <c r="A304" s="3"/>
      <c r="B304" s="43"/>
      <c r="C304" s="68" t="s">
        <v>217</v>
      </c>
      <c r="D304" s="68"/>
      <c r="E304" s="68"/>
      <c r="F304" s="69">
        <f t="shared" ref="F304:O304" si="76">SUM(F299:F303)</f>
        <v>4.5639000000000003</v>
      </c>
      <c r="G304" s="69">
        <f t="shared" si="76"/>
        <v>4.5639000000000003</v>
      </c>
      <c r="H304" s="69">
        <f t="shared" si="76"/>
        <v>4.5639000000000003</v>
      </c>
      <c r="I304" s="69">
        <f t="shared" si="76"/>
        <v>4.5639000000000003</v>
      </c>
      <c r="J304" s="69">
        <f t="shared" si="76"/>
        <v>4.5639000000000003</v>
      </c>
      <c r="K304" s="69">
        <f t="shared" si="76"/>
        <v>4.5639000000000003</v>
      </c>
      <c r="L304" s="69">
        <f t="shared" si="76"/>
        <v>4.5639000000000003</v>
      </c>
      <c r="M304" s="69">
        <f t="shared" si="76"/>
        <v>4.5639000000000003</v>
      </c>
      <c r="N304" s="69">
        <f t="shared" si="76"/>
        <v>4.5639000000000003</v>
      </c>
      <c r="O304" s="69">
        <f t="shared" si="76"/>
        <v>4.5639000000000003</v>
      </c>
      <c r="P304" s="3"/>
      <c r="Q304" s="3"/>
      <c r="R304" s="3"/>
      <c r="S304" s="3"/>
      <c r="T304" s="3"/>
      <c r="U304" s="3"/>
      <c r="V304" s="3"/>
      <c r="W304" s="3"/>
      <c r="X304" s="3"/>
      <c r="Y304" s="3"/>
      <c r="Z304" s="3"/>
    </row>
    <row r="305" spans="1:26" ht="12.75" x14ac:dyDescent="0.2">
      <c r="A305" s="3"/>
      <c r="B305" s="43"/>
      <c r="C305" s="74"/>
      <c r="D305" s="74"/>
      <c r="E305" s="74"/>
      <c r="F305" s="75"/>
      <c r="G305" s="75"/>
      <c r="H305" s="75"/>
      <c r="I305" s="75"/>
      <c r="J305" s="75"/>
      <c r="K305" s="75"/>
      <c r="L305" s="75"/>
      <c r="M305" s="75"/>
      <c r="N305" s="75"/>
      <c r="O305" s="75"/>
      <c r="P305" s="3"/>
      <c r="Q305" s="3"/>
      <c r="R305" s="3"/>
      <c r="S305" s="3"/>
      <c r="T305" s="3"/>
      <c r="U305" s="3"/>
      <c r="V305" s="3"/>
      <c r="W305" s="3"/>
      <c r="X305" s="3"/>
      <c r="Y305" s="3"/>
      <c r="Z305" s="3"/>
    </row>
    <row r="306" spans="1:26" ht="12.75" x14ac:dyDescent="0.2">
      <c r="A306" s="3"/>
      <c r="B306" s="43"/>
      <c r="C306" s="34" t="s">
        <v>287</v>
      </c>
      <c r="D306" s="74"/>
      <c r="E306" s="74"/>
      <c r="F306" s="75"/>
      <c r="G306" s="75"/>
      <c r="H306" s="75"/>
      <c r="I306" s="75"/>
      <c r="J306" s="75"/>
      <c r="K306" s="75"/>
      <c r="L306" s="75"/>
      <c r="M306" s="75"/>
      <c r="N306" s="75"/>
      <c r="O306" s="75"/>
      <c r="P306" s="3"/>
      <c r="Q306" s="3"/>
      <c r="R306" s="3"/>
      <c r="S306" s="3"/>
      <c r="T306" s="3"/>
      <c r="U306" s="3"/>
      <c r="V306" s="3"/>
      <c r="W306" s="3"/>
      <c r="X306" s="3"/>
      <c r="Y306" s="3"/>
      <c r="Z306" s="3"/>
    </row>
    <row r="307" spans="1:26" ht="12.75" x14ac:dyDescent="0.2">
      <c r="A307" s="3"/>
      <c r="B307" s="33"/>
      <c r="C307" s="27" t="s">
        <v>282</v>
      </c>
      <c r="D307" s="33"/>
      <c r="E307" s="33"/>
      <c r="F307" s="39">
        <f t="shared" ref="F307:O307" si="77">F192/F$113</f>
        <v>15.1526817</v>
      </c>
      <c r="G307" s="39">
        <f t="shared" si="77"/>
        <v>15.315033747000001</v>
      </c>
      <c r="H307" s="39">
        <f t="shared" si="77"/>
        <v>15.479009314469996</v>
      </c>
      <c r="I307" s="39">
        <f t="shared" si="77"/>
        <v>15.644624637614701</v>
      </c>
      <c r="J307" s="39">
        <f t="shared" si="77"/>
        <v>15.811896113990844</v>
      </c>
      <c r="K307" s="39">
        <f t="shared" si="77"/>
        <v>15.980840305130751</v>
      </c>
      <c r="L307" s="39">
        <f t="shared" si="77"/>
        <v>16.151473938182065</v>
      </c>
      <c r="M307" s="39">
        <f t="shared" si="77"/>
        <v>16.323813907563881</v>
      </c>
      <c r="N307" s="39">
        <f t="shared" si="77"/>
        <v>16.497877276639525</v>
      </c>
      <c r="O307" s="39">
        <f t="shared" si="77"/>
        <v>16.673681279405919</v>
      </c>
      <c r="P307" s="3"/>
      <c r="Q307" s="3"/>
      <c r="R307" s="3"/>
      <c r="S307" s="3"/>
      <c r="T307" s="3"/>
      <c r="U307" s="3"/>
      <c r="V307" s="3"/>
      <c r="W307" s="3"/>
      <c r="X307" s="3"/>
      <c r="Y307" s="3"/>
      <c r="Z307" s="3"/>
    </row>
    <row r="308" spans="1:26" ht="12.75" x14ac:dyDescent="0.2">
      <c r="A308" s="3"/>
      <c r="B308" s="33"/>
      <c r="C308" s="27" t="s">
        <v>284</v>
      </c>
      <c r="D308" s="33"/>
      <c r="E308" s="33"/>
      <c r="F308" s="39">
        <f t="shared" ref="F308:O308" si="78">F193/F$113</f>
        <v>2.0064187000000002</v>
      </c>
      <c r="G308" s="39">
        <f t="shared" si="78"/>
        <v>2.0264828870000007</v>
      </c>
      <c r="H308" s="39">
        <f t="shared" si="78"/>
        <v>2.0467477158699996</v>
      </c>
      <c r="I308" s="39">
        <f t="shared" si="78"/>
        <v>2.0672151930287002</v>
      </c>
      <c r="J308" s="39">
        <f t="shared" si="78"/>
        <v>2.0878873449589874</v>
      </c>
      <c r="K308" s="39">
        <f t="shared" si="78"/>
        <v>2.1087662184085767</v>
      </c>
      <c r="L308" s="39">
        <f t="shared" si="78"/>
        <v>2.1298538805926626</v>
      </c>
      <c r="M308" s="39">
        <f t="shared" si="78"/>
        <v>2.1511524193985889</v>
      </c>
      <c r="N308" s="39">
        <f t="shared" si="78"/>
        <v>2.1726639435925752</v>
      </c>
      <c r="O308" s="39">
        <f t="shared" si="78"/>
        <v>2.1943905830285013</v>
      </c>
      <c r="P308" s="3"/>
      <c r="Q308" s="3"/>
      <c r="R308" s="3"/>
      <c r="S308" s="3"/>
      <c r="T308" s="3"/>
      <c r="U308" s="3"/>
      <c r="V308" s="3"/>
      <c r="W308" s="3"/>
      <c r="X308" s="3"/>
      <c r="Y308" s="3"/>
      <c r="Z308" s="3"/>
    </row>
    <row r="309" spans="1:26" ht="12.75" x14ac:dyDescent="0.2">
      <c r="A309" s="3"/>
      <c r="B309" s="43"/>
      <c r="C309" s="68" t="s">
        <v>289</v>
      </c>
      <c r="D309" s="36"/>
      <c r="E309" s="36"/>
      <c r="F309" s="40">
        <f>SUM(F307:F308)</f>
        <v>17.1591004</v>
      </c>
      <c r="G309" s="40">
        <f t="shared" ref="G309:O309" si="79">SUM(G307:G308)</f>
        <v>17.341516634000001</v>
      </c>
      <c r="H309" s="40">
        <f t="shared" si="79"/>
        <v>17.525757030339996</v>
      </c>
      <c r="I309" s="40">
        <f t="shared" si="79"/>
        <v>17.711839830643402</v>
      </c>
      <c r="J309" s="40">
        <f t="shared" si="79"/>
        <v>17.89978345894983</v>
      </c>
      <c r="K309" s="40">
        <f t="shared" si="79"/>
        <v>18.089606523539327</v>
      </c>
      <c r="L309" s="40">
        <f t="shared" si="79"/>
        <v>18.281327818774727</v>
      </c>
      <c r="M309" s="40">
        <f t="shared" si="79"/>
        <v>18.47496632696247</v>
      </c>
      <c r="N309" s="40">
        <f t="shared" si="79"/>
        <v>18.670541220232099</v>
      </c>
      <c r="O309" s="40">
        <f t="shared" si="79"/>
        <v>18.868071862434419</v>
      </c>
      <c r="P309" s="3"/>
      <c r="Q309" s="3"/>
      <c r="R309" s="3"/>
      <c r="S309" s="3"/>
      <c r="T309" s="3"/>
      <c r="U309" s="3"/>
      <c r="V309" s="3"/>
      <c r="W309" s="3"/>
      <c r="X309" s="3"/>
      <c r="Y309" s="3"/>
      <c r="Z309" s="3"/>
    </row>
    <row r="310" spans="1:26" ht="12.75" x14ac:dyDescent="0.2">
      <c r="A310" s="3"/>
      <c r="B310" s="43"/>
      <c r="C310" s="43"/>
      <c r="D310" s="43"/>
      <c r="E310" s="43"/>
      <c r="F310" s="101"/>
      <c r="G310" s="43"/>
      <c r="H310" s="43"/>
      <c r="I310" s="43"/>
      <c r="J310" s="43"/>
      <c r="K310" s="43"/>
      <c r="L310" s="43"/>
      <c r="M310" s="43"/>
      <c r="N310" s="43"/>
      <c r="O310" s="43"/>
      <c r="P310" s="3"/>
      <c r="Q310" s="3"/>
      <c r="R310" s="3"/>
      <c r="S310" s="3"/>
      <c r="T310" s="3"/>
      <c r="U310" s="3"/>
      <c r="V310" s="3"/>
      <c r="W310" s="3"/>
      <c r="X310" s="3"/>
      <c r="Y310" s="3"/>
      <c r="Z310" s="3"/>
    </row>
    <row r="311" spans="1:26" ht="12.75" x14ac:dyDescent="0.2">
      <c r="A311" s="3"/>
      <c r="B311" s="43"/>
      <c r="C311" s="70" t="s">
        <v>236</v>
      </c>
      <c r="D311" s="70"/>
      <c r="E311" s="70"/>
      <c r="F311" s="71">
        <f t="shared" ref="F311:O311" si="80">F281+F291+F296+F304+F309</f>
        <v>77.559200400000009</v>
      </c>
      <c r="G311" s="71">
        <f t="shared" si="80"/>
        <v>77.74161663400001</v>
      </c>
      <c r="H311" s="71">
        <f t="shared" si="80"/>
        <v>77.925857030340012</v>
      </c>
      <c r="I311" s="71">
        <f t="shared" si="80"/>
        <v>78.111939830643408</v>
      </c>
      <c r="J311" s="71">
        <f t="shared" si="80"/>
        <v>78.299883458949836</v>
      </c>
      <c r="K311" s="71">
        <f t="shared" si="80"/>
        <v>78.48970652353934</v>
      </c>
      <c r="L311" s="71">
        <f t="shared" si="80"/>
        <v>78.681427818774736</v>
      </c>
      <c r="M311" s="71">
        <f t="shared" si="80"/>
        <v>78.875066326962482</v>
      </c>
      <c r="N311" s="71">
        <f t="shared" si="80"/>
        <v>79.070641220232105</v>
      </c>
      <c r="O311" s="71">
        <f t="shared" si="80"/>
        <v>79.268171862434428</v>
      </c>
      <c r="P311" s="3"/>
      <c r="Q311" s="3"/>
      <c r="R311" s="3"/>
      <c r="S311" s="3"/>
      <c r="T311" s="3"/>
      <c r="U311" s="3"/>
      <c r="V311" s="3"/>
      <c r="W311" s="3"/>
      <c r="X311" s="3"/>
      <c r="Y311" s="3"/>
      <c r="Z311" s="3"/>
    </row>
    <row r="312" spans="1:26" ht="12.75" x14ac:dyDescent="0.2">
      <c r="A312" s="3"/>
      <c r="B312" s="43"/>
      <c r="C312" s="43"/>
      <c r="D312" s="43"/>
      <c r="E312" s="43"/>
      <c r="F312" s="43"/>
      <c r="G312" s="43"/>
      <c r="H312" s="43"/>
      <c r="I312" s="43"/>
      <c r="J312" s="43"/>
      <c r="K312" s="43"/>
      <c r="L312" s="43"/>
      <c r="M312" s="43"/>
      <c r="N312" s="43"/>
      <c r="O312" s="43"/>
      <c r="P312" s="3"/>
      <c r="Q312" s="3"/>
      <c r="R312" s="3"/>
      <c r="S312" s="3"/>
      <c r="T312" s="3"/>
      <c r="U312" s="3"/>
      <c r="V312" s="3"/>
      <c r="W312" s="3"/>
      <c r="X312" s="3"/>
      <c r="Y312" s="3"/>
      <c r="Z312" s="3"/>
    </row>
    <row r="313" spans="1:26" ht="12.75" x14ac:dyDescent="0.2">
      <c r="A313" s="3"/>
      <c r="C313" s="72" t="s">
        <v>238</v>
      </c>
      <c r="D313" s="70"/>
      <c r="E313" s="70"/>
      <c r="F313" s="73">
        <f t="shared" ref="F313:O313" si="81">F276-F311</f>
        <v>19.361337600000013</v>
      </c>
      <c r="G313" s="73">
        <f t="shared" si="81"/>
        <v>20.148126746000003</v>
      </c>
      <c r="H313" s="73">
        <f t="shared" si="81"/>
        <v>20.942783783460001</v>
      </c>
      <c r="I313" s="73">
        <f t="shared" si="81"/>
        <v>21.745387391294599</v>
      </c>
      <c r="J313" s="73">
        <f t="shared" si="81"/>
        <v>22.556017035207532</v>
      </c>
      <c r="K313" s="73">
        <f t="shared" si="81"/>
        <v>23.374752975559616</v>
      </c>
      <c r="L313" s="73">
        <f t="shared" si="81"/>
        <v>24.201676275315208</v>
      </c>
      <c r="M313" s="73">
        <f t="shared" si="81"/>
        <v>25.036868808068348</v>
      </c>
      <c r="N313" s="73">
        <f t="shared" si="81"/>
        <v>25.880413266149063</v>
      </c>
      <c r="O313" s="73">
        <f t="shared" si="81"/>
        <v>26.732393168810546</v>
      </c>
      <c r="P313" s="3"/>
      <c r="Q313" s="3"/>
      <c r="R313" s="3"/>
      <c r="S313" s="3"/>
      <c r="T313" s="3"/>
      <c r="U313" s="3"/>
      <c r="V313" s="3"/>
      <c r="W313" s="3"/>
      <c r="X313" s="3"/>
      <c r="Y313" s="3"/>
      <c r="Z313" s="3"/>
    </row>
    <row r="314" spans="1:26" ht="12.75" x14ac:dyDescent="0.2">
      <c r="A314" s="3"/>
      <c r="B314" s="3"/>
      <c r="C314" s="3"/>
      <c r="D314" s="3"/>
      <c r="E314" s="3"/>
      <c r="F314" s="882"/>
      <c r="G314" s="3"/>
      <c r="H314" s="3"/>
      <c r="I314" s="3"/>
      <c r="J314" s="3"/>
      <c r="K314" s="3"/>
      <c r="L314" s="3"/>
      <c r="M314" s="3"/>
      <c r="N314" s="3"/>
      <c r="O314" s="3"/>
      <c r="P314" s="3"/>
      <c r="Q314" s="3"/>
      <c r="R314" s="3"/>
      <c r="S314" s="3"/>
      <c r="T314" s="3"/>
      <c r="U314" s="3"/>
      <c r="V314" s="3"/>
      <c r="W314" s="3"/>
      <c r="X314" s="3"/>
      <c r="Y314" s="3"/>
      <c r="Z314" s="3"/>
    </row>
    <row r="315" spans="1:26" ht="12.75" x14ac:dyDescent="0.2">
      <c r="A315" s="3"/>
      <c r="B315" s="32" t="s">
        <v>347</v>
      </c>
      <c r="C315" s="33"/>
      <c r="D315" s="33"/>
      <c r="E315" s="33"/>
      <c r="F315" s="33"/>
      <c r="G315" s="33"/>
      <c r="H315" s="33"/>
      <c r="I315" s="33"/>
      <c r="J315" s="33"/>
      <c r="K315" s="33"/>
      <c r="L315" s="33"/>
      <c r="M315" s="33"/>
      <c r="N315" s="33"/>
      <c r="O315" s="33"/>
      <c r="P315" s="3"/>
      <c r="Q315" s="3"/>
      <c r="R315" s="3"/>
      <c r="S315" s="3"/>
      <c r="T315" s="3"/>
      <c r="U315" s="3"/>
      <c r="V315" s="3"/>
      <c r="W315" s="3"/>
      <c r="X315" s="3"/>
      <c r="Y315" s="3"/>
      <c r="Z315" s="3"/>
    </row>
    <row r="316" spans="1:26" ht="12.75" x14ac:dyDescent="0.2">
      <c r="A316" s="3"/>
      <c r="C316" s="64" t="s">
        <v>222</v>
      </c>
      <c r="D316" s="33"/>
      <c r="E316" s="33"/>
      <c r="F316" s="33"/>
      <c r="G316" s="33"/>
      <c r="H316" s="33"/>
      <c r="I316" s="33"/>
      <c r="J316" s="33"/>
      <c r="K316" s="33"/>
      <c r="L316" s="33"/>
      <c r="M316" s="33"/>
      <c r="N316" s="33"/>
      <c r="O316" s="33"/>
      <c r="P316" s="3"/>
      <c r="Q316" s="3"/>
      <c r="R316" s="3"/>
      <c r="S316" s="3"/>
      <c r="T316" s="3"/>
      <c r="U316" s="3"/>
      <c r="V316" s="3"/>
      <c r="W316" s="3"/>
      <c r="X316" s="3"/>
      <c r="Y316" s="3"/>
      <c r="Z316" s="3"/>
    </row>
    <row r="317" spans="1:26" ht="12.75" x14ac:dyDescent="0.2">
      <c r="A317" s="3"/>
      <c r="B317" s="33"/>
      <c r="C317" s="9" t="s">
        <v>302</v>
      </c>
      <c r="D317" s="33"/>
      <c r="E317" s="33"/>
      <c r="F317" s="39">
        <f>F161/F$113</f>
        <v>0</v>
      </c>
      <c r="G317" s="39">
        <f>G161/G$113</f>
        <v>292.4318100000001</v>
      </c>
      <c r="H317" s="39">
        <f>H161/H$113</f>
        <v>263.18862900000005</v>
      </c>
      <c r="I317" s="39">
        <f>I161/I$113</f>
        <v>236.86976610000008</v>
      </c>
      <c r="J317" s="39">
        <f>J161/J$113</f>
        <v>0</v>
      </c>
      <c r="K317" s="39">
        <f>K161/K$113</f>
        <v>292.4318100000001</v>
      </c>
      <c r="L317" s="39">
        <f>L161/L$113</f>
        <v>263.18862900000005</v>
      </c>
      <c r="M317" s="39">
        <f>M161/M$113</f>
        <v>236.86976610000008</v>
      </c>
      <c r="N317" s="39">
        <f>N161/N$113</f>
        <v>0</v>
      </c>
      <c r="O317" s="39">
        <f>O161/O$113</f>
        <v>292.4318100000001</v>
      </c>
      <c r="P317" s="3"/>
      <c r="Q317" s="3"/>
      <c r="R317" s="3"/>
      <c r="S317" s="3"/>
      <c r="T317" s="3"/>
      <c r="U317" s="3"/>
      <c r="V317" s="3"/>
      <c r="W317" s="3"/>
      <c r="X317" s="3"/>
      <c r="Y317" s="3"/>
      <c r="Z317" s="3"/>
    </row>
    <row r="318" spans="1:26" ht="12.75" x14ac:dyDescent="0.2">
      <c r="A318" s="3"/>
      <c r="B318" s="33"/>
      <c r="C318" s="27" t="s">
        <v>231</v>
      </c>
      <c r="D318" s="33"/>
      <c r="E318" s="33"/>
      <c r="F318" s="39">
        <f>F162/F$113</f>
        <v>0</v>
      </c>
      <c r="G318" s="39">
        <f>G162/G$113</f>
        <v>83.506500000000017</v>
      </c>
      <c r="H318" s="39">
        <f>H162/H$113</f>
        <v>75.155850000000015</v>
      </c>
      <c r="I318" s="39">
        <f>I162/I$113</f>
        <v>67.640265000000014</v>
      </c>
      <c r="J318" s="39">
        <f>J162/J$113</f>
        <v>0</v>
      </c>
      <c r="K318" s="39">
        <f>K162/K$113</f>
        <v>83.506500000000017</v>
      </c>
      <c r="L318" s="39">
        <f>L162/L$113</f>
        <v>75.155850000000015</v>
      </c>
      <c r="M318" s="39">
        <f>M162/M$113</f>
        <v>67.640265000000014</v>
      </c>
      <c r="N318" s="39">
        <f>N162/N$113</f>
        <v>0</v>
      </c>
      <c r="O318" s="39">
        <f>O162/O$113</f>
        <v>83.506500000000017</v>
      </c>
      <c r="P318" s="3"/>
      <c r="Q318" s="3"/>
      <c r="R318" s="3"/>
      <c r="S318" s="3"/>
      <c r="T318" s="3"/>
      <c r="U318" s="3"/>
      <c r="V318" s="3"/>
      <c r="W318" s="3"/>
      <c r="X318" s="3"/>
      <c r="Y318" s="3"/>
      <c r="Z318" s="3"/>
    </row>
    <row r="319" spans="1:26" ht="12.75" x14ac:dyDescent="0.2">
      <c r="A319" s="3"/>
      <c r="B319" s="33"/>
      <c r="C319" s="36" t="s">
        <v>306</v>
      </c>
      <c r="D319" s="36"/>
      <c r="E319" s="36"/>
      <c r="F319" s="59">
        <f>F317-F318</f>
        <v>0</v>
      </c>
      <c r="G319" s="59">
        <f t="shared" ref="G319:O319" si="82">G317-G318</f>
        <v>208.92531000000008</v>
      </c>
      <c r="H319" s="59">
        <f t="shared" si="82"/>
        <v>188.03277900000003</v>
      </c>
      <c r="I319" s="59">
        <f t="shared" si="82"/>
        <v>169.22950110000005</v>
      </c>
      <c r="J319" s="59">
        <f t="shared" si="82"/>
        <v>0</v>
      </c>
      <c r="K319" s="59">
        <f t="shared" si="82"/>
        <v>208.92531000000008</v>
      </c>
      <c r="L319" s="59">
        <f t="shared" si="82"/>
        <v>188.03277900000003</v>
      </c>
      <c r="M319" s="59">
        <f t="shared" si="82"/>
        <v>169.22950110000005</v>
      </c>
      <c r="N319" s="59">
        <f t="shared" si="82"/>
        <v>0</v>
      </c>
      <c r="O319" s="59">
        <f t="shared" si="82"/>
        <v>208.92531000000008</v>
      </c>
      <c r="P319" s="3"/>
      <c r="Q319" s="3"/>
      <c r="R319" s="3"/>
      <c r="S319" s="3"/>
      <c r="T319" s="3"/>
      <c r="U319" s="3"/>
      <c r="V319" s="3"/>
      <c r="W319" s="3"/>
      <c r="X319" s="3"/>
      <c r="Y319" s="3"/>
      <c r="Z319" s="3"/>
    </row>
    <row r="320" spans="1:26" ht="12.75" x14ac:dyDescent="0.2">
      <c r="A320" s="3"/>
      <c r="B320" s="33"/>
      <c r="C320" s="27"/>
      <c r="D320" s="33"/>
      <c r="E320" s="33"/>
      <c r="F320" s="37"/>
      <c r="G320" s="37"/>
      <c r="H320" s="37"/>
      <c r="I320" s="37"/>
      <c r="J320" s="37"/>
      <c r="K320" s="37"/>
      <c r="L320" s="37"/>
      <c r="M320" s="37"/>
      <c r="N320" s="37"/>
      <c r="O320" s="37"/>
      <c r="P320" s="3"/>
      <c r="Q320" s="3"/>
      <c r="R320" s="3"/>
      <c r="S320" s="3"/>
      <c r="T320" s="3"/>
      <c r="U320" s="3"/>
      <c r="V320" s="3"/>
      <c r="W320" s="3"/>
      <c r="X320" s="3"/>
      <c r="Y320" s="3"/>
      <c r="Z320" s="3"/>
    </row>
    <row r="321" spans="1:26" ht="12.75" x14ac:dyDescent="0.2">
      <c r="A321" s="3"/>
      <c r="B321" s="33"/>
      <c r="C321" s="34" t="s">
        <v>266</v>
      </c>
      <c r="D321" s="33"/>
      <c r="E321" s="33"/>
      <c r="F321" s="37"/>
      <c r="G321" s="37"/>
      <c r="H321" s="37"/>
      <c r="I321" s="37"/>
      <c r="J321" s="37"/>
      <c r="K321" s="37"/>
      <c r="L321" s="37"/>
      <c r="M321" s="37"/>
      <c r="N321" s="37"/>
      <c r="O321" s="37"/>
      <c r="P321" s="3"/>
      <c r="Q321" s="3"/>
      <c r="R321" s="3"/>
      <c r="S321" s="3"/>
      <c r="T321" s="3"/>
      <c r="U321" s="3"/>
      <c r="V321" s="3"/>
      <c r="W321" s="3"/>
      <c r="X321" s="3"/>
      <c r="Y321" s="3"/>
      <c r="Z321" s="3"/>
    </row>
    <row r="322" spans="1:26" ht="12.75" x14ac:dyDescent="0.2">
      <c r="A322" s="3"/>
      <c r="B322" s="33"/>
      <c r="C322" s="35" t="s">
        <v>267</v>
      </c>
      <c r="D322" s="33"/>
      <c r="E322" s="33"/>
      <c r="F322" s="39">
        <f>$I$88/1000</f>
        <v>0</v>
      </c>
      <c r="G322" s="39">
        <f t="shared" ref="G322:O322" si="83">$I$88/1000</f>
        <v>0</v>
      </c>
      <c r="H322" s="39">
        <f t="shared" si="83"/>
        <v>0</v>
      </c>
      <c r="I322" s="39">
        <f t="shared" si="83"/>
        <v>0</v>
      </c>
      <c r="J322" s="39">
        <f t="shared" si="83"/>
        <v>0</v>
      </c>
      <c r="K322" s="39">
        <f t="shared" si="83"/>
        <v>0</v>
      </c>
      <c r="L322" s="39">
        <f t="shared" si="83"/>
        <v>0</v>
      </c>
      <c r="M322" s="39">
        <f t="shared" si="83"/>
        <v>0</v>
      </c>
      <c r="N322" s="39">
        <f t="shared" si="83"/>
        <v>0</v>
      </c>
      <c r="O322" s="39">
        <f t="shared" si="83"/>
        <v>0</v>
      </c>
      <c r="P322" s="3"/>
      <c r="Q322" s="3"/>
      <c r="R322" s="3"/>
      <c r="S322" s="3"/>
      <c r="T322" s="3"/>
      <c r="U322" s="3"/>
      <c r="V322" s="3"/>
      <c r="W322" s="3"/>
      <c r="X322" s="3"/>
      <c r="Y322" s="3"/>
      <c r="Z322" s="3"/>
    </row>
    <row r="323" spans="1:26" ht="12.75" x14ac:dyDescent="0.2">
      <c r="A323" s="3"/>
      <c r="B323" s="33"/>
      <c r="C323" s="46" t="s">
        <v>138</v>
      </c>
      <c r="D323" s="43"/>
      <c r="E323" s="43"/>
      <c r="F323" s="81">
        <f>IF(F319=0,$I$84*F$134/1000,)</f>
        <v>87.63034817501142</v>
      </c>
      <c r="G323" s="39">
        <f t="shared" ref="G323:O323" si="84">IF(G319=0,$I$84*G$134/1000,)</f>
        <v>0</v>
      </c>
      <c r="H323" s="39">
        <f t="shared" si="84"/>
        <v>0</v>
      </c>
      <c r="I323" s="39">
        <f t="shared" si="84"/>
        <v>0</v>
      </c>
      <c r="J323" s="39">
        <f t="shared" si="84"/>
        <v>87.63034817501142</v>
      </c>
      <c r="K323" s="39">
        <f t="shared" si="84"/>
        <v>0</v>
      </c>
      <c r="L323" s="39">
        <f t="shared" si="84"/>
        <v>0</v>
      </c>
      <c r="M323" s="39">
        <f t="shared" si="84"/>
        <v>0</v>
      </c>
      <c r="N323" s="39">
        <f t="shared" si="84"/>
        <v>87.63034817501142</v>
      </c>
      <c r="O323" s="39">
        <f t="shared" si="84"/>
        <v>0</v>
      </c>
      <c r="P323" s="3"/>
      <c r="Q323" s="3"/>
      <c r="R323" s="3"/>
      <c r="S323" s="3"/>
      <c r="T323" s="3"/>
      <c r="U323" s="3"/>
      <c r="V323" s="3"/>
      <c r="W323" s="3"/>
      <c r="X323" s="3"/>
      <c r="Y323" s="3"/>
      <c r="Z323" s="3"/>
    </row>
    <row r="324" spans="1:26" ht="12.75" x14ac:dyDescent="0.2">
      <c r="A324" s="3"/>
      <c r="B324" s="33"/>
      <c r="C324" s="36" t="s">
        <v>320</v>
      </c>
      <c r="D324" s="36"/>
      <c r="E324" s="36"/>
      <c r="F324" s="40">
        <f>SUM(F322:F323)</f>
        <v>87.63034817501142</v>
      </c>
      <c r="G324" s="40">
        <f t="shared" ref="G324:O324" si="85">SUM(G322:G323)</f>
        <v>0</v>
      </c>
      <c r="H324" s="40">
        <f t="shared" si="85"/>
        <v>0</v>
      </c>
      <c r="I324" s="40">
        <f t="shared" si="85"/>
        <v>0</v>
      </c>
      <c r="J324" s="40">
        <f t="shared" si="85"/>
        <v>87.63034817501142</v>
      </c>
      <c r="K324" s="40">
        <f t="shared" si="85"/>
        <v>0</v>
      </c>
      <c r="L324" s="40">
        <f t="shared" si="85"/>
        <v>0</v>
      </c>
      <c r="M324" s="40">
        <f t="shared" si="85"/>
        <v>0</v>
      </c>
      <c r="N324" s="40">
        <f t="shared" si="85"/>
        <v>87.63034817501142</v>
      </c>
      <c r="O324" s="40">
        <f t="shared" si="85"/>
        <v>0</v>
      </c>
      <c r="P324" s="3"/>
      <c r="Q324" s="3"/>
      <c r="R324" s="3"/>
      <c r="S324" s="3"/>
      <c r="T324" s="3"/>
      <c r="U324" s="3"/>
      <c r="V324" s="3"/>
      <c r="W324" s="3"/>
      <c r="X324" s="3"/>
      <c r="Y324" s="3"/>
      <c r="Z324" s="3"/>
    </row>
    <row r="325" spans="1:26" ht="12.75" x14ac:dyDescent="0.2">
      <c r="A325" s="3"/>
      <c r="B325" s="33"/>
      <c r="C325" s="27"/>
      <c r="D325" s="33"/>
      <c r="E325" s="33"/>
      <c r="F325" s="37"/>
      <c r="G325" s="37"/>
      <c r="H325" s="37"/>
      <c r="I325" s="37"/>
      <c r="J325" s="37"/>
      <c r="K325" s="37"/>
      <c r="L325" s="37"/>
      <c r="M325" s="37"/>
      <c r="N325" s="37"/>
      <c r="O325" s="37"/>
      <c r="P325" s="3"/>
      <c r="Q325" s="3"/>
      <c r="R325" s="3"/>
      <c r="S325" s="3"/>
      <c r="T325" s="3"/>
      <c r="U325" s="3"/>
      <c r="V325" s="3"/>
      <c r="W325" s="3"/>
      <c r="X325" s="3"/>
      <c r="Y325" s="3"/>
      <c r="Z325" s="3"/>
    </row>
    <row r="326" spans="1:26" ht="12.75" x14ac:dyDescent="0.2">
      <c r="A326" s="3"/>
      <c r="B326" s="33"/>
      <c r="C326" s="66" t="s">
        <v>230</v>
      </c>
      <c r="D326" s="66"/>
      <c r="E326" s="66"/>
      <c r="F326" s="67">
        <f>F319+F324</f>
        <v>87.63034817501142</v>
      </c>
      <c r="G326" s="67">
        <f>G319+G324</f>
        <v>208.92531000000008</v>
      </c>
      <c r="H326" s="67">
        <f>H319+H324</f>
        <v>188.03277900000003</v>
      </c>
      <c r="I326" s="67">
        <f t="shared" ref="I326:O326" si="86">I319+I324</f>
        <v>169.22950110000005</v>
      </c>
      <c r="J326" s="67">
        <f t="shared" si="86"/>
        <v>87.63034817501142</v>
      </c>
      <c r="K326" s="67">
        <f t="shared" si="86"/>
        <v>208.92531000000008</v>
      </c>
      <c r="L326" s="67">
        <f t="shared" si="86"/>
        <v>188.03277900000003</v>
      </c>
      <c r="M326" s="67">
        <f t="shared" si="86"/>
        <v>169.22950110000005</v>
      </c>
      <c r="N326" s="67">
        <f t="shared" si="86"/>
        <v>87.63034817501142</v>
      </c>
      <c r="O326" s="67">
        <f t="shared" si="86"/>
        <v>208.92531000000008</v>
      </c>
      <c r="P326" s="3"/>
      <c r="Q326" s="3"/>
      <c r="R326" s="3"/>
      <c r="S326" s="3"/>
      <c r="T326" s="3"/>
      <c r="U326" s="3"/>
      <c r="V326" s="3"/>
      <c r="W326" s="3"/>
      <c r="X326" s="3"/>
      <c r="Y326" s="3"/>
      <c r="Z326" s="3"/>
    </row>
    <row r="327" spans="1:26" ht="12.75" x14ac:dyDescent="0.2">
      <c r="A327" s="3"/>
      <c r="B327" s="33"/>
      <c r="C327" s="33"/>
      <c r="D327" s="33"/>
      <c r="E327" s="33"/>
      <c r="F327" s="33"/>
      <c r="G327" s="33"/>
      <c r="H327" s="33"/>
      <c r="I327" s="33"/>
      <c r="J327" s="33"/>
      <c r="K327" s="33"/>
      <c r="L327" s="33"/>
      <c r="M327" s="33"/>
      <c r="N327" s="33"/>
      <c r="O327" s="33"/>
      <c r="P327" s="3"/>
      <c r="Q327" s="3"/>
      <c r="R327" s="3"/>
      <c r="S327" s="3"/>
      <c r="T327" s="3"/>
      <c r="U327" s="3"/>
      <c r="V327" s="3"/>
      <c r="W327" s="3"/>
      <c r="X327" s="3"/>
      <c r="Y327" s="3"/>
      <c r="Z327" s="3"/>
    </row>
    <row r="328" spans="1:26" ht="12.75" x14ac:dyDescent="0.2">
      <c r="A328" s="3"/>
      <c r="C328" s="64" t="s">
        <v>235</v>
      </c>
      <c r="D328" s="33"/>
      <c r="E328" s="33"/>
      <c r="F328" s="33"/>
      <c r="G328" s="33"/>
      <c r="H328" s="33"/>
      <c r="I328" s="33"/>
      <c r="J328" s="33"/>
      <c r="K328" s="33"/>
      <c r="L328" s="33"/>
      <c r="M328" s="33"/>
      <c r="N328" s="33"/>
      <c r="O328" s="33"/>
      <c r="P328" s="3"/>
      <c r="Q328" s="3"/>
      <c r="R328" s="3"/>
      <c r="S328" s="3"/>
      <c r="T328" s="3"/>
      <c r="U328" s="3"/>
      <c r="V328" s="3"/>
      <c r="W328" s="3"/>
      <c r="X328" s="3"/>
      <c r="Y328" s="3"/>
      <c r="Z328" s="3"/>
    </row>
    <row r="329" spans="1:26" ht="12.75" x14ac:dyDescent="0.2">
      <c r="A329" s="3"/>
      <c r="B329" s="64"/>
      <c r="C329" s="34" t="s">
        <v>144</v>
      </c>
      <c r="D329" s="33"/>
      <c r="E329" s="33"/>
      <c r="F329" s="33"/>
      <c r="G329" s="33"/>
      <c r="H329" s="33"/>
      <c r="I329" s="33"/>
      <c r="J329" s="33"/>
      <c r="K329" s="33"/>
      <c r="L329" s="33"/>
      <c r="M329" s="33"/>
      <c r="N329" s="33"/>
      <c r="O329" s="33"/>
      <c r="P329" s="3"/>
      <c r="Q329" s="3"/>
      <c r="R329" s="3"/>
      <c r="S329" s="3"/>
      <c r="T329" s="3"/>
      <c r="U329" s="3"/>
      <c r="V329" s="3"/>
      <c r="W329" s="3"/>
      <c r="X329" s="3"/>
      <c r="Y329" s="3"/>
      <c r="Z329" s="3"/>
    </row>
    <row r="330" spans="1:26" ht="12.75" x14ac:dyDescent="0.2">
      <c r="A330" s="3"/>
      <c r="B330" s="64"/>
      <c r="C330" s="35" t="s">
        <v>245</v>
      </c>
      <c r="D330" s="33"/>
      <c r="E330" s="33"/>
      <c r="F330" s="39">
        <f>$I$88*(1+$I$89)/1000</f>
        <v>0</v>
      </c>
      <c r="G330" s="39">
        <f t="shared" ref="G330:O330" si="87">$I$88*(1+$I$89)/1000</f>
        <v>0</v>
      </c>
      <c r="H330" s="39">
        <f t="shared" si="87"/>
        <v>0</v>
      </c>
      <c r="I330" s="39">
        <f t="shared" si="87"/>
        <v>0</v>
      </c>
      <c r="J330" s="39">
        <f t="shared" si="87"/>
        <v>0</v>
      </c>
      <c r="K330" s="39">
        <f t="shared" si="87"/>
        <v>0</v>
      </c>
      <c r="L330" s="39">
        <f t="shared" si="87"/>
        <v>0</v>
      </c>
      <c r="M330" s="39">
        <f t="shared" si="87"/>
        <v>0</v>
      </c>
      <c r="N330" s="39">
        <f t="shared" si="87"/>
        <v>0</v>
      </c>
      <c r="O330" s="39">
        <f t="shared" si="87"/>
        <v>0</v>
      </c>
      <c r="P330" s="3"/>
      <c r="Q330" s="28"/>
      <c r="R330" s="3"/>
      <c r="S330" s="3"/>
      <c r="T330" s="3"/>
      <c r="U330" s="3"/>
      <c r="V330" s="3"/>
      <c r="W330" s="3"/>
      <c r="X330" s="3"/>
      <c r="Y330" s="3"/>
      <c r="Z330" s="3"/>
    </row>
    <row r="331" spans="1:26" ht="12.75" x14ac:dyDescent="0.2">
      <c r="A331" s="3"/>
      <c r="B331" s="64"/>
      <c r="C331" s="36" t="s">
        <v>245</v>
      </c>
      <c r="D331" s="36"/>
      <c r="E331" s="36"/>
      <c r="F331" s="76">
        <f>F330</f>
        <v>0</v>
      </c>
      <c r="G331" s="76">
        <f t="shared" ref="G331:O331" si="88">G330</f>
        <v>0</v>
      </c>
      <c r="H331" s="76">
        <f t="shared" si="88"/>
        <v>0</v>
      </c>
      <c r="I331" s="76">
        <f t="shared" si="88"/>
        <v>0</v>
      </c>
      <c r="J331" s="76">
        <f t="shared" si="88"/>
        <v>0</v>
      </c>
      <c r="K331" s="76">
        <f t="shared" si="88"/>
        <v>0</v>
      </c>
      <c r="L331" s="76">
        <f t="shared" si="88"/>
        <v>0</v>
      </c>
      <c r="M331" s="76">
        <f t="shared" si="88"/>
        <v>0</v>
      </c>
      <c r="N331" s="76">
        <f t="shared" si="88"/>
        <v>0</v>
      </c>
      <c r="O331" s="76">
        <f t="shared" si="88"/>
        <v>0</v>
      </c>
      <c r="P331" s="3"/>
      <c r="Q331" s="28"/>
      <c r="R331" s="3"/>
      <c r="S331" s="3"/>
      <c r="T331" s="3"/>
      <c r="U331" s="3"/>
      <c r="V331" s="3"/>
      <c r="W331" s="3"/>
      <c r="X331" s="3"/>
      <c r="Y331" s="3"/>
      <c r="Z331" s="3"/>
    </row>
    <row r="332" spans="1:26" ht="12.75" x14ac:dyDescent="0.2">
      <c r="A332" s="3"/>
      <c r="B332" s="64"/>
      <c r="C332" s="64"/>
      <c r="D332" s="33"/>
      <c r="E332" s="33"/>
      <c r="F332" s="33"/>
      <c r="G332" s="33"/>
      <c r="H332" s="33"/>
      <c r="I332" s="33"/>
      <c r="J332" s="33"/>
      <c r="K332" s="33"/>
      <c r="L332" s="33"/>
      <c r="M332" s="33"/>
      <c r="N332" s="33"/>
      <c r="O332" s="33"/>
      <c r="P332" s="3"/>
      <c r="Q332" s="3"/>
      <c r="R332" s="3"/>
      <c r="S332" s="3"/>
      <c r="T332" s="3"/>
      <c r="U332" s="3"/>
      <c r="V332" s="3"/>
      <c r="W332" s="3"/>
      <c r="X332" s="3"/>
      <c r="Y332" s="3"/>
      <c r="Z332" s="3"/>
    </row>
    <row r="333" spans="1:26" ht="12.75" x14ac:dyDescent="0.2">
      <c r="A333" s="3"/>
      <c r="B333" s="33"/>
      <c r="C333" s="34" t="s">
        <v>218</v>
      </c>
      <c r="D333" s="33"/>
      <c r="E333" s="33"/>
      <c r="F333" s="33"/>
      <c r="G333" s="33"/>
      <c r="H333" s="33"/>
      <c r="I333" s="33"/>
      <c r="J333" s="33"/>
      <c r="K333" s="33"/>
      <c r="L333" s="33"/>
      <c r="M333" s="33"/>
      <c r="N333" s="33"/>
      <c r="O333" s="33"/>
      <c r="P333" s="3"/>
      <c r="Q333" s="3"/>
      <c r="R333" s="3"/>
      <c r="S333" s="3"/>
      <c r="T333" s="3"/>
      <c r="U333" s="3"/>
      <c r="V333" s="3"/>
      <c r="W333" s="3"/>
      <c r="X333" s="3"/>
      <c r="Y333" s="3"/>
      <c r="Z333" s="3"/>
    </row>
    <row r="334" spans="1:26" ht="12.75" x14ac:dyDescent="0.2">
      <c r="A334" s="3"/>
      <c r="B334" s="33"/>
      <c r="C334" s="94" t="s">
        <v>272</v>
      </c>
      <c r="D334" s="33"/>
      <c r="E334" s="33"/>
      <c r="F334" s="39">
        <f t="shared" ref="F334:O334" si="89">F198/F$113</f>
        <v>6.7980000000000009</v>
      </c>
      <c r="G334" s="39">
        <f t="shared" si="89"/>
        <v>6.7980000000000009</v>
      </c>
      <c r="H334" s="39">
        <f t="shared" si="89"/>
        <v>6.7980000000000009</v>
      </c>
      <c r="I334" s="39">
        <f t="shared" si="89"/>
        <v>0</v>
      </c>
      <c r="J334" s="39">
        <f t="shared" si="89"/>
        <v>6.798</v>
      </c>
      <c r="K334" s="39">
        <f t="shared" si="89"/>
        <v>6.798</v>
      </c>
      <c r="L334" s="39">
        <f t="shared" si="89"/>
        <v>6.7980000000000009</v>
      </c>
      <c r="M334" s="39">
        <f t="shared" si="89"/>
        <v>0</v>
      </c>
      <c r="N334" s="39">
        <f t="shared" si="89"/>
        <v>6.7980000000000009</v>
      </c>
      <c r="O334" s="39">
        <f t="shared" si="89"/>
        <v>6.7980000000000009</v>
      </c>
      <c r="P334" s="3"/>
      <c r="Q334" s="3"/>
      <c r="R334" s="3"/>
      <c r="S334" s="3"/>
      <c r="T334" s="3"/>
      <c r="U334" s="3"/>
      <c r="V334" s="3"/>
      <c r="W334" s="3"/>
      <c r="X334" s="3"/>
      <c r="Y334" s="3"/>
      <c r="Z334" s="3"/>
    </row>
    <row r="335" spans="1:26" ht="12.75" x14ac:dyDescent="0.2">
      <c r="A335" s="3"/>
      <c r="B335" s="33"/>
      <c r="C335" s="94" t="s">
        <v>273</v>
      </c>
      <c r="D335" s="33"/>
      <c r="E335" s="33"/>
      <c r="F335" s="39">
        <f t="shared" ref="F335:O335" si="90">F199/F$113</f>
        <v>9.0486000000000004</v>
      </c>
      <c r="G335" s="39">
        <f t="shared" si="90"/>
        <v>9.0486000000000004</v>
      </c>
      <c r="H335" s="39">
        <f t="shared" si="90"/>
        <v>9.0486000000000004</v>
      </c>
      <c r="I335" s="39">
        <f t="shared" si="90"/>
        <v>0</v>
      </c>
      <c r="J335" s="39">
        <f t="shared" si="90"/>
        <v>9.0486000000000004</v>
      </c>
      <c r="K335" s="39">
        <f t="shared" si="90"/>
        <v>9.0486000000000004</v>
      </c>
      <c r="L335" s="39">
        <f t="shared" si="90"/>
        <v>9.0486000000000004</v>
      </c>
      <c r="M335" s="39">
        <f t="shared" si="90"/>
        <v>0</v>
      </c>
      <c r="N335" s="39">
        <f t="shared" si="90"/>
        <v>9.0486000000000004</v>
      </c>
      <c r="O335" s="39">
        <f t="shared" si="90"/>
        <v>9.0486000000000022</v>
      </c>
      <c r="P335" s="3"/>
      <c r="Q335" s="3"/>
      <c r="R335" s="3"/>
      <c r="S335" s="3"/>
      <c r="T335" s="3"/>
      <c r="U335" s="3"/>
      <c r="V335" s="3"/>
      <c r="W335" s="3"/>
      <c r="X335" s="3"/>
      <c r="Y335" s="3"/>
      <c r="Z335" s="3"/>
    </row>
    <row r="336" spans="1:26" ht="12.75" x14ac:dyDescent="0.2">
      <c r="A336" s="3"/>
      <c r="B336" s="33"/>
      <c r="C336" s="27" t="s">
        <v>323</v>
      </c>
      <c r="D336" s="33"/>
      <c r="E336" s="33"/>
      <c r="F336" s="39">
        <f t="shared" ref="F336:O336" si="91">F200/F$113</f>
        <v>1.3057000000000001</v>
      </c>
      <c r="G336" s="39">
        <f t="shared" si="91"/>
        <v>1.3057000000000001</v>
      </c>
      <c r="H336" s="39">
        <f t="shared" si="91"/>
        <v>1.3057000000000001</v>
      </c>
      <c r="I336" s="39">
        <f t="shared" si="91"/>
        <v>1.3057000000000001</v>
      </c>
      <c r="J336" s="39">
        <f t="shared" si="91"/>
        <v>1.3057000000000001</v>
      </c>
      <c r="K336" s="39">
        <f t="shared" si="91"/>
        <v>1.3057000000000001</v>
      </c>
      <c r="L336" s="39">
        <f t="shared" si="91"/>
        <v>1.3057000000000001</v>
      </c>
      <c r="M336" s="39">
        <f t="shared" si="91"/>
        <v>1.3057000000000001</v>
      </c>
      <c r="N336" s="39">
        <f t="shared" si="91"/>
        <v>1.3057000000000001</v>
      </c>
      <c r="O336" s="39">
        <f t="shared" si="91"/>
        <v>1.3057000000000001</v>
      </c>
      <c r="P336" s="3"/>
      <c r="Q336" s="3"/>
      <c r="R336" s="3"/>
      <c r="S336" s="3"/>
      <c r="T336" s="3"/>
      <c r="U336" s="3"/>
      <c r="V336" s="3"/>
      <c r="W336" s="3"/>
      <c r="X336" s="3"/>
      <c r="Y336" s="3"/>
      <c r="Z336" s="3"/>
    </row>
    <row r="337" spans="1:26" ht="12.75" x14ac:dyDescent="0.2">
      <c r="A337" s="3"/>
      <c r="B337" s="33"/>
      <c r="C337" s="27" t="s">
        <v>331</v>
      </c>
      <c r="D337" s="33"/>
      <c r="E337" s="33"/>
      <c r="F337" s="39">
        <f t="shared" ref="F337:O337" si="92">F201/F$113</f>
        <v>0</v>
      </c>
      <c r="G337" s="39">
        <f t="shared" si="92"/>
        <v>21.783299999999997</v>
      </c>
      <c r="H337" s="39">
        <f t="shared" si="92"/>
        <v>21.783300000000001</v>
      </c>
      <c r="I337" s="39">
        <f t="shared" si="92"/>
        <v>21.783299999999997</v>
      </c>
      <c r="J337" s="39">
        <f t="shared" si="92"/>
        <v>0</v>
      </c>
      <c r="K337" s="39">
        <f t="shared" si="92"/>
        <v>21.783300000000001</v>
      </c>
      <c r="L337" s="39">
        <f t="shared" si="92"/>
        <v>21.783299999999997</v>
      </c>
      <c r="M337" s="39">
        <f t="shared" si="92"/>
        <v>21.783300000000001</v>
      </c>
      <c r="N337" s="39">
        <f t="shared" si="92"/>
        <v>0</v>
      </c>
      <c r="O337" s="39">
        <f t="shared" si="92"/>
        <v>21.783300000000001</v>
      </c>
      <c r="P337" s="3"/>
      <c r="Q337" s="3"/>
      <c r="R337" s="3"/>
      <c r="S337" s="3"/>
      <c r="T337" s="3"/>
      <c r="U337" s="3"/>
      <c r="V337" s="3"/>
      <c r="W337" s="3"/>
      <c r="X337" s="3"/>
      <c r="Y337" s="3"/>
      <c r="Z337" s="3"/>
    </row>
    <row r="338" spans="1:26" s="105" customFormat="1" ht="12.75" x14ac:dyDescent="0.2">
      <c r="A338" s="102"/>
      <c r="B338" s="35"/>
      <c r="C338" s="84" t="s">
        <v>293</v>
      </c>
      <c r="D338" s="35"/>
      <c r="E338" s="35"/>
      <c r="F338" s="104">
        <f t="shared" ref="F338:O338" si="93">F202/F$113</f>
        <v>1.4751000000000001</v>
      </c>
      <c r="G338" s="104">
        <f t="shared" si="93"/>
        <v>1.4751000000000001</v>
      </c>
      <c r="H338" s="104">
        <f t="shared" si="93"/>
        <v>1.4751000000000001</v>
      </c>
      <c r="I338" s="104">
        <f t="shared" si="93"/>
        <v>1.4751000000000001</v>
      </c>
      <c r="J338" s="104">
        <f t="shared" si="93"/>
        <v>1.4751000000000001</v>
      </c>
      <c r="K338" s="104">
        <f t="shared" si="93"/>
        <v>1.4751000000000003</v>
      </c>
      <c r="L338" s="104">
        <f t="shared" si="93"/>
        <v>1.4751000000000003</v>
      </c>
      <c r="M338" s="104">
        <f t="shared" si="93"/>
        <v>1.4751000000000001</v>
      </c>
      <c r="N338" s="104">
        <f t="shared" si="93"/>
        <v>1.4751000000000001</v>
      </c>
      <c r="O338" s="104">
        <f t="shared" si="93"/>
        <v>1.4751000000000001</v>
      </c>
      <c r="P338" s="102"/>
      <c r="Q338" s="102"/>
      <c r="R338" s="102"/>
      <c r="S338" s="102"/>
      <c r="T338" s="102"/>
      <c r="U338" s="102"/>
      <c r="V338" s="102"/>
      <c r="W338" s="102"/>
      <c r="X338" s="102"/>
      <c r="Y338" s="102"/>
      <c r="Z338" s="102"/>
    </row>
    <row r="339" spans="1:26" ht="12.75" x14ac:dyDescent="0.2">
      <c r="A339" s="3"/>
      <c r="B339" s="33"/>
      <c r="C339" s="94" t="s">
        <v>278</v>
      </c>
      <c r="D339" s="33"/>
      <c r="E339" s="33"/>
      <c r="F339" s="39">
        <f t="shared" ref="F339:O339" si="94">F203/F$113</f>
        <v>17.022500000000004</v>
      </c>
      <c r="G339" s="39">
        <f t="shared" si="94"/>
        <v>17.022500000000004</v>
      </c>
      <c r="H339" s="39">
        <f t="shared" si="94"/>
        <v>17.022500000000004</v>
      </c>
      <c r="I339" s="39">
        <f t="shared" si="94"/>
        <v>17.022500000000004</v>
      </c>
      <c r="J339" s="39">
        <f t="shared" si="94"/>
        <v>17.022500000000004</v>
      </c>
      <c r="K339" s="39">
        <f t="shared" si="94"/>
        <v>17.022500000000004</v>
      </c>
      <c r="L339" s="39">
        <f t="shared" si="94"/>
        <v>17.022500000000004</v>
      </c>
      <c r="M339" s="39">
        <f t="shared" si="94"/>
        <v>17.022500000000004</v>
      </c>
      <c r="N339" s="39">
        <f t="shared" si="94"/>
        <v>17.022500000000004</v>
      </c>
      <c r="O339" s="39">
        <f t="shared" si="94"/>
        <v>17.022500000000004</v>
      </c>
      <c r="P339" s="3"/>
      <c r="Q339" s="3"/>
      <c r="R339" s="3"/>
      <c r="S339" s="3"/>
      <c r="T339" s="3"/>
      <c r="U339" s="3"/>
      <c r="V339" s="3"/>
      <c r="W339" s="3"/>
      <c r="X339" s="3"/>
      <c r="Y339" s="3"/>
      <c r="Z339" s="3"/>
    </row>
    <row r="340" spans="1:26" ht="12.75" x14ac:dyDescent="0.2">
      <c r="A340" s="3"/>
      <c r="B340" s="33"/>
      <c r="C340" s="9" t="s">
        <v>85</v>
      </c>
      <c r="D340" s="33"/>
      <c r="E340" s="33"/>
      <c r="F340" s="39">
        <f t="shared" ref="F340:O340" si="95">F204/F$113</f>
        <v>15.475</v>
      </c>
      <c r="G340" s="39">
        <f t="shared" si="95"/>
        <v>15.475</v>
      </c>
      <c r="H340" s="39">
        <f t="shared" si="95"/>
        <v>15.475000000000001</v>
      </c>
      <c r="I340" s="39">
        <f t="shared" si="95"/>
        <v>15.475000000000001</v>
      </c>
      <c r="J340" s="39">
        <f t="shared" si="95"/>
        <v>0</v>
      </c>
      <c r="K340" s="39">
        <f t="shared" si="95"/>
        <v>0</v>
      </c>
      <c r="L340" s="39">
        <f t="shared" si="95"/>
        <v>0</v>
      </c>
      <c r="M340" s="39">
        <f t="shared" si="95"/>
        <v>0</v>
      </c>
      <c r="N340" s="39">
        <f t="shared" si="95"/>
        <v>0</v>
      </c>
      <c r="O340" s="39">
        <f t="shared" si="95"/>
        <v>0</v>
      </c>
      <c r="P340" s="3"/>
      <c r="Q340" s="3"/>
      <c r="R340" s="3"/>
      <c r="S340" s="3"/>
      <c r="T340" s="3"/>
      <c r="U340" s="3"/>
      <c r="V340" s="3"/>
      <c r="W340" s="3"/>
      <c r="X340" s="3"/>
      <c r="Y340" s="3"/>
      <c r="Z340" s="3"/>
    </row>
    <row r="341" spans="1:26" ht="12.75" x14ac:dyDescent="0.2">
      <c r="A341" s="3"/>
      <c r="B341" s="33"/>
      <c r="C341" s="36" t="s">
        <v>207</v>
      </c>
      <c r="D341" s="36"/>
      <c r="E341" s="36"/>
      <c r="F341" s="59">
        <f>SUM(F334:F340)</f>
        <v>51.124900000000011</v>
      </c>
      <c r="G341" s="59">
        <f t="shared" ref="G341:O341" si="96">SUM(G334:G340)</f>
        <v>72.908199999999994</v>
      </c>
      <c r="H341" s="59">
        <f t="shared" si="96"/>
        <v>72.908200000000022</v>
      </c>
      <c r="I341" s="59">
        <f t="shared" si="96"/>
        <v>57.061600000000006</v>
      </c>
      <c r="J341" s="59">
        <f t="shared" si="96"/>
        <v>35.649900000000002</v>
      </c>
      <c r="K341" s="59">
        <f t="shared" si="96"/>
        <v>57.433199999999999</v>
      </c>
      <c r="L341" s="59">
        <f t="shared" si="96"/>
        <v>57.433199999999999</v>
      </c>
      <c r="M341" s="59">
        <f t="shared" si="96"/>
        <v>41.586600000000004</v>
      </c>
      <c r="N341" s="59">
        <f t="shared" si="96"/>
        <v>35.649900000000009</v>
      </c>
      <c r="O341" s="59">
        <f t="shared" si="96"/>
        <v>57.433200000000014</v>
      </c>
      <c r="P341" s="3"/>
      <c r="Q341" s="3"/>
      <c r="R341" s="3"/>
      <c r="S341" s="3"/>
      <c r="T341" s="3"/>
      <c r="U341" s="3"/>
      <c r="V341" s="3"/>
      <c r="W341" s="3"/>
      <c r="X341" s="3"/>
      <c r="Y341" s="3"/>
      <c r="Z341" s="3"/>
    </row>
    <row r="342" spans="1:26" ht="12.75" x14ac:dyDescent="0.2">
      <c r="A342" s="3"/>
      <c r="B342" s="33"/>
      <c r="C342" s="33"/>
      <c r="D342" s="33"/>
      <c r="E342" s="33"/>
      <c r="F342" s="33"/>
      <c r="G342" s="33"/>
      <c r="H342" s="33"/>
      <c r="I342" s="33"/>
      <c r="J342" s="33"/>
      <c r="K342" s="33"/>
      <c r="L342" s="33"/>
      <c r="M342" s="33"/>
      <c r="N342" s="33"/>
      <c r="O342" s="33"/>
      <c r="P342" s="3"/>
      <c r="Q342" s="3"/>
      <c r="R342" s="3"/>
      <c r="S342" s="3"/>
      <c r="T342" s="3"/>
      <c r="U342" s="3"/>
      <c r="V342" s="3"/>
      <c r="W342" s="3"/>
      <c r="X342" s="3"/>
      <c r="Y342" s="3"/>
      <c r="Z342" s="3"/>
    </row>
    <row r="343" spans="1:26" ht="12.75" x14ac:dyDescent="0.2">
      <c r="A343" s="3"/>
      <c r="B343" s="33"/>
      <c r="C343" s="34" t="s">
        <v>215</v>
      </c>
      <c r="D343" s="33"/>
      <c r="E343" s="33"/>
      <c r="F343" s="41"/>
      <c r="G343" s="41"/>
      <c r="H343" s="41"/>
      <c r="I343" s="41"/>
      <c r="J343" s="41"/>
      <c r="K343" s="41"/>
      <c r="L343" s="41"/>
      <c r="M343" s="41"/>
      <c r="N343" s="41"/>
      <c r="O343" s="41"/>
      <c r="P343" s="3"/>
      <c r="Q343" s="3"/>
      <c r="R343" s="3"/>
      <c r="S343" s="3"/>
      <c r="T343" s="3"/>
      <c r="U343" s="3"/>
      <c r="V343" s="3"/>
      <c r="W343" s="3"/>
      <c r="X343" s="3"/>
      <c r="Y343" s="3"/>
      <c r="Z343" s="3"/>
    </row>
    <row r="344" spans="1:26" ht="12.75" x14ac:dyDescent="0.2">
      <c r="A344" s="3"/>
      <c r="B344" s="33"/>
      <c r="C344" s="9" t="s">
        <v>110</v>
      </c>
      <c r="D344" s="33"/>
      <c r="E344" s="33"/>
      <c r="F344" s="39">
        <f t="shared" ref="F344:O344" si="97">F208/F$113</f>
        <v>5.6496000000000004</v>
      </c>
      <c r="G344" s="39">
        <f t="shared" si="97"/>
        <v>5.6496000000000004</v>
      </c>
      <c r="H344" s="39">
        <f t="shared" si="97"/>
        <v>5.6496000000000004</v>
      </c>
      <c r="I344" s="39">
        <f t="shared" si="97"/>
        <v>5.6496000000000013</v>
      </c>
      <c r="J344" s="39">
        <f t="shared" si="97"/>
        <v>5.6496000000000004</v>
      </c>
      <c r="K344" s="39">
        <f t="shared" si="97"/>
        <v>5.6496000000000013</v>
      </c>
      <c r="L344" s="39">
        <f t="shared" si="97"/>
        <v>5.6496000000000004</v>
      </c>
      <c r="M344" s="39">
        <f t="shared" si="97"/>
        <v>5.6496000000000004</v>
      </c>
      <c r="N344" s="39">
        <f t="shared" si="97"/>
        <v>5.6496000000000004</v>
      </c>
      <c r="O344" s="39">
        <f t="shared" si="97"/>
        <v>5.6495999999999995</v>
      </c>
      <c r="P344" s="3"/>
      <c r="Q344" s="3"/>
      <c r="R344" s="3"/>
      <c r="S344" s="3"/>
      <c r="T344" s="3"/>
      <c r="U344" s="3"/>
      <c r="V344" s="3"/>
      <c r="W344" s="3"/>
      <c r="X344" s="3"/>
      <c r="Y344" s="3"/>
      <c r="Z344" s="3"/>
    </row>
    <row r="345" spans="1:26" ht="12.75" x14ac:dyDescent="0.2">
      <c r="A345" s="3"/>
      <c r="B345" s="33"/>
      <c r="C345" s="27" t="s">
        <v>283</v>
      </c>
      <c r="D345" s="33"/>
      <c r="E345" s="33"/>
      <c r="F345" s="39">
        <f t="shared" ref="F345:O345" si="98">F209/F$113</f>
        <v>2.6292000000000004</v>
      </c>
      <c r="G345" s="39">
        <f t="shared" si="98"/>
        <v>2.6292000000000004</v>
      </c>
      <c r="H345" s="39">
        <f t="shared" si="98"/>
        <v>2.6292000000000004</v>
      </c>
      <c r="I345" s="39">
        <f t="shared" si="98"/>
        <v>2.6292000000000004</v>
      </c>
      <c r="J345" s="39">
        <f t="shared" si="98"/>
        <v>2.6292000000000004</v>
      </c>
      <c r="K345" s="39">
        <f t="shared" si="98"/>
        <v>2.6292000000000004</v>
      </c>
      <c r="L345" s="39">
        <f t="shared" si="98"/>
        <v>2.6292000000000004</v>
      </c>
      <c r="M345" s="39">
        <f t="shared" si="98"/>
        <v>2.6292</v>
      </c>
      <c r="N345" s="39">
        <f t="shared" si="98"/>
        <v>2.6292</v>
      </c>
      <c r="O345" s="39">
        <f t="shared" si="98"/>
        <v>2.6292000000000004</v>
      </c>
      <c r="P345" s="3"/>
      <c r="Q345" s="3"/>
      <c r="R345" s="3"/>
      <c r="S345" s="3"/>
      <c r="T345" s="3"/>
      <c r="U345" s="3"/>
      <c r="V345" s="3"/>
      <c r="W345" s="3"/>
      <c r="X345" s="3"/>
      <c r="Y345" s="3"/>
      <c r="Z345" s="3"/>
    </row>
    <row r="346" spans="1:26" ht="12.75" x14ac:dyDescent="0.2">
      <c r="A346" s="3"/>
      <c r="B346" s="33"/>
      <c r="C346" s="31" t="s">
        <v>216</v>
      </c>
      <c r="D346" s="36"/>
      <c r="E346" s="36"/>
      <c r="F346" s="40">
        <f t="shared" ref="F346:O346" si="99">SUM(F344:F345)</f>
        <v>8.2788000000000004</v>
      </c>
      <c r="G346" s="40">
        <f t="shared" si="99"/>
        <v>8.2788000000000004</v>
      </c>
      <c r="H346" s="40">
        <f t="shared" si="99"/>
        <v>8.2788000000000004</v>
      </c>
      <c r="I346" s="40">
        <f t="shared" si="99"/>
        <v>8.2788000000000022</v>
      </c>
      <c r="J346" s="40">
        <f t="shared" si="99"/>
        <v>8.2788000000000004</v>
      </c>
      <c r="K346" s="40">
        <f t="shared" si="99"/>
        <v>8.2788000000000022</v>
      </c>
      <c r="L346" s="40">
        <f t="shared" si="99"/>
        <v>8.2788000000000004</v>
      </c>
      <c r="M346" s="40">
        <f t="shared" si="99"/>
        <v>8.2788000000000004</v>
      </c>
      <c r="N346" s="40">
        <f t="shared" si="99"/>
        <v>8.2788000000000004</v>
      </c>
      <c r="O346" s="40">
        <f t="shared" si="99"/>
        <v>8.2788000000000004</v>
      </c>
      <c r="P346" s="3"/>
      <c r="Q346" s="3"/>
      <c r="R346" s="3"/>
      <c r="S346" s="3"/>
      <c r="T346" s="3"/>
      <c r="U346" s="3"/>
      <c r="V346" s="3"/>
      <c r="W346" s="3"/>
      <c r="X346" s="3"/>
      <c r="Y346" s="3"/>
      <c r="Z346" s="3"/>
    </row>
    <row r="347" spans="1:26" ht="12.75" x14ac:dyDescent="0.2">
      <c r="A347" s="3"/>
      <c r="B347" s="33"/>
      <c r="C347" s="35"/>
      <c r="D347" s="33"/>
      <c r="E347" s="33"/>
      <c r="F347" s="41"/>
      <c r="G347" s="41"/>
      <c r="H347" s="41"/>
      <c r="I347" s="41"/>
      <c r="J347" s="41"/>
      <c r="K347" s="41"/>
      <c r="L347" s="41"/>
      <c r="M347" s="41"/>
      <c r="N347" s="41"/>
      <c r="O347" s="41"/>
      <c r="P347" s="3"/>
      <c r="Q347" s="3"/>
      <c r="R347" s="3"/>
      <c r="S347" s="3"/>
      <c r="T347" s="3"/>
      <c r="U347" s="3"/>
      <c r="V347" s="3"/>
      <c r="W347" s="3"/>
      <c r="X347" s="3"/>
      <c r="Y347" s="3"/>
      <c r="Z347" s="3"/>
    </row>
    <row r="348" spans="1:26" ht="12.75" x14ac:dyDescent="0.2">
      <c r="A348" s="3"/>
      <c r="B348" s="33"/>
      <c r="C348" s="34" t="s">
        <v>219</v>
      </c>
      <c r="D348" s="33"/>
      <c r="E348" s="33"/>
      <c r="F348" s="41"/>
      <c r="G348" s="41"/>
      <c r="H348" s="41"/>
      <c r="I348" s="41"/>
      <c r="J348" s="41"/>
      <c r="K348" s="41"/>
      <c r="L348" s="41"/>
      <c r="M348" s="41"/>
      <c r="N348" s="41"/>
      <c r="O348" s="41"/>
      <c r="P348" s="3"/>
      <c r="Q348" s="3"/>
      <c r="R348" s="3"/>
      <c r="S348" s="3"/>
      <c r="T348" s="3"/>
      <c r="U348" s="3"/>
      <c r="V348" s="3"/>
      <c r="W348" s="3"/>
      <c r="X348" s="3"/>
      <c r="Y348" s="3"/>
      <c r="Z348" s="3"/>
    </row>
    <row r="349" spans="1:26" ht="12.75" x14ac:dyDescent="0.2">
      <c r="A349" s="3"/>
      <c r="B349" s="33"/>
      <c r="C349" s="111" t="s">
        <v>312</v>
      </c>
      <c r="D349" s="33"/>
      <c r="E349" s="33"/>
      <c r="F349" s="81">
        <f t="shared" ref="F349:O349" si="100">F213/F$113</f>
        <v>0</v>
      </c>
      <c r="G349" s="39">
        <f t="shared" si="100"/>
        <v>4.5639000000000003</v>
      </c>
      <c r="H349" s="39">
        <f t="shared" si="100"/>
        <v>4.5639000000000003</v>
      </c>
      <c r="I349" s="39">
        <f t="shared" si="100"/>
        <v>4.5639000000000003</v>
      </c>
      <c r="J349" s="39">
        <f t="shared" si="100"/>
        <v>0</v>
      </c>
      <c r="K349" s="39">
        <f t="shared" si="100"/>
        <v>4.5639000000000003</v>
      </c>
      <c r="L349" s="39">
        <f t="shared" si="100"/>
        <v>4.5639000000000003</v>
      </c>
      <c r="M349" s="39">
        <f t="shared" si="100"/>
        <v>4.5639000000000003</v>
      </c>
      <c r="N349" s="39">
        <f t="shared" si="100"/>
        <v>0</v>
      </c>
      <c r="O349" s="39">
        <f t="shared" si="100"/>
        <v>4.5639000000000003</v>
      </c>
      <c r="P349" s="3"/>
      <c r="Q349" s="3"/>
      <c r="R349" s="3"/>
      <c r="S349" s="3"/>
      <c r="T349" s="3"/>
      <c r="U349" s="3"/>
      <c r="V349" s="3"/>
      <c r="W349" s="3"/>
      <c r="X349" s="3"/>
      <c r="Y349" s="3"/>
      <c r="Z349" s="3"/>
    </row>
    <row r="350" spans="1:26" ht="12.75" x14ac:dyDescent="0.2">
      <c r="A350" s="3"/>
      <c r="B350" s="33"/>
      <c r="C350" s="111" t="s">
        <v>313</v>
      </c>
      <c r="D350" s="33"/>
      <c r="E350" s="33"/>
      <c r="F350" s="39">
        <f t="shared" ref="F350:O350" si="101">F214/F$113</f>
        <v>16.5</v>
      </c>
      <c r="G350" s="81">
        <f t="shared" si="101"/>
        <v>0</v>
      </c>
      <c r="H350" s="39">
        <f t="shared" si="101"/>
        <v>0</v>
      </c>
      <c r="I350" s="39">
        <f t="shared" si="101"/>
        <v>0</v>
      </c>
      <c r="J350" s="39">
        <f t="shared" si="101"/>
        <v>16.5</v>
      </c>
      <c r="K350" s="39">
        <f t="shared" si="101"/>
        <v>0</v>
      </c>
      <c r="L350" s="39">
        <f t="shared" si="101"/>
        <v>0</v>
      </c>
      <c r="M350" s="39">
        <f t="shared" si="101"/>
        <v>0</v>
      </c>
      <c r="N350" s="39">
        <f t="shared" si="101"/>
        <v>16.5</v>
      </c>
      <c r="O350" s="39">
        <f t="shared" si="101"/>
        <v>0</v>
      </c>
      <c r="P350" s="3"/>
      <c r="Q350" s="3"/>
      <c r="R350" s="3"/>
      <c r="S350" s="3"/>
      <c r="T350" s="3"/>
      <c r="U350" s="3"/>
      <c r="V350" s="3"/>
      <c r="W350" s="3"/>
      <c r="X350" s="3"/>
      <c r="Y350" s="3"/>
      <c r="Z350" s="3"/>
    </row>
    <row r="351" spans="1:26" ht="12.75" x14ac:dyDescent="0.2">
      <c r="A351" s="3"/>
      <c r="B351" s="33"/>
      <c r="C351" s="9" t="s">
        <v>102</v>
      </c>
      <c r="D351" s="33"/>
      <c r="E351" s="33"/>
      <c r="F351" s="39">
        <f t="shared" ref="F351:O351" si="102">F215/F$113</f>
        <v>21.1072092</v>
      </c>
      <c r="G351" s="39">
        <f t="shared" si="102"/>
        <v>21.1072092</v>
      </c>
      <c r="H351" s="39">
        <f t="shared" si="102"/>
        <v>21.107209200000003</v>
      </c>
      <c r="I351" s="39">
        <f t="shared" si="102"/>
        <v>21.107209200000003</v>
      </c>
      <c r="J351" s="39">
        <f t="shared" si="102"/>
        <v>21.1072092</v>
      </c>
      <c r="K351" s="39">
        <f t="shared" si="102"/>
        <v>21.1072092</v>
      </c>
      <c r="L351" s="39">
        <f t="shared" si="102"/>
        <v>21.107209200000003</v>
      </c>
      <c r="M351" s="39">
        <f t="shared" si="102"/>
        <v>21.107209200000003</v>
      </c>
      <c r="N351" s="39">
        <f t="shared" si="102"/>
        <v>21.107209200000003</v>
      </c>
      <c r="O351" s="39">
        <f t="shared" si="102"/>
        <v>21.1072092</v>
      </c>
      <c r="P351" s="3"/>
      <c r="Q351" s="3"/>
      <c r="R351" s="3"/>
      <c r="S351" s="3"/>
      <c r="T351" s="3"/>
      <c r="U351" s="3"/>
      <c r="V351" s="3"/>
      <c r="W351" s="3"/>
      <c r="X351" s="3"/>
      <c r="Y351" s="3"/>
      <c r="Z351" s="3"/>
    </row>
    <row r="352" spans="1:26" s="105" customFormat="1" ht="12.75" x14ac:dyDescent="0.2">
      <c r="A352" s="102"/>
      <c r="B352" s="35"/>
      <c r="C352" s="27" t="s">
        <v>334</v>
      </c>
      <c r="D352" s="35"/>
      <c r="E352" s="35"/>
      <c r="F352" s="39">
        <f t="shared" ref="F352:O352" si="103">F216/F$113</f>
        <v>2.200000000078056</v>
      </c>
      <c r="G352" s="39">
        <f t="shared" si="103"/>
        <v>2.200000000078056</v>
      </c>
      <c r="H352" s="39">
        <f t="shared" si="103"/>
        <v>2.2000000000780555</v>
      </c>
      <c r="I352" s="39">
        <f t="shared" si="103"/>
        <v>2.200000000078056</v>
      </c>
      <c r="J352" s="39">
        <f t="shared" si="103"/>
        <v>2.200000000078056</v>
      </c>
      <c r="K352" s="39">
        <f t="shared" si="103"/>
        <v>2.200000000078056</v>
      </c>
      <c r="L352" s="39">
        <f t="shared" si="103"/>
        <v>2.200000000078056</v>
      </c>
      <c r="M352" s="39">
        <f t="shared" si="103"/>
        <v>2.2000000000780564</v>
      </c>
      <c r="N352" s="39">
        <f t="shared" si="103"/>
        <v>2.200000000078056</v>
      </c>
      <c r="O352" s="39">
        <f t="shared" si="103"/>
        <v>2.2000000000780564</v>
      </c>
      <c r="P352" s="102"/>
      <c r="Q352" s="102"/>
      <c r="R352" s="102"/>
      <c r="S352" s="102"/>
      <c r="T352" s="102"/>
      <c r="U352" s="102"/>
      <c r="V352" s="102"/>
      <c r="W352" s="102"/>
      <c r="X352" s="102"/>
      <c r="Y352" s="102"/>
      <c r="Z352" s="102"/>
    </row>
    <row r="353" spans="1:26" ht="12.75" x14ac:dyDescent="0.2">
      <c r="A353" s="3"/>
      <c r="B353" s="33"/>
      <c r="C353" s="9" t="s">
        <v>105</v>
      </c>
      <c r="D353" s="33"/>
      <c r="E353" s="33"/>
      <c r="F353" s="39">
        <f t="shared" ref="F353:O353" si="104">F217/F$113</f>
        <v>3.9600000000000004</v>
      </c>
      <c r="G353" s="39">
        <f t="shared" si="104"/>
        <v>3.9599999999999995</v>
      </c>
      <c r="H353" s="39">
        <f t="shared" si="104"/>
        <v>3.9599999999999995</v>
      </c>
      <c r="I353" s="39">
        <f t="shared" si="104"/>
        <v>3.9600000000000004</v>
      </c>
      <c r="J353" s="39">
        <f t="shared" si="104"/>
        <v>3.96</v>
      </c>
      <c r="K353" s="39">
        <f t="shared" si="104"/>
        <v>3.9600000000000004</v>
      </c>
      <c r="L353" s="39">
        <f t="shared" si="104"/>
        <v>3.9599999999999995</v>
      </c>
      <c r="M353" s="39">
        <f t="shared" si="104"/>
        <v>3.9600000000000004</v>
      </c>
      <c r="N353" s="39">
        <f t="shared" si="104"/>
        <v>3.96</v>
      </c>
      <c r="O353" s="39">
        <f t="shared" si="104"/>
        <v>3.96</v>
      </c>
      <c r="P353" s="3"/>
      <c r="Q353" s="3"/>
      <c r="R353" s="3"/>
      <c r="S353" s="3"/>
      <c r="T353" s="3"/>
      <c r="U353" s="3"/>
      <c r="V353" s="3"/>
      <c r="W353" s="3"/>
      <c r="X353" s="3"/>
      <c r="Y353" s="3"/>
      <c r="Z353" s="3"/>
    </row>
    <row r="354" spans="1:26" ht="12.75" x14ac:dyDescent="0.2">
      <c r="A354" s="3"/>
      <c r="B354" s="43"/>
      <c r="C354" s="68" t="s">
        <v>217</v>
      </c>
      <c r="D354" s="68"/>
      <c r="E354" s="68"/>
      <c r="F354" s="69">
        <f t="shared" ref="F354:O354" si="105">SUM(F349:F353)</f>
        <v>43.767209200078057</v>
      </c>
      <c r="G354" s="69">
        <f t="shared" si="105"/>
        <v>31.831109200078057</v>
      </c>
      <c r="H354" s="69">
        <f t="shared" si="105"/>
        <v>31.83110920007806</v>
      </c>
      <c r="I354" s="69">
        <f t="shared" si="105"/>
        <v>31.83110920007806</v>
      </c>
      <c r="J354" s="69">
        <f t="shared" si="105"/>
        <v>43.767209200078057</v>
      </c>
      <c r="K354" s="69">
        <f t="shared" si="105"/>
        <v>31.831109200078057</v>
      </c>
      <c r="L354" s="69">
        <f t="shared" si="105"/>
        <v>31.83110920007806</v>
      </c>
      <c r="M354" s="69">
        <f t="shared" si="105"/>
        <v>31.83110920007806</v>
      </c>
      <c r="N354" s="69">
        <f t="shared" si="105"/>
        <v>43.767209200078057</v>
      </c>
      <c r="O354" s="69">
        <f t="shared" si="105"/>
        <v>31.831109200078057</v>
      </c>
      <c r="P354" s="3"/>
      <c r="Q354" s="3"/>
      <c r="R354" s="3"/>
      <c r="S354" s="3"/>
      <c r="T354" s="3"/>
      <c r="U354" s="3"/>
      <c r="V354" s="3"/>
      <c r="W354" s="3"/>
      <c r="X354" s="3"/>
      <c r="Y354" s="3"/>
      <c r="Z354" s="3"/>
    </row>
    <row r="355" spans="1:26" ht="12.75" x14ac:dyDescent="0.2">
      <c r="A355" s="3"/>
      <c r="B355" s="43"/>
      <c r="C355" s="74"/>
      <c r="D355" s="74"/>
      <c r="E355" s="74"/>
      <c r="F355" s="75"/>
      <c r="G355" s="75"/>
      <c r="H355" s="75"/>
      <c r="I355" s="75"/>
      <c r="J355" s="75"/>
      <c r="K355" s="75"/>
      <c r="L355" s="75"/>
      <c r="M355" s="75"/>
      <c r="N355" s="75"/>
      <c r="O355" s="75"/>
      <c r="P355" s="3"/>
      <c r="Q355" s="3"/>
      <c r="R355" s="3"/>
      <c r="S355" s="3"/>
      <c r="T355" s="3"/>
      <c r="U355" s="3"/>
      <c r="V355" s="3"/>
      <c r="W355" s="3"/>
      <c r="X355" s="3"/>
      <c r="Y355" s="3"/>
      <c r="Z355" s="3"/>
    </row>
    <row r="356" spans="1:26" ht="12.75" x14ac:dyDescent="0.2">
      <c r="A356" s="3"/>
      <c r="B356" s="43"/>
      <c r="C356" s="34" t="s">
        <v>287</v>
      </c>
      <c r="D356" s="74"/>
      <c r="E356" s="74"/>
      <c r="F356" s="75"/>
      <c r="G356" s="75"/>
      <c r="H356" s="75"/>
      <c r="I356" s="75"/>
      <c r="J356" s="75"/>
      <c r="K356" s="75"/>
      <c r="L356" s="75"/>
      <c r="M356" s="75"/>
      <c r="N356" s="75"/>
      <c r="O356" s="75"/>
      <c r="P356" s="3"/>
      <c r="Q356" s="3"/>
      <c r="R356" s="3"/>
      <c r="S356" s="3"/>
      <c r="T356" s="3"/>
      <c r="U356" s="3"/>
      <c r="V356" s="3"/>
      <c r="W356" s="3"/>
      <c r="X356" s="3"/>
      <c r="Y356" s="3"/>
      <c r="Z356" s="3"/>
    </row>
    <row r="357" spans="1:26" ht="12.75" x14ac:dyDescent="0.2">
      <c r="A357" s="3"/>
      <c r="B357" s="33"/>
      <c r="C357" s="27" t="s">
        <v>282</v>
      </c>
      <c r="D357" s="33"/>
      <c r="E357" s="33"/>
      <c r="F357" s="81">
        <f t="shared" ref="F357:O357" si="106">F221/F$113</f>
        <v>0</v>
      </c>
      <c r="G357" s="39">
        <f t="shared" si="106"/>
        <v>33.372376500000009</v>
      </c>
      <c r="H357" s="39">
        <f t="shared" si="106"/>
        <v>29.872658850000004</v>
      </c>
      <c r="I357" s="39">
        <f t="shared" si="106"/>
        <v>26.722912965000006</v>
      </c>
      <c r="J357" s="39">
        <f t="shared" si="106"/>
        <v>0</v>
      </c>
      <c r="K357" s="39">
        <f t="shared" si="106"/>
        <v>33.372376500000009</v>
      </c>
      <c r="L357" s="39">
        <f t="shared" si="106"/>
        <v>29.872658850000008</v>
      </c>
      <c r="M357" s="39">
        <f t="shared" si="106"/>
        <v>26.72291296500001</v>
      </c>
      <c r="N357" s="39">
        <f t="shared" si="106"/>
        <v>0</v>
      </c>
      <c r="O357" s="39">
        <f t="shared" si="106"/>
        <v>33.372376500000001</v>
      </c>
      <c r="P357" s="3"/>
      <c r="Q357" s="3"/>
      <c r="R357" s="3"/>
      <c r="S357" s="3"/>
      <c r="T357" s="3"/>
      <c r="U357" s="3"/>
      <c r="V357" s="3"/>
      <c r="W357" s="3"/>
      <c r="X357" s="3"/>
      <c r="Y357" s="3"/>
      <c r="Z357" s="3"/>
    </row>
    <row r="358" spans="1:26" ht="12.75" x14ac:dyDescent="0.2">
      <c r="A358" s="3"/>
      <c r="B358" s="33"/>
      <c r="C358" s="27" t="s">
        <v>284</v>
      </c>
      <c r="D358" s="33"/>
      <c r="E358" s="33"/>
      <c r="F358" s="81">
        <f t="shared" ref="F358:O358" si="107">F222/F$113</f>
        <v>0</v>
      </c>
      <c r="G358" s="39">
        <f t="shared" si="107"/>
        <v>4.3251065000000004</v>
      </c>
      <c r="H358" s="39">
        <f t="shared" si="107"/>
        <v>3.8925958500000006</v>
      </c>
      <c r="I358" s="39">
        <f t="shared" si="107"/>
        <v>3.5033362650000011</v>
      </c>
      <c r="J358" s="39">
        <f t="shared" si="107"/>
        <v>0</v>
      </c>
      <c r="K358" s="39">
        <f t="shared" si="107"/>
        <v>4.3251065000000013</v>
      </c>
      <c r="L358" s="39">
        <f t="shared" si="107"/>
        <v>3.8925958500000011</v>
      </c>
      <c r="M358" s="39">
        <f t="shared" si="107"/>
        <v>3.5033362650000015</v>
      </c>
      <c r="N358" s="39">
        <f t="shared" si="107"/>
        <v>0</v>
      </c>
      <c r="O358" s="39">
        <f t="shared" si="107"/>
        <v>4.3251065000000004</v>
      </c>
      <c r="P358" s="3"/>
      <c r="Q358" s="3"/>
      <c r="R358" s="3"/>
      <c r="S358" s="3"/>
      <c r="T358" s="3"/>
      <c r="U358" s="3"/>
      <c r="V358" s="3"/>
      <c r="W358" s="3"/>
      <c r="X358" s="3"/>
      <c r="Y358" s="3"/>
      <c r="Z358" s="3"/>
    </row>
    <row r="359" spans="1:26" ht="12.75" x14ac:dyDescent="0.2">
      <c r="A359" s="3"/>
      <c r="B359" s="43"/>
      <c r="C359" s="68" t="s">
        <v>289</v>
      </c>
      <c r="D359" s="36"/>
      <c r="E359" s="36"/>
      <c r="F359" s="870">
        <f>SUM(F357:F358)</f>
        <v>0</v>
      </c>
      <c r="G359" s="40">
        <f t="shared" ref="G359:O359" si="108">SUM(G357:G358)</f>
        <v>37.697483000000005</v>
      </c>
      <c r="H359" s="40">
        <f t="shared" si="108"/>
        <v>33.765254700000007</v>
      </c>
      <c r="I359" s="40">
        <f t="shared" si="108"/>
        <v>30.226249230000008</v>
      </c>
      <c r="J359" s="40">
        <f t="shared" si="108"/>
        <v>0</v>
      </c>
      <c r="K359" s="40">
        <f t="shared" si="108"/>
        <v>37.697483000000013</v>
      </c>
      <c r="L359" s="40">
        <f t="shared" si="108"/>
        <v>33.765254700000007</v>
      </c>
      <c r="M359" s="40">
        <f t="shared" si="108"/>
        <v>30.226249230000011</v>
      </c>
      <c r="N359" s="40">
        <f t="shared" si="108"/>
        <v>0</v>
      </c>
      <c r="O359" s="40">
        <f t="shared" si="108"/>
        <v>37.697483000000005</v>
      </c>
      <c r="P359" s="3"/>
      <c r="Q359" s="3"/>
      <c r="R359" s="3"/>
      <c r="S359" s="3"/>
      <c r="T359" s="3"/>
      <c r="U359" s="3"/>
      <c r="V359" s="3"/>
      <c r="W359" s="3"/>
      <c r="X359" s="3"/>
      <c r="Y359" s="3"/>
      <c r="Z359" s="3"/>
    </row>
    <row r="360" spans="1:26" ht="12.75" x14ac:dyDescent="0.2">
      <c r="A360" s="3"/>
      <c r="B360" s="43"/>
      <c r="C360" s="43"/>
      <c r="D360" s="43"/>
      <c r="E360" s="43"/>
      <c r="F360" s="101"/>
      <c r="G360" s="43"/>
      <c r="H360" s="43"/>
      <c r="I360" s="43"/>
      <c r="J360" s="43"/>
      <c r="K360" s="43"/>
      <c r="L360" s="43"/>
      <c r="M360" s="43"/>
      <c r="N360" s="43"/>
      <c r="O360" s="43"/>
      <c r="P360" s="3"/>
      <c r="Q360" s="3"/>
      <c r="R360" s="3"/>
      <c r="S360" s="3"/>
      <c r="T360" s="3"/>
      <c r="U360" s="3"/>
      <c r="V360" s="3"/>
      <c r="W360" s="3"/>
      <c r="X360" s="3"/>
      <c r="Y360" s="3"/>
      <c r="Z360" s="3"/>
    </row>
    <row r="361" spans="1:26" ht="12.75" x14ac:dyDescent="0.2">
      <c r="A361" s="3"/>
      <c r="B361" s="43"/>
      <c r="C361" s="70" t="s">
        <v>236</v>
      </c>
      <c r="D361" s="70"/>
      <c r="E361" s="70"/>
      <c r="F361" s="71">
        <f t="shared" ref="F361:O361" si="109">F331+F341+F346+F354+F359</f>
        <v>103.17090920007807</v>
      </c>
      <c r="G361" s="71">
        <f t="shared" si="109"/>
        <v>150.71559220007805</v>
      </c>
      <c r="H361" s="71">
        <f t="shared" si="109"/>
        <v>146.78336390007809</v>
      </c>
      <c r="I361" s="71">
        <f t="shared" si="109"/>
        <v>127.39775843007807</v>
      </c>
      <c r="J361" s="71">
        <f t="shared" si="109"/>
        <v>87.695909200078063</v>
      </c>
      <c r="K361" s="71">
        <f t="shared" si="109"/>
        <v>135.24059220007808</v>
      </c>
      <c r="L361" s="71">
        <f t="shared" si="109"/>
        <v>131.30836390007806</v>
      </c>
      <c r="M361" s="71">
        <f t="shared" si="109"/>
        <v>111.92275843007808</v>
      </c>
      <c r="N361" s="71">
        <f t="shared" si="109"/>
        <v>87.695909200078063</v>
      </c>
      <c r="O361" s="71">
        <f t="shared" si="109"/>
        <v>135.24059220007808</v>
      </c>
      <c r="P361" s="3"/>
      <c r="Q361" s="3"/>
      <c r="R361" s="3"/>
      <c r="S361" s="3"/>
      <c r="T361" s="3"/>
      <c r="U361" s="3"/>
      <c r="V361" s="3"/>
      <c r="W361" s="3"/>
      <c r="X361" s="3"/>
      <c r="Y361" s="3"/>
      <c r="Z361" s="3"/>
    </row>
    <row r="362" spans="1:26" ht="12.75" x14ac:dyDescent="0.2">
      <c r="A362" s="3"/>
      <c r="B362" s="43"/>
      <c r="C362" s="43"/>
      <c r="D362" s="43"/>
      <c r="E362" s="43"/>
      <c r="F362" s="43"/>
      <c r="G362" s="43"/>
      <c r="H362" s="43"/>
      <c r="I362" s="43"/>
      <c r="J362" s="43"/>
      <c r="K362" s="43"/>
      <c r="L362" s="43"/>
      <c r="M362" s="43"/>
      <c r="N362" s="43"/>
      <c r="O362" s="43"/>
      <c r="P362" s="3"/>
      <c r="Q362" s="3"/>
      <c r="R362" s="3"/>
      <c r="S362" s="3"/>
      <c r="T362" s="3"/>
      <c r="U362" s="3"/>
      <c r="V362" s="3"/>
      <c r="W362" s="3"/>
      <c r="X362" s="3"/>
      <c r="Y362" s="3"/>
      <c r="Z362" s="3"/>
    </row>
    <row r="363" spans="1:26" ht="12.75" x14ac:dyDescent="0.2">
      <c r="A363" s="3"/>
      <c r="C363" s="72" t="s">
        <v>348</v>
      </c>
      <c r="D363" s="70"/>
      <c r="E363" s="70"/>
      <c r="F363" s="73">
        <f>F326-F361</f>
        <v>-15.540561025066651</v>
      </c>
      <c r="G363" s="73">
        <f t="shared" ref="G363:O363" si="110">G326-G361</f>
        <v>58.209717799922032</v>
      </c>
      <c r="H363" s="73">
        <f t="shared" si="110"/>
        <v>41.249415099921947</v>
      </c>
      <c r="I363" s="73">
        <f t="shared" si="110"/>
        <v>41.831742669921979</v>
      </c>
      <c r="J363" s="73">
        <f t="shared" si="110"/>
        <v>-6.5561025066642742E-2</v>
      </c>
      <c r="K363" s="73">
        <f t="shared" si="110"/>
        <v>73.684717799921998</v>
      </c>
      <c r="L363" s="73">
        <f t="shared" si="110"/>
        <v>56.72441509992197</v>
      </c>
      <c r="M363" s="73">
        <f t="shared" si="110"/>
        <v>57.306742669921974</v>
      </c>
      <c r="N363" s="73">
        <f t="shared" si="110"/>
        <v>-6.5561025066642742E-2</v>
      </c>
      <c r="O363" s="73">
        <f t="shared" si="110"/>
        <v>73.684717799921998</v>
      </c>
      <c r="P363" s="3"/>
      <c r="Q363" s="3"/>
      <c r="R363" s="3"/>
      <c r="S363" s="3"/>
      <c r="T363" s="3"/>
      <c r="U363" s="3"/>
      <c r="V363" s="3"/>
      <c r="W363" s="3"/>
      <c r="X363" s="3"/>
      <c r="Y363" s="3"/>
      <c r="Z363" s="3"/>
    </row>
    <row r="364" spans="1:26" ht="12.75"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x14ac:dyDescent="0.2">
      <c r="A365" s="29" t="s">
        <v>680</v>
      </c>
      <c r="B365" s="2"/>
      <c r="C365" s="2"/>
      <c r="D365" s="6" t="s">
        <v>174</v>
      </c>
      <c r="E365" s="21"/>
      <c r="F365" s="51">
        <v>0</v>
      </c>
      <c r="G365" s="51">
        <v>1</v>
      </c>
      <c r="H365" s="51">
        <v>2</v>
      </c>
      <c r="I365" s="51">
        <v>3</v>
      </c>
      <c r="J365" s="51">
        <v>4</v>
      </c>
      <c r="K365" s="51">
        <v>5</v>
      </c>
      <c r="L365" s="51">
        <v>6</v>
      </c>
      <c r="M365" s="51">
        <v>7</v>
      </c>
      <c r="N365" s="51">
        <v>8</v>
      </c>
      <c r="O365" s="51">
        <v>9</v>
      </c>
      <c r="P365" s="2"/>
      <c r="Q365" s="2"/>
      <c r="R365" s="2"/>
      <c r="S365" s="2"/>
      <c r="T365" s="2"/>
      <c r="U365" s="2"/>
      <c r="V365" s="2"/>
      <c r="W365" s="2"/>
      <c r="X365" s="2"/>
      <c r="Y365" s="2"/>
      <c r="Z365" s="2"/>
    </row>
    <row r="366" spans="1:26" ht="12.75" x14ac:dyDescent="0.2">
      <c r="A366" s="3"/>
      <c r="B366" s="65" t="s">
        <v>349</v>
      </c>
      <c r="C366" s="43"/>
      <c r="D366" s="43"/>
      <c r="E366" s="43"/>
      <c r="F366" s="43"/>
      <c r="G366" s="43"/>
      <c r="H366" s="43"/>
      <c r="I366" s="43"/>
      <c r="J366" s="43"/>
      <c r="K366" s="43"/>
      <c r="L366" s="43"/>
      <c r="M366" s="43"/>
      <c r="N366" s="43"/>
      <c r="O366" s="43"/>
      <c r="P366" s="3"/>
      <c r="Q366" s="3"/>
      <c r="R366" s="3"/>
      <c r="S366" s="3"/>
      <c r="T366" s="3"/>
      <c r="U366" s="3"/>
      <c r="V366" s="3"/>
      <c r="W366" s="3"/>
      <c r="X366" s="3"/>
      <c r="Y366" s="3"/>
      <c r="Z366" s="3"/>
    </row>
    <row r="367" spans="1:26" ht="12.75" x14ac:dyDescent="0.2">
      <c r="A367" s="3"/>
      <c r="B367" s="43"/>
      <c r="C367" s="46" t="s">
        <v>241</v>
      </c>
      <c r="D367" s="43"/>
      <c r="E367" s="43"/>
      <c r="F367" s="81">
        <f>F326-F$276</f>
        <v>-9.2901898249886017</v>
      </c>
      <c r="G367" s="81">
        <f>G326-G$276</f>
        <v>111.03556662000007</v>
      </c>
      <c r="H367" s="81">
        <f>H326-H$276</f>
        <v>89.16413818620002</v>
      </c>
      <c r="I367" s="81">
        <f>I326-I$276</f>
        <v>69.372173878062043</v>
      </c>
      <c r="J367" s="81">
        <f>J326-J$276</f>
        <v>-13.225552319145947</v>
      </c>
      <c r="K367" s="81">
        <f>K326-K$276</f>
        <v>107.06085050090113</v>
      </c>
      <c r="L367" s="81">
        <f>L326-L$276</f>
        <v>85.149674905910089</v>
      </c>
      <c r="M367" s="81">
        <f>M326-M$276</f>
        <v>65.317565964969219</v>
      </c>
      <c r="N367" s="81">
        <f>N326-N$276</f>
        <v>-17.320706311369747</v>
      </c>
      <c r="O367" s="81">
        <f>O326-O$276</f>
        <v>102.92474496875511</v>
      </c>
      <c r="P367" s="3"/>
      <c r="Q367" s="3"/>
      <c r="R367" s="3"/>
      <c r="S367" s="3"/>
      <c r="T367" s="3"/>
      <c r="U367" s="3"/>
      <c r="V367" s="3"/>
      <c r="W367" s="3"/>
      <c r="X367" s="3"/>
      <c r="Y367" s="3"/>
      <c r="Z367" s="3"/>
    </row>
    <row r="368" spans="1:26" ht="12.75" x14ac:dyDescent="0.2">
      <c r="A368" s="3"/>
      <c r="B368" s="43"/>
      <c r="C368" s="46" t="s">
        <v>242</v>
      </c>
      <c r="D368" s="43"/>
      <c r="E368" s="43"/>
      <c r="F368" s="81">
        <f>F361-F$311</f>
        <v>25.611708800078063</v>
      </c>
      <c r="G368" s="81">
        <f>G361-G$311</f>
        <v>72.973975566078039</v>
      </c>
      <c r="H368" s="81">
        <f>H361-H$311</f>
        <v>68.857506869738074</v>
      </c>
      <c r="I368" s="81">
        <f>I361-I$311</f>
        <v>49.285818599434663</v>
      </c>
      <c r="J368" s="81">
        <f>J361-J$311</f>
        <v>9.3960257411282271</v>
      </c>
      <c r="K368" s="81">
        <f>K361-K$311</f>
        <v>56.750885676538743</v>
      </c>
      <c r="L368" s="81">
        <f>L361-L$311</f>
        <v>52.626936081303327</v>
      </c>
      <c r="M368" s="81">
        <f>M361-M$311</f>
        <v>33.047692103115594</v>
      </c>
      <c r="N368" s="81">
        <f>N361-N$311</f>
        <v>8.6252679798459582</v>
      </c>
      <c r="O368" s="81">
        <f>O361-O$311</f>
        <v>55.972420337643655</v>
      </c>
      <c r="P368" s="3"/>
      <c r="Q368" s="3"/>
      <c r="R368" s="3"/>
      <c r="S368" s="3"/>
      <c r="T368" s="3"/>
      <c r="U368" s="3"/>
      <c r="V368" s="3"/>
      <c r="W368" s="3"/>
      <c r="X368" s="3"/>
      <c r="Y368" s="3"/>
      <c r="Z368" s="3"/>
    </row>
    <row r="369" spans="1:26" ht="12.75" x14ac:dyDescent="0.2">
      <c r="A369" s="3"/>
      <c r="B369" s="43"/>
      <c r="C369" s="46" t="s">
        <v>243</v>
      </c>
      <c r="D369" s="43"/>
      <c r="E369" s="43"/>
      <c r="F369" s="81">
        <f>F367-F368</f>
        <v>-34.901898625066664</v>
      </c>
      <c r="G369" s="81">
        <f t="shared" ref="G369:O369" si="111">G367-G368</f>
        <v>38.061591053922029</v>
      </c>
      <c r="H369" s="81">
        <f t="shared" si="111"/>
        <v>20.306631316461946</v>
      </c>
      <c r="I369" s="81">
        <f t="shared" si="111"/>
        <v>20.08635527862738</v>
      </c>
      <c r="J369" s="81">
        <f t="shared" si="111"/>
        <v>-22.621578060274175</v>
      </c>
      <c r="K369" s="81">
        <f t="shared" si="111"/>
        <v>50.309964824362382</v>
      </c>
      <c r="L369" s="81">
        <f t="shared" si="111"/>
        <v>32.522738824606762</v>
      </c>
      <c r="M369" s="81">
        <f t="shared" si="111"/>
        <v>32.269873861853625</v>
      </c>
      <c r="N369" s="81">
        <f t="shared" si="111"/>
        <v>-25.945974291215705</v>
      </c>
      <c r="O369" s="81">
        <f t="shared" si="111"/>
        <v>46.952324631111452</v>
      </c>
      <c r="P369" s="3"/>
      <c r="Q369" s="3"/>
      <c r="R369" s="3"/>
      <c r="S369" s="3"/>
      <c r="T369" s="3"/>
      <c r="U369" s="3"/>
      <c r="V369" s="3"/>
      <c r="W369" s="3"/>
      <c r="X369" s="3"/>
      <c r="Y369" s="3"/>
      <c r="Z369" s="3"/>
    </row>
    <row r="370" spans="1:26" ht="13.5" thickBot="1" x14ac:dyDescent="0.25">
      <c r="A370" s="3"/>
      <c r="B370" s="43"/>
      <c r="C370" s="43"/>
      <c r="D370" s="43"/>
      <c r="E370" s="43"/>
      <c r="F370" s="43"/>
      <c r="G370" s="3"/>
      <c r="H370" s="3"/>
      <c r="I370" s="3"/>
      <c r="J370" s="3"/>
      <c r="K370" s="3"/>
      <c r="L370" s="3"/>
      <c r="M370" s="3"/>
      <c r="N370" s="3"/>
      <c r="O370" s="3"/>
      <c r="P370" s="3"/>
      <c r="Q370" s="3"/>
      <c r="R370" s="3"/>
      <c r="S370" s="3"/>
      <c r="T370" s="3"/>
      <c r="U370" s="3"/>
      <c r="V370" s="3"/>
      <c r="W370" s="3"/>
      <c r="X370" s="3"/>
      <c r="Y370" s="3"/>
      <c r="Z370" s="3"/>
    </row>
    <row r="371" spans="1:26" ht="13.5" thickTop="1" x14ac:dyDescent="0.2">
      <c r="A371" s="3"/>
      <c r="B371" s="43"/>
      <c r="C371" s="86" t="s">
        <v>249</v>
      </c>
      <c r="D371" s="86"/>
      <c r="E371" s="86"/>
      <c r="F371" s="92">
        <f>NPV($F$19,G369:O369)+F369</f>
        <v>63.971302803089259</v>
      </c>
      <c r="G371" s="3"/>
      <c r="H371" s="3"/>
      <c r="I371" s="3"/>
      <c r="J371" s="3"/>
      <c r="K371" s="3"/>
      <c r="L371" s="3"/>
      <c r="M371" s="3"/>
      <c r="N371" s="3"/>
      <c r="O371" s="3"/>
      <c r="P371" s="3"/>
      <c r="Q371" s="3"/>
      <c r="R371" s="3"/>
      <c r="S371" s="3"/>
      <c r="T371" s="3"/>
      <c r="U371" s="3"/>
      <c r="V371" s="3"/>
      <c r="W371" s="3"/>
      <c r="X371" s="3"/>
      <c r="Y371" s="3"/>
      <c r="Z371" s="3"/>
    </row>
    <row r="372" spans="1:26" ht="13.5" thickBot="1" x14ac:dyDescent="0.25">
      <c r="A372" s="3"/>
      <c r="B372" s="43"/>
      <c r="C372" s="87" t="s">
        <v>390</v>
      </c>
      <c r="D372" s="87"/>
      <c r="E372" s="87"/>
      <c r="F372" s="240">
        <f>F371/$F$10*1000</f>
        <v>406.06387459114677</v>
      </c>
      <c r="G372" s="3"/>
      <c r="H372" s="3"/>
      <c r="I372" s="3"/>
      <c r="J372" s="3"/>
      <c r="K372" s="3"/>
      <c r="L372" s="3"/>
      <c r="M372" s="3"/>
      <c r="N372" s="3"/>
      <c r="O372" s="3"/>
      <c r="P372" s="3"/>
      <c r="Q372" s="3"/>
      <c r="R372" s="3"/>
      <c r="S372" s="3"/>
      <c r="T372" s="3"/>
      <c r="U372" s="3"/>
      <c r="V372" s="3"/>
      <c r="W372" s="3"/>
      <c r="X372" s="3"/>
      <c r="Y372" s="3"/>
      <c r="Z372" s="3"/>
    </row>
    <row r="373" spans="1:26" ht="13.5" thickTop="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x14ac:dyDescent="0.2">
      <c r="A374" s="29" t="s">
        <v>705</v>
      </c>
      <c r="B374" s="2"/>
      <c r="C374" s="2"/>
      <c r="D374" s="6" t="s">
        <v>174</v>
      </c>
      <c r="E374" s="21"/>
      <c r="F374" s="51">
        <v>0</v>
      </c>
      <c r="G374" s="51">
        <v>1</v>
      </c>
      <c r="H374" s="51">
        <v>2</v>
      </c>
      <c r="I374" s="51">
        <v>3</v>
      </c>
      <c r="J374" s="51">
        <v>4</v>
      </c>
      <c r="K374" s="51">
        <v>5</v>
      </c>
      <c r="L374" s="51">
        <v>6</v>
      </c>
      <c r="M374" s="51">
        <v>7</v>
      </c>
      <c r="N374" s="51">
        <v>8</v>
      </c>
      <c r="O374" s="51">
        <v>9</v>
      </c>
      <c r="P374" s="2"/>
      <c r="Q374" s="2"/>
      <c r="R374" s="2"/>
      <c r="S374" s="2"/>
      <c r="T374" s="2"/>
      <c r="U374" s="2"/>
      <c r="V374" s="2"/>
      <c r="W374" s="2"/>
      <c r="X374" s="2"/>
      <c r="Y374" s="2"/>
      <c r="Z374" s="2"/>
    </row>
    <row r="375" spans="1:26" ht="12.75" x14ac:dyDescent="0.2">
      <c r="A375" s="3"/>
      <c r="B375" s="32" t="s">
        <v>678</v>
      </c>
      <c r="C375" s="33"/>
      <c r="D375" s="33"/>
      <c r="E375" s="33"/>
      <c r="F375" s="33"/>
      <c r="G375" s="33"/>
      <c r="H375" s="33"/>
      <c r="I375" s="33"/>
      <c r="J375" s="33"/>
      <c r="K375" s="33"/>
      <c r="L375" s="33"/>
      <c r="M375" s="33"/>
      <c r="N375" s="33"/>
      <c r="O375" s="33"/>
      <c r="P375" s="3"/>
      <c r="Q375" s="3"/>
      <c r="R375" s="3"/>
      <c r="S375" s="3"/>
      <c r="T375" s="3"/>
      <c r="U375" s="3"/>
      <c r="V375" s="3"/>
      <c r="W375" s="3"/>
      <c r="X375" s="3"/>
      <c r="Y375" s="3"/>
      <c r="Z375" s="3"/>
    </row>
    <row r="376" spans="1:26" ht="12.75" x14ac:dyDescent="0.2">
      <c r="A376" s="3"/>
      <c r="C376" s="64" t="s">
        <v>671</v>
      </c>
      <c r="D376" s="33"/>
      <c r="E376" s="33"/>
      <c r="F376" s="33"/>
      <c r="G376" s="33"/>
      <c r="H376" s="33"/>
      <c r="I376" s="33"/>
      <c r="J376" s="33"/>
      <c r="K376" s="33"/>
      <c r="L376" s="33"/>
      <c r="M376" s="33"/>
      <c r="N376" s="33"/>
      <c r="O376" s="33"/>
      <c r="P376" s="3"/>
      <c r="Q376" s="3"/>
      <c r="R376" s="3"/>
      <c r="S376" s="3"/>
      <c r="T376" s="3"/>
      <c r="U376" s="3"/>
      <c r="V376" s="3"/>
      <c r="W376" s="3"/>
      <c r="X376" s="3"/>
      <c r="Y376" s="3"/>
      <c r="Z376" s="3"/>
    </row>
    <row r="377" spans="1:26" ht="12.75" x14ac:dyDescent="0.2">
      <c r="A377" s="3"/>
      <c r="B377" s="64"/>
      <c r="C377" s="34" t="s">
        <v>305</v>
      </c>
      <c r="D377" s="33"/>
      <c r="E377" s="279" t="s">
        <v>666</v>
      </c>
      <c r="F377" s="33"/>
      <c r="G377" s="33"/>
      <c r="H377" s="33"/>
      <c r="I377" s="33"/>
      <c r="J377" s="33"/>
      <c r="K377" s="33"/>
      <c r="L377" s="33"/>
      <c r="M377" s="33"/>
      <c r="N377" s="33"/>
      <c r="O377" s="33"/>
      <c r="P377" s="3"/>
      <c r="Q377" s="3"/>
      <c r="R377" s="3"/>
      <c r="S377" s="3"/>
      <c r="T377" s="3"/>
      <c r="U377" s="3"/>
      <c r="V377" s="3"/>
      <c r="W377" s="3"/>
      <c r="X377" s="3"/>
      <c r="Y377" s="3"/>
      <c r="Z377" s="3"/>
    </row>
    <row r="378" spans="1:26" ht="12.75" x14ac:dyDescent="0.2">
      <c r="A378" s="3"/>
      <c r="B378" s="33"/>
      <c r="C378" s="9" t="s">
        <v>302</v>
      </c>
      <c r="D378" s="33"/>
      <c r="E378" s="302">
        <v>1</v>
      </c>
      <c r="F378" s="39">
        <f>F267*$E378</f>
        <v>135.65923800000002</v>
      </c>
      <c r="G378" s="39">
        <f>G267*$E378</f>
        <v>137.01583038000001</v>
      </c>
      <c r="H378" s="39">
        <f>H267*$E378</f>
        <v>138.38598868380001</v>
      </c>
      <c r="I378" s="39">
        <f>I267*$E378</f>
        <v>139.769848570638</v>
      </c>
      <c r="J378" s="39">
        <f>J267*$E378</f>
        <v>141.16754705634438</v>
      </c>
      <c r="K378" s="39">
        <f>K267*$E378</f>
        <v>142.57922252690781</v>
      </c>
      <c r="L378" s="39">
        <f>L267*$E378</f>
        <v>144.00501475217689</v>
      </c>
      <c r="M378" s="39">
        <f>M267*$E378</f>
        <v>145.44506489969865</v>
      </c>
      <c r="N378" s="39">
        <f>N267*$E378</f>
        <v>146.89951554869566</v>
      </c>
      <c r="O378" s="39">
        <f>O267*$E378</f>
        <v>148.36851070418263</v>
      </c>
      <c r="P378" s="3"/>
      <c r="Q378" s="3"/>
      <c r="R378" s="3"/>
      <c r="S378" s="3"/>
      <c r="T378" s="3"/>
      <c r="U378" s="3"/>
      <c r="V378" s="3"/>
      <c r="W378" s="3"/>
      <c r="X378" s="3"/>
      <c r="Y378" s="3"/>
      <c r="Z378" s="3"/>
    </row>
    <row r="379" spans="1:26" ht="12.75" x14ac:dyDescent="0.2">
      <c r="A379" s="3"/>
      <c r="B379" s="33"/>
      <c r="C379" s="27" t="s">
        <v>231</v>
      </c>
      <c r="D379" s="33"/>
      <c r="E379" s="302">
        <v>1</v>
      </c>
      <c r="F379" s="39">
        <f>F268*$E379</f>
        <v>38.738699999999994</v>
      </c>
      <c r="G379" s="39">
        <f>G268*$E379</f>
        <v>39.126086999999998</v>
      </c>
      <c r="H379" s="39">
        <f>H268*$E379</f>
        <v>39.517347869999995</v>
      </c>
      <c r="I379" s="39">
        <f>I268*$E379</f>
        <v>39.912521348699997</v>
      </c>
      <c r="J379" s="39">
        <f>J268*$E379</f>
        <v>40.311646562187001</v>
      </c>
      <c r="K379" s="39">
        <f>K268*$E379</f>
        <v>40.714763027808857</v>
      </c>
      <c r="L379" s="39">
        <f>L268*$E379</f>
        <v>41.121910658086946</v>
      </c>
      <c r="M379" s="39">
        <f>M268*$E379</f>
        <v>41.533129764667819</v>
      </c>
      <c r="N379" s="39">
        <f>N268*$E379</f>
        <v>41.9484610623145</v>
      </c>
      <c r="O379" s="39">
        <f>O268*$E379</f>
        <v>42.367945672937644</v>
      </c>
      <c r="P379" s="3"/>
      <c r="Q379" s="3"/>
      <c r="R379" s="3"/>
      <c r="S379" s="3"/>
      <c r="T379" s="3"/>
      <c r="U379" s="3"/>
      <c r="V379" s="3"/>
      <c r="W379" s="3"/>
      <c r="X379" s="3"/>
      <c r="Y379" s="3"/>
      <c r="Z379" s="3"/>
    </row>
    <row r="380" spans="1:26" ht="12.75" x14ac:dyDescent="0.2">
      <c r="A380" s="3"/>
      <c r="B380" s="33"/>
      <c r="C380" s="36" t="s">
        <v>306</v>
      </c>
      <c r="D380" s="36"/>
      <c r="E380" s="36"/>
      <c r="F380" s="59">
        <f>F378-F379</f>
        <v>96.920538000000022</v>
      </c>
      <c r="G380" s="59">
        <f t="shared" ref="G380:O380" si="112">G378-G379</f>
        <v>97.889743380000013</v>
      </c>
      <c r="H380" s="59">
        <f t="shared" si="112"/>
        <v>98.868640813800013</v>
      </c>
      <c r="I380" s="59">
        <f t="shared" si="112"/>
        <v>99.857327221938007</v>
      </c>
      <c r="J380" s="59">
        <f t="shared" si="112"/>
        <v>100.85590049415737</v>
      </c>
      <c r="K380" s="59">
        <f t="shared" si="112"/>
        <v>101.86445949909896</v>
      </c>
      <c r="L380" s="59">
        <f t="shared" si="112"/>
        <v>102.88310409408994</v>
      </c>
      <c r="M380" s="59">
        <f t="shared" si="112"/>
        <v>103.91193513503083</v>
      </c>
      <c r="N380" s="59">
        <f t="shared" si="112"/>
        <v>104.95105448638117</v>
      </c>
      <c r="O380" s="59">
        <f t="shared" si="112"/>
        <v>106.00056503124497</v>
      </c>
      <c r="P380" s="3"/>
      <c r="Q380" s="3"/>
      <c r="R380" s="3"/>
      <c r="S380" s="3"/>
      <c r="T380" s="3"/>
      <c r="U380" s="3"/>
      <c r="V380" s="3"/>
      <c r="W380" s="3"/>
      <c r="X380" s="3"/>
      <c r="Y380" s="3"/>
      <c r="Z380" s="3"/>
    </row>
    <row r="381" spans="1:26" ht="12.75" x14ac:dyDescent="0.2">
      <c r="A381" s="3"/>
      <c r="B381" s="33"/>
      <c r="C381" s="62"/>
      <c r="D381" s="62"/>
      <c r="E381" s="62"/>
      <c r="F381" s="253"/>
      <c r="G381" s="253"/>
      <c r="H381" s="253"/>
      <c r="I381" s="253"/>
      <c r="J381" s="253"/>
      <c r="K381" s="253"/>
      <c r="L381" s="253"/>
      <c r="M381" s="253"/>
      <c r="N381" s="253"/>
      <c r="O381" s="253"/>
      <c r="P381" s="3"/>
      <c r="Q381" s="3"/>
      <c r="R381" s="3"/>
      <c r="S381" s="3"/>
      <c r="T381" s="3"/>
      <c r="U381" s="3"/>
      <c r="V381" s="3"/>
      <c r="W381" s="3"/>
      <c r="X381" s="3"/>
      <c r="Y381" s="3"/>
      <c r="Z381" s="3"/>
    </row>
    <row r="382" spans="1:26" ht="12.75" x14ac:dyDescent="0.2">
      <c r="A382" s="3"/>
      <c r="B382" s="33"/>
      <c r="C382" s="34" t="s">
        <v>266</v>
      </c>
      <c r="D382" s="33"/>
      <c r="E382" s="33"/>
      <c r="F382" s="37"/>
      <c r="G382" s="37"/>
      <c r="H382" s="37"/>
      <c r="I382" s="37"/>
      <c r="J382" s="37"/>
      <c r="K382" s="37"/>
      <c r="L382" s="37"/>
      <c r="M382" s="37"/>
      <c r="N382" s="37"/>
      <c r="O382" s="37"/>
      <c r="P382" s="3"/>
      <c r="Q382" s="3"/>
      <c r="R382" s="3"/>
      <c r="S382" s="3"/>
      <c r="T382" s="3"/>
      <c r="U382" s="3"/>
      <c r="V382" s="3"/>
      <c r="W382" s="3"/>
      <c r="X382" s="3"/>
      <c r="Y382" s="3"/>
      <c r="Z382" s="3"/>
    </row>
    <row r="383" spans="1:26" ht="12.75" x14ac:dyDescent="0.2">
      <c r="A383" s="3"/>
      <c r="B383" s="33"/>
      <c r="C383" s="35" t="s">
        <v>267</v>
      </c>
      <c r="D383" s="33"/>
      <c r="E383" s="302">
        <v>0</v>
      </c>
      <c r="F383" s="39">
        <f>F272*$E383</f>
        <v>0</v>
      </c>
      <c r="G383" s="39">
        <f>G272*$E383</f>
        <v>0</v>
      </c>
      <c r="H383" s="39">
        <f>H272*$E383</f>
        <v>0</v>
      </c>
      <c r="I383" s="39">
        <f>I272*$E383</f>
        <v>0</v>
      </c>
      <c r="J383" s="39">
        <f>J272*$E383</f>
        <v>0</v>
      </c>
      <c r="K383" s="39">
        <f>K272*$E383</f>
        <v>0</v>
      </c>
      <c r="L383" s="39">
        <f>L272*$E383</f>
        <v>0</v>
      </c>
      <c r="M383" s="39">
        <f>M272*$E383</f>
        <v>0</v>
      </c>
      <c r="N383" s="39">
        <f>N272*$E383</f>
        <v>0</v>
      </c>
      <c r="O383" s="39">
        <f>O272*$E383</f>
        <v>0</v>
      </c>
      <c r="P383" s="3"/>
      <c r="Q383" s="3"/>
      <c r="R383" s="3"/>
      <c r="S383" s="3"/>
      <c r="T383" s="3"/>
      <c r="U383" s="3"/>
      <c r="V383" s="3"/>
      <c r="W383" s="3"/>
      <c r="X383" s="3"/>
      <c r="Y383" s="3"/>
      <c r="Z383" s="3"/>
    </row>
    <row r="384" spans="1:26" ht="12.75" x14ac:dyDescent="0.2">
      <c r="A384" s="3"/>
      <c r="B384" s="33"/>
      <c r="C384" s="35" t="s">
        <v>138</v>
      </c>
      <c r="D384" s="33"/>
      <c r="E384" s="302">
        <v>1</v>
      </c>
      <c r="F384" s="39">
        <f>F273*$E384</f>
        <v>0</v>
      </c>
      <c r="G384" s="39">
        <f>G273*$E384</f>
        <v>0</v>
      </c>
      <c r="H384" s="39">
        <f>H273*$E384</f>
        <v>0</v>
      </c>
      <c r="I384" s="39">
        <f>I273*$E384</f>
        <v>0</v>
      </c>
      <c r="J384" s="39">
        <f>J273*$E384</f>
        <v>0</v>
      </c>
      <c r="K384" s="39">
        <f>K273*$E384</f>
        <v>0</v>
      </c>
      <c r="L384" s="39">
        <f>L273*$E384</f>
        <v>0</v>
      </c>
      <c r="M384" s="39">
        <f>M273*$E384</f>
        <v>0</v>
      </c>
      <c r="N384" s="39">
        <f>N273*$E384</f>
        <v>0</v>
      </c>
      <c r="O384" s="39">
        <f>O273*$E384</f>
        <v>0</v>
      </c>
      <c r="P384" s="3"/>
      <c r="Q384" s="3"/>
      <c r="R384" s="3"/>
      <c r="S384" s="3"/>
      <c r="T384" s="3"/>
      <c r="U384" s="3"/>
      <c r="V384" s="3"/>
      <c r="W384" s="3"/>
      <c r="X384" s="3"/>
      <c r="Y384" s="3"/>
      <c r="Z384" s="3"/>
    </row>
    <row r="385" spans="1:26" ht="12.75" x14ac:dyDescent="0.2">
      <c r="A385" s="3"/>
      <c r="B385" s="33"/>
      <c r="C385" s="36" t="s">
        <v>320</v>
      </c>
      <c r="D385" s="36"/>
      <c r="E385" s="36"/>
      <c r="F385" s="59">
        <f>SUM(F383:F384)</f>
        <v>0</v>
      </c>
      <c r="G385" s="59">
        <f>SUM(G383:G384)</f>
        <v>0</v>
      </c>
      <c r="H385" s="59">
        <f t="shared" ref="H385:O385" si="113">SUM(H383:H384)</f>
        <v>0</v>
      </c>
      <c r="I385" s="59">
        <f t="shared" si="113"/>
        <v>0</v>
      </c>
      <c r="J385" s="59">
        <f t="shared" si="113"/>
        <v>0</v>
      </c>
      <c r="K385" s="59">
        <f t="shared" si="113"/>
        <v>0</v>
      </c>
      <c r="L385" s="59">
        <f t="shared" si="113"/>
        <v>0</v>
      </c>
      <c r="M385" s="59">
        <f t="shared" si="113"/>
        <v>0</v>
      </c>
      <c r="N385" s="59">
        <f t="shared" si="113"/>
        <v>0</v>
      </c>
      <c r="O385" s="59">
        <f t="shared" si="113"/>
        <v>0</v>
      </c>
      <c r="P385" s="3"/>
      <c r="Q385" s="3"/>
      <c r="R385" s="3"/>
      <c r="S385" s="3"/>
      <c r="T385" s="3"/>
      <c r="U385" s="3"/>
      <c r="V385" s="3"/>
      <c r="W385" s="3"/>
      <c r="X385" s="3"/>
      <c r="Y385" s="3"/>
      <c r="Z385" s="3"/>
    </row>
    <row r="386" spans="1:26" ht="12.75" x14ac:dyDescent="0.2">
      <c r="A386" s="3"/>
      <c r="B386" s="33"/>
      <c r="C386" s="27"/>
      <c r="D386" s="33"/>
      <c r="E386" s="33"/>
      <c r="F386" s="41"/>
      <c r="G386" s="37"/>
      <c r="H386" s="37"/>
      <c r="I386" s="37"/>
      <c r="J386" s="37"/>
      <c r="K386" s="37"/>
      <c r="L386" s="37"/>
      <c r="M386" s="37"/>
      <c r="N386" s="37"/>
      <c r="O386" s="37"/>
      <c r="P386" s="3"/>
      <c r="Q386" s="3"/>
      <c r="R386" s="3"/>
      <c r="S386" s="3"/>
      <c r="T386" s="3"/>
      <c r="U386" s="3"/>
      <c r="V386" s="3"/>
      <c r="W386" s="3"/>
      <c r="X386" s="3"/>
      <c r="Y386" s="3"/>
      <c r="Z386" s="3"/>
    </row>
    <row r="387" spans="1:26" ht="12.75" x14ac:dyDescent="0.2">
      <c r="A387" s="3"/>
      <c r="B387" s="33"/>
      <c r="C387" s="66" t="s">
        <v>675</v>
      </c>
      <c r="D387" s="66"/>
      <c r="E387" s="66"/>
      <c r="F387" s="67">
        <f>F380+F385</f>
        <v>96.920538000000022</v>
      </c>
      <c r="G387" s="67">
        <f t="shared" ref="G387:O387" si="114">G380+G385</f>
        <v>97.889743380000013</v>
      </c>
      <c r="H387" s="67">
        <f t="shared" si="114"/>
        <v>98.868640813800013</v>
      </c>
      <c r="I387" s="67">
        <f t="shared" si="114"/>
        <v>99.857327221938007</v>
      </c>
      <c r="J387" s="67">
        <f t="shared" si="114"/>
        <v>100.85590049415737</v>
      </c>
      <c r="K387" s="67">
        <f t="shared" si="114"/>
        <v>101.86445949909896</v>
      </c>
      <c r="L387" s="67">
        <f t="shared" si="114"/>
        <v>102.88310409408994</v>
      </c>
      <c r="M387" s="67">
        <f t="shared" si="114"/>
        <v>103.91193513503083</v>
      </c>
      <c r="N387" s="67">
        <f t="shared" si="114"/>
        <v>104.95105448638117</v>
      </c>
      <c r="O387" s="67">
        <f t="shared" si="114"/>
        <v>106.00056503124497</v>
      </c>
      <c r="P387" s="3"/>
      <c r="Q387" s="3"/>
      <c r="R387" s="3"/>
      <c r="S387" s="3"/>
      <c r="T387" s="3"/>
      <c r="U387" s="3"/>
      <c r="V387" s="3"/>
      <c r="W387" s="3"/>
      <c r="X387" s="3"/>
      <c r="Y387" s="3"/>
      <c r="Z387" s="3"/>
    </row>
    <row r="388" spans="1:26" ht="12.75" x14ac:dyDescent="0.2">
      <c r="A388" s="3"/>
      <c r="B388" s="33"/>
      <c r="C388" s="33"/>
      <c r="D388" s="33"/>
      <c r="E388" s="33"/>
      <c r="F388" s="33"/>
      <c r="G388" s="33"/>
      <c r="H388" s="33"/>
      <c r="I388" s="33"/>
      <c r="J388" s="33"/>
      <c r="K388" s="33"/>
      <c r="L388" s="33"/>
      <c r="M388" s="33"/>
      <c r="N388" s="33"/>
      <c r="O388" s="33"/>
      <c r="P388" s="3"/>
      <c r="Q388" s="3"/>
      <c r="R388" s="3"/>
      <c r="S388" s="3"/>
      <c r="T388" s="3"/>
      <c r="U388" s="3"/>
      <c r="V388" s="3"/>
      <c r="W388" s="3"/>
      <c r="X388" s="3"/>
      <c r="Y388" s="3"/>
      <c r="Z388" s="3"/>
    </row>
    <row r="389" spans="1:26" ht="12.75" x14ac:dyDescent="0.2">
      <c r="A389" s="3"/>
      <c r="C389" s="64" t="s">
        <v>670</v>
      </c>
      <c r="D389" s="33"/>
      <c r="E389" s="33"/>
      <c r="F389" s="33"/>
      <c r="G389" s="33"/>
      <c r="H389" s="33"/>
      <c r="I389" s="33"/>
      <c r="J389" s="33"/>
      <c r="K389" s="33"/>
      <c r="L389" s="33"/>
      <c r="M389" s="33"/>
      <c r="N389" s="33"/>
      <c r="O389" s="33"/>
      <c r="P389" s="3"/>
      <c r="Q389" s="3"/>
      <c r="R389" s="3"/>
      <c r="S389" s="3"/>
      <c r="T389" s="3"/>
      <c r="U389" s="3"/>
      <c r="V389" s="3"/>
      <c r="W389" s="3"/>
      <c r="X389" s="3"/>
      <c r="Y389" s="3"/>
      <c r="Z389" s="3"/>
    </row>
    <row r="390" spans="1:26" ht="12.75" x14ac:dyDescent="0.2">
      <c r="A390" s="3"/>
      <c r="B390" s="33"/>
      <c r="C390" s="34" t="s">
        <v>218</v>
      </c>
      <c r="D390" s="33"/>
      <c r="E390" s="33"/>
      <c r="F390" s="33"/>
      <c r="G390" s="33"/>
      <c r="H390" s="33"/>
      <c r="I390" s="33"/>
      <c r="J390" s="33"/>
      <c r="K390" s="33"/>
      <c r="L390" s="33"/>
      <c r="M390" s="33"/>
      <c r="N390" s="33"/>
      <c r="O390" s="33"/>
      <c r="P390" s="3"/>
      <c r="Q390" s="3"/>
      <c r="R390" s="3"/>
      <c r="S390" s="3"/>
      <c r="T390" s="3"/>
      <c r="U390" s="3"/>
      <c r="V390" s="3"/>
      <c r="W390" s="3"/>
      <c r="X390" s="3"/>
      <c r="Y390" s="3"/>
      <c r="Z390" s="3"/>
    </row>
    <row r="391" spans="1:26" ht="12.75" x14ac:dyDescent="0.2">
      <c r="A391" s="3"/>
      <c r="B391" s="33"/>
      <c r="C391" s="94" t="s">
        <v>272</v>
      </c>
      <c r="D391" s="33"/>
      <c r="E391" s="302">
        <v>1</v>
      </c>
      <c r="F391" s="39">
        <f>$E391*F284</f>
        <v>6.7980000000000009</v>
      </c>
      <c r="G391" s="39">
        <f>$E391*G284</f>
        <v>6.7980000000000009</v>
      </c>
      <c r="H391" s="39">
        <f>$E391*H284</f>
        <v>6.7980000000000009</v>
      </c>
      <c r="I391" s="39">
        <f>$E391*I284</f>
        <v>6.798</v>
      </c>
      <c r="J391" s="39">
        <f>$E391*J284</f>
        <v>6.798</v>
      </c>
      <c r="K391" s="39">
        <f>$E391*K284</f>
        <v>6.798</v>
      </c>
      <c r="L391" s="39">
        <f>$E391*L284</f>
        <v>6.7980000000000009</v>
      </c>
      <c r="M391" s="39">
        <f>$E391*M284</f>
        <v>6.7980000000000009</v>
      </c>
      <c r="N391" s="39">
        <f>$E391*N284</f>
        <v>6.7980000000000009</v>
      </c>
      <c r="O391" s="39">
        <f>$E391*O284</f>
        <v>6.7980000000000009</v>
      </c>
      <c r="P391" s="3"/>
      <c r="Q391" s="3"/>
      <c r="R391" s="3"/>
      <c r="S391" s="3"/>
      <c r="T391" s="3"/>
      <c r="U391" s="3"/>
      <c r="V391" s="3"/>
      <c r="W391" s="3"/>
      <c r="X391" s="3"/>
      <c r="Y391" s="3"/>
      <c r="Z391" s="3"/>
    </row>
    <row r="392" spans="1:26" ht="12.75" x14ac:dyDescent="0.2">
      <c r="A392" s="3"/>
      <c r="B392" s="33"/>
      <c r="C392" s="94" t="s">
        <v>273</v>
      </c>
      <c r="D392" s="33"/>
      <c r="E392" s="302">
        <v>1</v>
      </c>
      <c r="F392" s="39">
        <f>$E392*F285</f>
        <v>6.0324000000000009</v>
      </c>
      <c r="G392" s="39">
        <f>$E392*G285</f>
        <v>6.0324</v>
      </c>
      <c r="H392" s="39">
        <f>$E392*H285</f>
        <v>6.0324000000000009</v>
      </c>
      <c r="I392" s="39">
        <f>$E392*I285</f>
        <v>6.0324</v>
      </c>
      <c r="J392" s="39">
        <f>$E392*J285</f>
        <v>6.0324</v>
      </c>
      <c r="K392" s="39">
        <f>$E392*K285</f>
        <v>6.0324000000000009</v>
      </c>
      <c r="L392" s="39">
        <f>$E392*L285</f>
        <v>6.0324</v>
      </c>
      <c r="M392" s="39">
        <f>$E392*M285</f>
        <v>6.0324</v>
      </c>
      <c r="N392" s="39">
        <f>$E392*N285</f>
        <v>6.0324000000000009</v>
      </c>
      <c r="O392" s="39">
        <f>$E392*O285</f>
        <v>6.0324000000000009</v>
      </c>
      <c r="P392" s="3"/>
      <c r="Q392" s="3"/>
      <c r="R392" s="3"/>
      <c r="S392" s="3"/>
      <c r="T392" s="3"/>
      <c r="U392" s="3"/>
      <c r="V392" s="3"/>
      <c r="W392" s="3"/>
      <c r="X392" s="3"/>
      <c r="Y392" s="3"/>
      <c r="Z392" s="3"/>
    </row>
    <row r="393" spans="1:26" ht="12.75" x14ac:dyDescent="0.2">
      <c r="A393" s="3"/>
      <c r="B393" s="33"/>
      <c r="C393" s="27" t="s">
        <v>323</v>
      </c>
      <c r="D393" s="33"/>
      <c r="E393" s="302">
        <v>1</v>
      </c>
      <c r="F393" s="39">
        <f>$E393*F286</f>
        <v>3.9171000000000005</v>
      </c>
      <c r="G393" s="39">
        <f>$E393*G286</f>
        <v>3.9171000000000005</v>
      </c>
      <c r="H393" s="39">
        <f>$E393*H286</f>
        <v>3.9171000000000009</v>
      </c>
      <c r="I393" s="39">
        <f>$E393*I286</f>
        <v>3.9171</v>
      </c>
      <c r="J393" s="39">
        <f>$E393*J286</f>
        <v>3.9171</v>
      </c>
      <c r="K393" s="39">
        <f>$E393*K286</f>
        <v>3.9171000000000005</v>
      </c>
      <c r="L393" s="39">
        <f>$E393*L286</f>
        <v>3.9171</v>
      </c>
      <c r="M393" s="39">
        <f>$E393*M286</f>
        <v>3.9171000000000005</v>
      </c>
      <c r="N393" s="39">
        <f>$E393*N286</f>
        <v>3.9171</v>
      </c>
      <c r="O393" s="39">
        <f>$E393*O286</f>
        <v>3.9171000000000005</v>
      </c>
      <c r="P393" s="3"/>
      <c r="Q393" s="3"/>
      <c r="R393" s="3"/>
      <c r="S393" s="3"/>
      <c r="T393" s="3"/>
      <c r="U393" s="3"/>
      <c r="V393" s="3"/>
      <c r="W393" s="3"/>
      <c r="X393" s="3"/>
      <c r="Y393" s="3"/>
      <c r="Z393" s="3"/>
    </row>
    <row r="394" spans="1:26" ht="12.75" x14ac:dyDescent="0.2">
      <c r="A394" s="3"/>
      <c r="B394" s="33"/>
      <c r="C394" s="27" t="s">
        <v>331</v>
      </c>
      <c r="D394" s="33"/>
      <c r="E394" s="302">
        <v>1</v>
      </c>
      <c r="F394" s="39">
        <f>$E394*F287</f>
        <v>12.3123</v>
      </c>
      <c r="G394" s="39">
        <f>$E394*G287</f>
        <v>12.3123</v>
      </c>
      <c r="H394" s="39">
        <f>$E394*H287</f>
        <v>12.3123</v>
      </c>
      <c r="I394" s="39">
        <f>$E394*I287</f>
        <v>12.312300000000002</v>
      </c>
      <c r="J394" s="39">
        <f>$E394*J287</f>
        <v>12.312299999999999</v>
      </c>
      <c r="K394" s="39">
        <f>$E394*K287</f>
        <v>12.312300000000002</v>
      </c>
      <c r="L394" s="39">
        <f>$E394*L287</f>
        <v>12.312300000000002</v>
      </c>
      <c r="M394" s="39">
        <f>$E394*M287</f>
        <v>12.312300000000002</v>
      </c>
      <c r="N394" s="39">
        <f>$E394*N287</f>
        <v>12.3123</v>
      </c>
      <c r="O394" s="39">
        <f>$E394*O287</f>
        <v>12.3123</v>
      </c>
      <c r="P394" s="3"/>
      <c r="Q394" s="3"/>
      <c r="R394" s="3"/>
      <c r="S394" s="3"/>
      <c r="T394" s="3"/>
      <c r="U394" s="3"/>
      <c r="V394" s="3"/>
      <c r="W394" s="3"/>
      <c r="X394" s="3"/>
      <c r="Y394" s="3"/>
      <c r="Z394" s="3"/>
    </row>
    <row r="395" spans="1:26" ht="12.75" x14ac:dyDescent="0.2">
      <c r="A395" s="3"/>
      <c r="B395" s="35"/>
      <c r="C395" s="84" t="s">
        <v>293</v>
      </c>
      <c r="D395" s="35"/>
      <c r="E395" s="303">
        <v>1</v>
      </c>
      <c r="F395" s="39">
        <f>$E395*F288</f>
        <v>1.4751000000000001</v>
      </c>
      <c r="G395" s="39">
        <f>$E395*G288</f>
        <v>1.4751000000000001</v>
      </c>
      <c r="H395" s="39">
        <f>$E395*H288</f>
        <v>1.4751000000000001</v>
      </c>
      <c r="I395" s="39">
        <f>$E395*I288</f>
        <v>1.4751000000000001</v>
      </c>
      <c r="J395" s="39">
        <f>$E395*J288</f>
        <v>1.4751000000000001</v>
      </c>
      <c r="K395" s="39">
        <f>$E395*K288</f>
        <v>1.4751000000000003</v>
      </c>
      <c r="L395" s="39">
        <f>$E395*L288</f>
        <v>1.4751000000000003</v>
      </c>
      <c r="M395" s="39">
        <f>$E395*M288</f>
        <v>1.4751000000000001</v>
      </c>
      <c r="N395" s="39">
        <f>$E395*N288</f>
        <v>1.4751000000000001</v>
      </c>
      <c r="O395" s="39">
        <f>$E395*O288</f>
        <v>1.4751000000000001</v>
      </c>
      <c r="P395" s="3"/>
      <c r="Q395" s="3"/>
      <c r="R395" s="3"/>
      <c r="S395" s="3"/>
      <c r="T395" s="3"/>
      <c r="U395" s="3"/>
      <c r="V395" s="3"/>
      <c r="W395" s="3"/>
      <c r="X395" s="3"/>
      <c r="Y395" s="3"/>
      <c r="Z395" s="3"/>
    </row>
    <row r="396" spans="1:26" ht="12.75" x14ac:dyDescent="0.2">
      <c r="A396" s="3"/>
      <c r="B396" s="33"/>
      <c r="C396" s="94" t="s">
        <v>278</v>
      </c>
      <c r="D396" s="33"/>
      <c r="E396" s="302">
        <v>1</v>
      </c>
      <c r="F396" s="39">
        <f>$E396*F289</f>
        <v>17.022500000000004</v>
      </c>
      <c r="G396" s="39">
        <f>$E396*G289</f>
        <v>17.022500000000004</v>
      </c>
      <c r="H396" s="39">
        <f>$E396*H289</f>
        <v>17.022500000000004</v>
      </c>
      <c r="I396" s="39">
        <f>$E396*I289</f>
        <v>17.022500000000004</v>
      </c>
      <c r="J396" s="39">
        <f>$E396*J289</f>
        <v>17.022500000000004</v>
      </c>
      <c r="K396" s="39">
        <f>$E396*K289</f>
        <v>17.022500000000004</v>
      </c>
      <c r="L396" s="39">
        <f>$E396*L289</f>
        <v>17.022500000000004</v>
      </c>
      <c r="M396" s="39">
        <f>$E396*M289</f>
        <v>17.022500000000004</v>
      </c>
      <c r="N396" s="39">
        <f>$E396*N289</f>
        <v>17.022500000000004</v>
      </c>
      <c r="O396" s="39">
        <f>$E396*O289</f>
        <v>17.022500000000004</v>
      </c>
      <c r="P396" s="3"/>
      <c r="Q396" s="3"/>
      <c r="R396" s="3"/>
      <c r="S396" s="3"/>
      <c r="T396" s="3"/>
      <c r="U396" s="3"/>
      <c r="V396" s="3"/>
      <c r="W396" s="3"/>
      <c r="X396" s="3"/>
      <c r="Y396" s="3"/>
      <c r="Z396" s="3"/>
    </row>
    <row r="397" spans="1:26" ht="12.75" x14ac:dyDescent="0.2">
      <c r="A397" s="3"/>
      <c r="B397" s="33"/>
      <c r="C397" s="9" t="s">
        <v>85</v>
      </c>
      <c r="D397" s="33"/>
      <c r="E397" s="302">
        <v>1</v>
      </c>
      <c r="F397" s="39">
        <f>$E397*F290</f>
        <v>0</v>
      </c>
      <c r="G397" s="39">
        <f>$E397*G290</f>
        <v>0</v>
      </c>
      <c r="H397" s="39">
        <f>$E397*H290</f>
        <v>0</v>
      </c>
      <c r="I397" s="39">
        <f>$E397*I290</f>
        <v>0</v>
      </c>
      <c r="J397" s="39">
        <f>$E397*J290</f>
        <v>0</v>
      </c>
      <c r="K397" s="39">
        <f>$E397*K290</f>
        <v>0</v>
      </c>
      <c r="L397" s="39">
        <f>$E397*L290</f>
        <v>0</v>
      </c>
      <c r="M397" s="39">
        <f>$E397*M290</f>
        <v>0</v>
      </c>
      <c r="N397" s="39">
        <f>$E397*N290</f>
        <v>0</v>
      </c>
      <c r="O397" s="39">
        <f>$E397*O290</f>
        <v>0</v>
      </c>
      <c r="P397" s="3"/>
      <c r="Q397" s="3"/>
      <c r="R397" s="3"/>
      <c r="S397" s="3"/>
      <c r="T397" s="3"/>
      <c r="U397" s="3"/>
      <c r="V397" s="3"/>
      <c r="W397" s="3"/>
      <c r="X397" s="3"/>
      <c r="Y397" s="3"/>
      <c r="Z397" s="3"/>
    </row>
    <row r="398" spans="1:26" ht="12.75" x14ac:dyDescent="0.2">
      <c r="A398" s="3"/>
      <c r="B398" s="33"/>
      <c r="C398" s="36" t="s">
        <v>207</v>
      </c>
      <c r="D398" s="36"/>
      <c r="E398" s="36"/>
      <c r="F398" s="59">
        <f>SUM(F391:F397)</f>
        <v>47.557400000000008</v>
      </c>
      <c r="G398" s="59">
        <f t="shared" ref="G398:O398" si="115">SUM(G391:G397)</f>
        <v>47.557400000000008</v>
      </c>
      <c r="H398" s="59">
        <f t="shared" si="115"/>
        <v>47.557400000000008</v>
      </c>
      <c r="I398" s="59">
        <f t="shared" si="115"/>
        <v>47.557400000000008</v>
      </c>
      <c r="J398" s="59">
        <f t="shared" si="115"/>
        <v>47.557400000000008</v>
      </c>
      <c r="K398" s="59">
        <f t="shared" si="115"/>
        <v>47.557400000000008</v>
      </c>
      <c r="L398" s="59">
        <f t="shared" si="115"/>
        <v>47.557400000000008</v>
      </c>
      <c r="M398" s="59">
        <f t="shared" si="115"/>
        <v>47.557400000000008</v>
      </c>
      <c r="N398" s="59">
        <f t="shared" si="115"/>
        <v>47.557400000000008</v>
      </c>
      <c r="O398" s="59">
        <f t="shared" si="115"/>
        <v>47.557400000000008</v>
      </c>
      <c r="P398" s="3"/>
      <c r="Q398" s="3"/>
      <c r="R398" s="3"/>
      <c r="S398" s="3"/>
      <c r="T398" s="3"/>
      <c r="U398" s="3"/>
      <c r="V398" s="3"/>
      <c r="W398" s="3"/>
      <c r="X398" s="3"/>
      <c r="Y398" s="3"/>
      <c r="Z398" s="3"/>
    </row>
    <row r="399" spans="1:26" ht="12.75" x14ac:dyDescent="0.2">
      <c r="A399" s="3"/>
      <c r="B399" s="33"/>
      <c r="C399" s="33"/>
      <c r="D399" s="33"/>
      <c r="E399" s="33"/>
      <c r="F399" s="41"/>
      <c r="G399" s="33"/>
      <c r="H399" s="33"/>
      <c r="I399" s="33"/>
      <c r="J399" s="33"/>
      <c r="K399" s="33"/>
      <c r="L399" s="33"/>
      <c r="M399" s="33"/>
      <c r="N399" s="33"/>
      <c r="O399" s="33"/>
      <c r="P399" s="3"/>
      <c r="Q399" s="3"/>
      <c r="R399" s="3"/>
      <c r="S399" s="3"/>
      <c r="T399" s="3"/>
      <c r="U399" s="3"/>
      <c r="V399" s="3"/>
      <c r="W399" s="3"/>
      <c r="X399" s="3"/>
      <c r="Y399" s="3"/>
      <c r="Z399" s="3"/>
    </row>
    <row r="400" spans="1:26" ht="12.75" x14ac:dyDescent="0.2">
      <c r="A400" s="3"/>
      <c r="B400" s="33"/>
      <c r="C400" s="34" t="s">
        <v>215</v>
      </c>
      <c r="D400" s="33"/>
      <c r="E400" s="33"/>
      <c r="F400" s="41"/>
      <c r="G400" s="41"/>
      <c r="H400" s="41"/>
      <c r="I400" s="41"/>
      <c r="J400" s="41"/>
      <c r="K400" s="41"/>
      <c r="L400" s="41"/>
      <c r="M400" s="41"/>
      <c r="N400" s="41"/>
      <c r="O400" s="41"/>
      <c r="P400" s="3"/>
      <c r="Q400" s="3"/>
      <c r="R400" s="3"/>
      <c r="S400" s="3"/>
      <c r="T400" s="3"/>
      <c r="U400" s="3"/>
      <c r="V400" s="3"/>
      <c r="W400" s="3"/>
      <c r="X400" s="3"/>
      <c r="Y400" s="3"/>
      <c r="Z400" s="3"/>
    </row>
    <row r="401" spans="1:26" ht="12.75" x14ac:dyDescent="0.2">
      <c r="A401" s="3"/>
      <c r="B401" s="33"/>
      <c r="C401" s="9" t="s">
        <v>110</v>
      </c>
      <c r="D401" s="33"/>
      <c r="E401" s="302">
        <v>1</v>
      </c>
      <c r="F401" s="39">
        <f>$E401*F294</f>
        <v>5.6496000000000004</v>
      </c>
      <c r="G401" s="39">
        <f>$E401*G294</f>
        <v>5.6496000000000004</v>
      </c>
      <c r="H401" s="39">
        <f>$E401*H294</f>
        <v>5.6496000000000004</v>
      </c>
      <c r="I401" s="39">
        <f>$E401*I294</f>
        <v>5.6496000000000013</v>
      </c>
      <c r="J401" s="39">
        <f>$E401*J294</f>
        <v>5.6496000000000004</v>
      </c>
      <c r="K401" s="39">
        <f>$E401*K294</f>
        <v>5.6496000000000013</v>
      </c>
      <c r="L401" s="39">
        <f>$E401*L294</f>
        <v>5.6496000000000004</v>
      </c>
      <c r="M401" s="39">
        <f>$E401*M294</f>
        <v>5.6496000000000004</v>
      </c>
      <c r="N401" s="39">
        <f>$E401*N294</f>
        <v>5.6496000000000004</v>
      </c>
      <c r="O401" s="39">
        <f>$E401*O294</f>
        <v>5.6495999999999995</v>
      </c>
      <c r="P401" s="3"/>
      <c r="Q401" s="3"/>
      <c r="R401" s="3"/>
      <c r="S401" s="3"/>
      <c r="T401" s="3"/>
      <c r="U401" s="3"/>
      <c r="V401" s="3"/>
      <c r="W401" s="3"/>
      <c r="X401" s="3"/>
      <c r="Y401" s="3"/>
      <c r="Z401" s="3"/>
    </row>
    <row r="402" spans="1:26" ht="12.75" x14ac:dyDescent="0.2">
      <c r="A402" s="3"/>
      <c r="B402" s="33"/>
      <c r="C402" s="27" t="s">
        <v>283</v>
      </c>
      <c r="D402" s="33"/>
      <c r="E402" s="302">
        <v>1</v>
      </c>
      <c r="F402" s="39">
        <f>$E402*F295</f>
        <v>2.6292000000000004</v>
      </c>
      <c r="G402" s="39">
        <f>$E402*G295</f>
        <v>2.6292000000000004</v>
      </c>
      <c r="H402" s="39">
        <f>$E402*H295</f>
        <v>2.6292000000000004</v>
      </c>
      <c r="I402" s="39">
        <f>$E402*I295</f>
        <v>2.6292000000000004</v>
      </c>
      <c r="J402" s="39">
        <f>$E402*J295</f>
        <v>2.6292000000000004</v>
      </c>
      <c r="K402" s="39">
        <f>$E402*K295</f>
        <v>2.6292000000000004</v>
      </c>
      <c r="L402" s="39">
        <f>$E402*L295</f>
        <v>2.6292000000000004</v>
      </c>
      <c r="M402" s="39">
        <f>$E402*M295</f>
        <v>2.6292</v>
      </c>
      <c r="N402" s="39">
        <f>$E402*N295</f>
        <v>2.6292</v>
      </c>
      <c r="O402" s="39">
        <f>$E402*O295</f>
        <v>2.6292000000000004</v>
      </c>
      <c r="P402" s="3"/>
      <c r="Q402" s="3"/>
      <c r="R402" s="3"/>
      <c r="S402" s="3"/>
      <c r="T402" s="3"/>
      <c r="U402" s="3"/>
      <c r="V402" s="3"/>
      <c r="W402" s="3"/>
      <c r="X402" s="3"/>
      <c r="Y402" s="3"/>
      <c r="Z402" s="3"/>
    </row>
    <row r="403" spans="1:26" ht="12.75" x14ac:dyDescent="0.2">
      <c r="A403" s="3"/>
      <c r="B403" s="33"/>
      <c r="C403" s="31" t="s">
        <v>216</v>
      </c>
      <c r="D403" s="36"/>
      <c r="E403" s="36"/>
      <c r="F403" s="40">
        <f>SUM(F401:F402)</f>
        <v>8.2788000000000004</v>
      </c>
      <c r="G403" s="40">
        <f t="shared" ref="G403:O403" si="116">SUM(G401:G402)</f>
        <v>8.2788000000000004</v>
      </c>
      <c r="H403" s="40">
        <f t="shared" si="116"/>
        <v>8.2788000000000004</v>
      </c>
      <c r="I403" s="40">
        <f t="shared" si="116"/>
        <v>8.2788000000000022</v>
      </c>
      <c r="J403" s="40">
        <f t="shared" si="116"/>
        <v>8.2788000000000004</v>
      </c>
      <c r="K403" s="40">
        <f t="shared" si="116"/>
        <v>8.2788000000000022</v>
      </c>
      <c r="L403" s="40">
        <f t="shared" si="116"/>
        <v>8.2788000000000004</v>
      </c>
      <c r="M403" s="40">
        <f t="shared" si="116"/>
        <v>8.2788000000000004</v>
      </c>
      <c r="N403" s="40">
        <f t="shared" si="116"/>
        <v>8.2788000000000004</v>
      </c>
      <c r="O403" s="40">
        <f t="shared" si="116"/>
        <v>8.2788000000000004</v>
      </c>
      <c r="P403" s="3"/>
      <c r="Q403" s="3"/>
      <c r="R403" s="3"/>
      <c r="S403" s="3"/>
      <c r="T403" s="3"/>
      <c r="U403" s="3"/>
      <c r="V403" s="3"/>
      <c r="W403" s="3"/>
      <c r="X403" s="3"/>
      <c r="Y403" s="3"/>
      <c r="Z403" s="3"/>
    </row>
    <row r="404" spans="1:26" ht="12.75" x14ac:dyDescent="0.2">
      <c r="A404" s="3"/>
      <c r="B404" s="33"/>
      <c r="C404" s="35"/>
      <c r="D404" s="33"/>
      <c r="E404" s="33"/>
      <c r="F404" s="41"/>
      <c r="G404" s="41"/>
      <c r="H404" s="41"/>
      <c r="I404" s="41"/>
      <c r="J404" s="41"/>
      <c r="K404" s="41"/>
      <c r="L404" s="41"/>
      <c r="M404" s="41"/>
      <c r="N404" s="41"/>
      <c r="O404" s="41"/>
      <c r="P404" s="3"/>
      <c r="Q404" s="3"/>
      <c r="R404" s="3"/>
      <c r="S404" s="3"/>
      <c r="T404" s="3"/>
      <c r="U404" s="3"/>
      <c r="V404" s="3"/>
      <c r="W404" s="3"/>
      <c r="X404" s="3"/>
      <c r="Y404" s="3"/>
      <c r="Z404" s="3"/>
    </row>
    <row r="405" spans="1:26" ht="12.75" x14ac:dyDescent="0.2">
      <c r="A405" s="3"/>
      <c r="B405" s="33"/>
      <c r="C405" s="34" t="s">
        <v>219</v>
      </c>
      <c r="D405" s="33"/>
      <c r="E405" s="33"/>
      <c r="F405" s="41"/>
      <c r="G405" s="41"/>
      <c r="H405" s="41"/>
      <c r="I405" s="41"/>
      <c r="J405" s="41"/>
      <c r="K405" s="41"/>
      <c r="L405" s="41"/>
      <c r="M405" s="41"/>
      <c r="N405" s="41"/>
      <c r="O405" s="41"/>
      <c r="P405" s="3"/>
      <c r="Q405" s="3"/>
      <c r="R405" s="3"/>
      <c r="S405" s="3"/>
      <c r="T405" s="3"/>
      <c r="U405" s="3"/>
      <c r="V405" s="3"/>
      <c r="W405" s="3"/>
      <c r="X405" s="3"/>
      <c r="Y405" s="3"/>
      <c r="Z405" s="3"/>
    </row>
    <row r="406" spans="1:26" ht="12.75" x14ac:dyDescent="0.2">
      <c r="A406" s="3"/>
      <c r="B406" s="33"/>
      <c r="C406" s="111" t="s">
        <v>312</v>
      </c>
      <c r="D406" s="33"/>
      <c r="E406" s="302">
        <v>1</v>
      </c>
      <c r="F406" s="39">
        <f>$E406*F299</f>
        <v>4.5639000000000003</v>
      </c>
      <c r="G406" s="39">
        <f>$E406*G299</f>
        <v>4.5639000000000003</v>
      </c>
      <c r="H406" s="39">
        <f>$E406*H299</f>
        <v>4.5639000000000003</v>
      </c>
      <c r="I406" s="39">
        <f>$E406*I299</f>
        <v>4.5639000000000003</v>
      </c>
      <c r="J406" s="39">
        <f>$E406*J299</f>
        <v>4.5639000000000003</v>
      </c>
      <c r="K406" s="39">
        <f>$E406*K299</f>
        <v>4.5639000000000003</v>
      </c>
      <c r="L406" s="39">
        <f>$E406*L299</f>
        <v>4.5639000000000003</v>
      </c>
      <c r="M406" s="39">
        <f>$E406*M299</f>
        <v>4.5639000000000003</v>
      </c>
      <c r="N406" s="39">
        <f>$E406*N299</f>
        <v>4.5639000000000003</v>
      </c>
      <c r="O406" s="39">
        <f>$E406*O299</f>
        <v>4.5639000000000003</v>
      </c>
      <c r="P406" s="3"/>
      <c r="Q406" s="3"/>
      <c r="R406" s="3"/>
      <c r="S406" s="3"/>
      <c r="T406" s="3"/>
      <c r="U406" s="3"/>
      <c r="V406" s="3"/>
      <c r="W406" s="3"/>
      <c r="X406" s="3"/>
      <c r="Y406" s="3"/>
      <c r="Z406" s="3"/>
    </row>
    <row r="407" spans="1:26" ht="12.75" x14ac:dyDescent="0.2">
      <c r="A407" s="3"/>
      <c r="B407" s="33"/>
      <c r="C407" s="111" t="s">
        <v>313</v>
      </c>
      <c r="D407" s="33"/>
      <c r="E407" s="302">
        <v>1</v>
      </c>
      <c r="F407" s="39">
        <f>$E407*F300</f>
        <v>0</v>
      </c>
      <c r="G407" s="39">
        <f>$E407*G300</f>
        <v>0</v>
      </c>
      <c r="H407" s="39">
        <f>$E407*H300</f>
        <v>0</v>
      </c>
      <c r="I407" s="39">
        <f>$E407*I300</f>
        <v>0</v>
      </c>
      <c r="J407" s="39">
        <f>$E407*J300</f>
        <v>0</v>
      </c>
      <c r="K407" s="39">
        <f>$E407*K300</f>
        <v>0</v>
      </c>
      <c r="L407" s="39">
        <f>$E407*L300</f>
        <v>0</v>
      </c>
      <c r="M407" s="39">
        <f>$E407*M300</f>
        <v>0</v>
      </c>
      <c r="N407" s="39">
        <f>$E407*N300</f>
        <v>0</v>
      </c>
      <c r="O407" s="39">
        <f>$E407*O300</f>
        <v>0</v>
      </c>
      <c r="P407" s="3"/>
      <c r="Q407" s="3"/>
      <c r="R407" s="3"/>
      <c r="S407" s="3"/>
      <c r="T407" s="3"/>
      <c r="U407" s="3"/>
      <c r="V407" s="3"/>
      <c r="W407" s="3"/>
      <c r="X407" s="3"/>
      <c r="Y407" s="3"/>
      <c r="Z407" s="3"/>
    </row>
    <row r="408" spans="1:26" ht="12.75" x14ac:dyDescent="0.2">
      <c r="A408" s="3"/>
      <c r="B408" s="33"/>
      <c r="C408" s="9" t="s">
        <v>102</v>
      </c>
      <c r="D408" s="33"/>
      <c r="E408" s="299">
        <f>CFs!$C$218</f>
        <v>1.0969941102134646</v>
      </c>
      <c r="F408" s="39">
        <f>$E408*F301</f>
        <v>0</v>
      </c>
      <c r="G408" s="39">
        <f>$E408*G301</f>
        <v>0</v>
      </c>
      <c r="H408" s="39">
        <f>$E408*H301</f>
        <v>0</v>
      </c>
      <c r="I408" s="39">
        <f>$E408*I301</f>
        <v>0</v>
      </c>
      <c r="J408" s="39">
        <f>$E408*J301</f>
        <v>0</v>
      </c>
      <c r="K408" s="39">
        <f>$E408*K301</f>
        <v>0</v>
      </c>
      <c r="L408" s="39">
        <f>$E408*L301</f>
        <v>0</v>
      </c>
      <c r="M408" s="39">
        <f>$E408*M301</f>
        <v>0</v>
      </c>
      <c r="N408" s="39">
        <f>$E408*N301</f>
        <v>0</v>
      </c>
      <c r="O408" s="39">
        <f>$E408*O301</f>
        <v>0</v>
      </c>
      <c r="P408" s="3"/>
      <c r="Q408" s="3"/>
      <c r="R408" s="3"/>
      <c r="S408" s="3"/>
      <c r="T408" s="3"/>
      <c r="U408" s="3"/>
      <c r="V408" s="3"/>
      <c r="W408" s="3"/>
      <c r="X408" s="3"/>
      <c r="Y408" s="3"/>
      <c r="Z408" s="3"/>
    </row>
    <row r="409" spans="1:26" ht="12.75" x14ac:dyDescent="0.2">
      <c r="A409" s="3"/>
      <c r="B409" s="35"/>
      <c r="C409" s="27" t="s">
        <v>334</v>
      </c>
      <c r="D409" s="35"/>
      <c r="E409" s="303">
        <v>1</v>
      </c>
      <c r="F409" s="39">
        <f>$E409*F302</f>
        <v>0</v>
      </c>
      <c r="G409" s="39">
        <f>$E409*G302</f>
        <v>0</v>
      </c>
      <c r="H409" s="39">
        <f>$E409*H302</f>
        <v>0</v>
      </c>
      <c r="I409" s="39">
        <f>$E409*I302</f>
        <v>0</v>
      </c>
      <c r="J409" s="39">
        <f>$E409*J302</f>
        <v>0</v>
      </c>
      <c r="K409" s="39">
        <f>$E409*K302</f>
        <v>0</v>
      </c>
      <c r="L409" s="39">
        <f>$E409*L302</f>
        <v>0</v>
      </c>
      <c r="M409" s="39">
        <f>$E409*M302</f>
        <v>0</v>
      </c>
      <c r="N409" s="39">
        <f>$E409*N302</f>
        <v>0</v>
      </c>
      <c r="O409" s="39">
        <f>$E409*O302</f>
        <v>0</v>
      </c>
      <c r="P409" s="3"/>
      <c r="Q409" s="3"/>
      <c r="R409" s="3"/>
      <c r="S409" s="3"/>
      <c r="T409" s="3"/>
      <c r="U409" s="3"/>
      <c r="V409" s="3"/>
      <c r="W409" s="3"/>
      <c r="X409" s="3"/>
      <c r="Y409" s="3"/>
      <c r="Z409" s="3"/>
    </row>
    <row r="410" spans="1:26" ht="12.75" x14ac:dyDescent="0.2">
      <c r="A410" s="3"/>
      <c r="B410" s="33"/>
      <c r="C410" s="9" t="s">
        <v>105</v>
      </c>
      <c r="D410" s="33"/>
      <c r="E410" s="302">
        <v>1</v>
      </c>
      <c r="F410" s="39">
        <f>$E410*F303</f>
        <v>0</v>
      </c>
      <c r="G410" s="39">
        <f>$E410*G303</f>
        <v>0</v>
      </c>
      <c r="H410" s="39">
        <f>$E410*H303</f>
        <v>0</v>
      </c>
      <c r="I410" s="39">
        <f>$E410*I303</f>
        <v>0</v>
      </c>
      <c r="J410" s="39">
        <f>$E410*J303</f>
        <v>0</v>
      </c>
      <c r="K410" s="39">
        <f>$E410*K303</f>
        <v>0</v>
      </c>
      <c r="L410" s="39">
        <f>$E410*L303</f>
        <v>0</v>
      </c>
      <c r="M410" s="39">
        <f>$E410*M303</f>
        <v>0</v>
      </c>
      <c r="N410" s="39">
        <f>$E410*N303</f>
        <v>0</v>
      </c>
      <c r="O410" s="39">
        <f>$E410*O303</f>
        <v>0</v>
      </c>
      <c r="P410" s="3"/>
      <c r="Q410" s="3"/>
      <c r="R410" s="3"/>
      <c r="S410" s="3"/>
      <c r="T410" s="3"/>
      <c r="U410" s="3"/>
      <c r="V410" s="3"/>
      <c r="W410" s="3"/>
      <c r="X410" s="3"/>
      <c r="Y410" s="3"/>
      <c r="Z410" s="3"/>
    </row>
    <row r="411" spans="1:26" ht="12.75" x14ac:dyDescent="0.2">
      <c r="A411" s="3"/>
      <c r="B411" s="43"/>
      <c r="C411" s="68" t="s">
        <v>217</v>
      </c>
      <c r="D411" s="68"/>
      <c r="E411" s="68"/>
      <c r="F411" s="69">
        <f t="shared" ref="F411:O411" si="117">SUM(F406:F410)</f>
        <v>4.5639000000000003</v>
      </c>
      <c r="G411" s="69">
        <f t="shared" si="117"/>
        <v>4.5639000000000003</v>
      </c>
      <c r="H411" s="69">
        <f t="shared" si="117"/>
        <v>4.5639000000000003</v>
      </c>
      <c r="I411" s="69">
        <f t="shared" si="117"/>
        <v>4.5639000000000003</v>
      </c>
      <c r="J411" s="69">
        <f t="shared" si="117"/>
        <v>4.5639000000000003</v>
      </c>
      <c r="K411" s="69">
        <f t="shared" si="117"/>
        <v>4.5639000000000003</v>
      </c>
      <c r="L411" s="69">
        <f t="shared" si="117"/>
        <v>4.5639000000000003</v>
      </c>
      <c r="M411" s="69">
        <f t="shared" si="117"/>
        <v>4.5639000000000003</v>
      </c>
      <c r="N411" s="69">
        <f t="shared" si="117"/>
        <v>4.5639000000000003</v>
      </c>
      <c r="O411" s="69">
        <f t="shared" si="117"/>
        <v>4.5639000000000003</v>
      </c>
      <c r="P411" s="3"/>
      <c r="Q411" s="3"/>
      <c r="R411" s="3"/>
      <c r="S411" s="3"/>
      <c r="T411" s="3"/>
      <c r="U411" s="3"/>
      <c r="V411" s="3"/>
      <c r="W411" s="3"/>
      <c r="X411" s="3"/>
      <c r="Y411" s="3"/>
      <c r="Z411" s="3"/>
    </row>
    <row r="412" spans="1:26" ht="12.75" x14ac:dyDescent="0.2">
      <c r="A412" s="3"/>
      <c r="B412" s="43"/>
      <c r="C412" s="74"/>
      <c r="D412" s="74"/>
      <c r="E412" s="74"/>
      <c r="F412" s="75"/>
      <c r="G412" s="75"/>
      <c r="H412" s="75"/>
      <c r="I412" s="75"/>
      <c r="J412" s="75"/>
      <c r="K412" s="75"/>
      <c r="L412" s="75"/>
      <c r="M412" s="75"/>
      <c r="N412" s="75"/>
      <c r="O412" s="75"/>
      <c r="P412" s="3"/>
      <c r="Q412" s="3"/>
      <c r="R412" s="3"/>
      <c r="S412" s="3"/>
      <c r="T412" s="3"/>
      <c r="U412" s="3"/>
      <c r="V412" s="3"/>
      <c r="W412" s="3"/>
      <c r="X412" s="3"/>
      <c r="Y412" s="3"/>
      <c r="Z412" s="3"/>
    </row>
    <row r="413" spans="1:26" ht="12.75" x14ac:dyDescent="0.2">
      <c r="A413" s="3"/>
      <c r="B413" s="43"/>
      <c r="C413" s="34" t="s">
        <v>287</v>
      </c>
      <c r="D413" s="74"/>
      <c r="E413" s="74"/>
      <c r="F413" s="75"/>
      <c r="G413" s="75"/>
      <c r="H413" s="75"/>
      <c r="I413" s="75"/>
      <c r="J413" s="75"/>
      <c r="K413" s="75"/>
      <c r="L413" s="75"/>
      <c r="M413" s="75"/>
      <c r="N413" s="75"/>
      <c r="O413" s="75"/>
      <c r="P413" s="3"/>
      <c r="Q413" s="3"/>
      <c r="R413" s="3"/>
      <c r="S413" s="3"/>
      <c r="T413" s="3"/>
      <c r="U413" s="3"/>
      <c r="V413" s="3"/>
      <c r="W413" s="3"/>
      <c r="X413" s="3"/>
      <c r="Y413" s="3"/>
      <c r="Z413" s="3"/>
    </row>
    <row r="414" spans="1:26" ht="12.75" x14ac:dyDescent="0.2">
      <c r="A414" s="3"/>
      <c r="B414" s="33"/>
      <c r="C414" s="27" t="s">
        <v>282</v>
      </c>
      <c r="D414" s="33"/>
      <c r="E414" s="302">
        <v>1.2</v>
      </c>
      <c r="F414" s="39">
        <f>$E414*F307</f>
        <v>18.18321804</v>
      </c>
      <c r="G414" s="39">
        <f>$E414*G307</f>
        <v>18.378040496400001</v>
      </c>
      <c r="H414" s="39">
        <f>$E414*H307</f>
        <v>18.574811177363994</v>
      </c>
      <c r="I414" s="39">
        <f>$E414*I307</f>
        <v>18.773549565137639</v>
      </c>
      <c r="J414" s="39">
        <f>$E414*J307</f>
        <v>18.974275336789013</v>
      </c>
      <c r="K414" s="39">
        <f>$E414*K307</f>
        <v>19.177008366156901</v>
      </c>
      <c r="L414" s="39">
        <f>$E414*L307</f>
        <v>19.381768725818478</v>
      </c>
      <c r="M414" s="39">
        <f>$E414*M307</f>
        <v>19.588576689076657</v>
      </c>
      <c r="N414" s="39">
        <f>$E414*N307</f>
        <v>19.797452731967429</v>
      </c>
      <c r="O414" s="39">
        <f>$E414*O307</f>
        <v>20.008417535287101</v>
      </c>
      <c r="P414" s="3"/>
      <c r="Q414" s="3"/>
      <c r="R414" s="3"/>
      <c r="S414" s="3"/>
      <c r="T414" s="3"/>
      <c r="U414" s="3"/>
      <c r="V414" s="3"/>
      <c r="W414" s="3"/>
      <c r="X414" s="3"/>
      <c r="Y414" s="3"/>
      <c r="Z414" s="3"/>
    </row>
    <row r="415" spans="1:26" ht="12.75" x14ac:dyDescent="0.2">
      <c r="A415" s="3"/>
      <c r="B415" s="33"/>
      <c r="C415" s="27" t="s">
        <v>284</v>
      </c>
      <c r="D415" s="33"/>
      <c r="E415" s="302">
        <v>1</v>
      </c>
      <c r="F415" s="39">
        <f>$E415*F308</f>
        <v>2.0064187000000002</v>
      </c>
      <c r="G415" s="39">
        <f>$E415*G308</f>
        <v>2.0264828870000007</v>
      </c>
      <c r="H415" s="39">
        <f>$E415*H308</f>
        <v>2.0467477158699996</v>
      </c>
      <c r="I415" s="39">
        <f>$E415*I308</f>
        <v>2.0672151930287002</v>
      </c>
      <c r="J415" s="39">
        <f>$E415*J308</f>
        <v>2.0878873449589874</v>
      </c>
      <c r="K415" s="39">
        <f>$E415*K308</f>
        <v>2.1087662184085767</v>
      </c>
      <c r="L415" s="39">
        <f>$E415*L308</f>
        <v>2.1298538805926626</v>
      </c>
      <c r="M415" s="39">
        <f>$E415*M308</f>
        <v>2.1511524193985889</v>
      </c>
      <c r="N415" s="39">
        <f>$E415*N308</f>
        <v>2.1726639435925752</v>
      </c>
      <c r="O415" s="39">
        <f>$E415*O308</f>
        <v>2.1943905830285013</v>
      </c>
      <c r="P415" s="3"/>
      <c r="Q415" s="3"/>
      <c r="R415" s="3"/>
      <c r="S415" s="3"/>
      <c r="T415" s="3"/>
      <c r="U415" s="3"/>
      <c r="V415" s="3"/>
      <c r="W415" s="3"/>
      <c r="X415" s="3"/>
      <c r="Y415" s="3"/>
      <c r="Z415" s="3"/>
    </row>
    <row r="416" spans="1:26" ht="12.75" x14ac:dyDescent="0.2">
      <c r="A416" s="3"/>
      <c r="B416" s="43"/>
      <c r="C416" s="68" t="s">
        <v>289</v>
      </c>
      <c r="D416" s="36"/>
      <c r="E416" s="36"/>
      <c r="F416" s="40">
        <f>SUM(F414:F415)</f>
        <v>20.189636740000001</v>
      </c>
      <c r="G416" s="40">
        <f t="shared" ref="G416:O416" si="118">SUM(G414:G415)</f>
        <v>20.404523383400001</v>
      </c>
      <c r="H416" s="40">
        <f t="shared" si="118"/>
        <v>20.621558893233995</v>
      </c>
      <c r="I416" s="40">
        <f t="shared" si="118"/>
        <v>20.84076475816634</v>
      </c>
      <c r="J416" s="40">
        <f t="shared" si="118"/>
        <v>21.062162681747999</v>
      </c>
      <c r="K416" s="40">
        <f t="shared" si="118"/>
        <v>21.285774584565477</v>
      </c>
      <c r="L416" s="40">
        <f t="shared" si="118"/>
        <v>21.511622606411141</v>
      </c>
      <c r="M416" s="40">
        <f t="shared" si="118"/>
        <v>21.739729108475245</v>
      </c>
      <c r="N416" s="40">
        <f t="shared" si="118"/>
        <v>21.970116675560003</v>
      </c>
      <c r="O416" s="40">
        <f t="shared" si="118"/>
        <v>22.202808118315602</v>
      </c>
      <c r="P416" s="3"/>
      <c r="Q416" s="3"/>
      <c r="R416" s="3"/>
      <c r="S416" s="3"/>
      <c r="T416" s="3"/>
      <c r="U416" s="3"/>
      <c r="V416" s="3"/>
      <c r="W416" s="3"/>
      <c r="X416" s="3"/>
      <c r="Y416" s="3"/>
      <c r="Z416" s="3"/>
    </row>
    <row r="417" spans="1:26" ht="12.75" x14ac:dyDescent="0.2">
      <c r="A417" s="3"/>
      <c r="B417" s="43"/>
      <c r="C417" s="43"/>
      <c r="D417" s="43"/>
      <c r="E417" s="43"/>
      <c r="F417" s="101"/>
      <c r="G417" s="43"/>
      <c r="H417" s="43"/>
      <c r="I417" s="43"/>
      <c r="J417" s="43"/>
      <c r="K417" s="43"/>
      <c r="L417" s="43"/>
      <c r="M417" s="43"/>
      <c r="N417" s="43"/>
      <c r="O417" s="43"/>
      <c r="P417" s="3"/>
      <c r="Q417" s="3"/>
      <c r="R417" s="3"/>
      <c r="S417" s="3"/>
      <c r="T417" s="3"/>
      <c r="U417" s="3"/>
      <c r="V417" s="3"/>
      <c r="W417" s="3"/>
      <c r="X417" s="3"/>
      <c r="Y417" s="3"/>
      <c r="Z417" s="3"/>
    </row>
    <row r="418" spans="1:26" ht="12.75" x14ac:dyDescent="0.2">
      <c r="A418" s="3"/>
      <c r="B418" s="43"/>
      <c r="C418" s="70" t="s">
        <v>669</v>
      </c>
      <c r="D418" s="70"/>
      <c r="E418" s="70"/>
      <c r="F418" s="280">
        <f t="shared" ref="F418:O418" si="119">F398+F403+F411+F416</f>
        <v>80.589736740000006</v>
      </c>
      <c r="G418" s="280">
        <f t="shared" si="119"/>
        <v>80.804623383400013</v>
      </c>
      <c r="H418" s="280">
        <f t="shared" si="119"/>
        <v>81.021658893234004</v>
      </c>
      <c r="I418" s="280">
        <f t="shared" si="119"/>
        <v>81.240864758166353</v>
      </c>
      <c r="J418" s="280">
        <f t="shared" si="119"/>
        <v>81.462262681748001</v>
      </c>
      <c r="K418" s="280">
        <f t="shared" si="119"/>
        <v>81.685874584565482</v>
      </c>
      <c r="L418" s="280">
        <f t="shared" si="119"/>
        <v>81.911722606411146</v>
      </c>
      <c r="M418" s="280">
        <f t="shared" si="119"/>
        <v>82.139829108475254</v>
      </c>
      <c r="N418" s="280">
        <f t="shared" si="119"/>
        <v>82.370216675560016</v>
      </c>
      <c r="O418" s="280">
        <f t="shared" si="119"/>
        <v>82.602908118315611</v>
      </c>
      <c r="P418" s="3"/>
      <c r="Q418" s="3"/>
      <c r="R418" s="3"/>
      <c r="S418" s="3"/>
      <c r="T418" s="3"/>
      <c r="U418" s="3"/>
      <c r="V418" s="3"/>
      <c r="W418" s="3"/>
      <c r="X418" s="3"/>
      <c r="Y418" s="3"/>
      <c r="Z418" s="3"/>
    </row>
    <row r="419" spans="1:26" ht="12.75" x14ac:dyDescent="0.2">
      <c r="A419" s="3"/>
      <c r="B419" s="43"/>
      <c r="C419" s="43"/>
      <c r="D419" s="43"/>
      <c r="E419" s="43"/>
      <c r="F419" s="43"/>
      <c r="G419" s="43"/>
      <c r="H419" s="43"/>
      <c r="I419" s="43"/>
      <c r="J419" s="43"/>
      <c r="K419" s="43"/>
      <c r="L419" s="43"/>
      <c r="M419" s="43"/>
      <c r="N419" s="43"/>
      <c r="O419" s="43"/>
      <c r="P419" s="3"/>
      <c r="Q419" s="3"/>
      <c r="R419" s="3"/>
      <c r="S419" s="3"/>
      <c r="T419" s="3"/>
      <c r="U419" s="3"/>
      <c r="V419" s="3"/>
      <c r="W419" s="3"/>
      <c r="X419" s="3"/>
      <c r="Y419" s="3"/>
      <c r="Z419" s="3"/>
    </row>
    <row r="420" spans="1:26" ht="12.75" x14ac:dyDescent="0.2">
      <c r="A420" s="3"/>
      <c r="C420" s="72" t="s">
        <v>238</v>
      </c>
      <c r="D420" s="70"/>
      <c r="E420" s="70"/>
      <c r="F420" s="73">
        <f t="shared" ref="F420:O420" si="120">F387-F418</f>
        <v>16.330801260000015</v>
      </c>
      <c r="G420" s="73">
        <f t="shared" si="120"/>
        <v>17.0851199966</v>
      </c>
      <c r="H420" s="73">
        <f t="shared" si="120"/>
        <v>17.846981920566009</v>
      </c>
      <c r="I420" s="73">
        <f t="shared" si="120"/>
        <v>18.616462463771654</v>
      </c>
      <c r="J420" s="73">
        <f t="shared" si="120"/>
        <v>19.393637812409366</v>
      </c>
      <c r="K420" s="73">
        <f t="shared" si="120"/>
        <v>20.178584914533474</v>
      </c>
      <c r="L420" s="73">
        <f t="shared" si="120"/>
        <v>20.971381487678798</v>
      </c>
      <c r="M420" s="73">
        <f t="shared" si="120"/>
        <v>21.772106026555576</v>
      </c>
      <c r="N420" s="73">
        <f t="shared" si="120"/>
        <v>22.580837810821151</v>
      </c>
      <c r="O420" s="73">
        <f t="shared" si="120"/>
        <v>23.397656912929364</v>
      </c>
      <c r="P420" s="3"/>
      <c r="Q420" s="3"/>
      <c r="R420" s="3"/>
      <c r="S420" s="3"/>
      <c r="T420" s="3"/>
      <c r="U420" s="3"/>
      <c r="V420" s="3"/>
      <c r="W420" s="3"/>
      <c r="X420" s="3"/>
      <c r="Y420" s="3"/>
      <c r="Z420" s="3"/>
    </row>
    <row r="421" spans="1:26" ht="12.75" x14ac:dyDescent="0.2">
      <c r="A421" s="3"/>
      <c r="B421" s="3"/>
      <c r="C421" s="3"/>
      <c r="D421" s="3"/>
      <c r="E421" s="3"/>
      <c r="F421" s="28"/>
      <c r="G421" s="3"/>
      <c r="H421" s="3"/>
      <c r="I421" s="3"/>
      <c r="J421" s="3"/>
      <c r="K421" s="3"/>
      <c r="L421" s="3"/>
      <c r="M421" s="3"/>
      <c r="N421" s="3"/>
      <c r="O421" s="3"/>
      <c r="P421" s="3"/>
      <c r="Q421" s="3"/>
      <c r="R421" s="3"/>
      <c r="S421" s="3"/>
      <c r="T421" s="3"/>
      <c r="U421" s="3"/>
      <c r="V421" s="3"/>
      <c r="W421" s="3"/>
      <c r="X421" s="3"/>
      <c r="Y421" s="3"/>
      <c r="Z421" s="3"/>
    </row>
    <row r="422" spans="1:26" ht="12.75" x14ac:dyDescent="0.2">
      <c r="A422" s="3"/>
      <c r="B422" s="32" t="s">
        <v>679</v>
      </c>
      <c r="C422" s="33"/>
      <c r="D422" s="33"/>
      <c r="E422" s="33"/>
      <c r="F422" s="33"/>
      <c r="G422" s="33"/>
      <c r="H422" s="33"/>
      <c r="I422" s="33"/>
      <c r="J422" s="33"/>
      <c r="K422" s="33"/>
      <c r="L422" s="33"/>
      <c r="M422" s="33"/>
      <c r="N422" s="33"/>
      <c r="O422" s="33"/>
      <c r="P422" s="3"/>
      <c r="Q422" s="3"/>
      <c r="R422" s="3"/>
      <c r="S422" s="3"/>
      <c r="T422" s="3"/>
      <c r="U422" s="3"/>
      <c r="V422" s="3"/>
      <c r="W422" s="3"/>
      <c r="X422" s="3"/>
      <c r="Y422" s="3"/>
      <c r="Z422" s="3"/>
    </row>
    <row r="423" spans="1:26" ht="12.75" x14ac:dyDescent="0.2">
      <c r="A423" s="3"/>
      <c r="C423" s="64" t="s">
        <v>671</v>
      </c>
      <c r="D423" s="33"/>
      <c r="E423" s="279" t="s">
        <v>666</v>
      </c>
      <c r="F423" s="33"/>
      <c r="G423" s="33"/>
      <c r="H423" s="33"/>
      <c r="I423" s="33"/>
      <c r="J423" s="33"/>
      <c r="K423" s="33"/>
      <c r="L423" s="33"/>
      <c r="M423" s="33"/>
      <c r="N423" s="33"/>
      <c r="O423" s="33"/>
      <c r="P423" s="3"/>
      <c r="Q423" s="3"/>
      <c r="R423" s="3"/>
      <c r="S423" s="3"/>
      <c r="T423" s="3"/>
      <c r="U423" s="3"/>
      <c r="V423" s="3"/>
      <c r="W423" s="3"/>
      <c r="X423" s="3"/>
      <c r="Y423" s="3"/>
      <c r="Z423" s="3"/>
    </row>
    <row r="424" spans="1:26" ht="12.75" x14ac:dyDescent="0.2">
      <c r="A424" s="3"/>
      <c r="B424" s="33"/>
      <c r="C424" s="9" t="s">
        <v>302</v>
      </c>
      <c r="D424" s="33"/>
      <c r="E424" s="302">
        <v>1</v>
      </c>
      <c r="F424" s="39">
        <f>$E424*F317</f>
        <v>0</v>
      </c>
      <c r="G424" s="39">
        <f>$E424*G317</f>
        <v>292.4318100000001</v>
      </c>
      <c r="H424" s="39">
        <f>$E424*H317</f>
        <v>263.18862900000005</v>
      </c>
      <c r="I424" s="39">
        <f>$E424*I317</f>
        <v>236.86976610000008</v>
      </c>
      <c r="J424" s="39">
        <f>$E424*J317</f>
        <v>0</v>
      </c>
      <c r="K424" s="39">
        <f>$E424*K317</f>
        <v>292.4318100000001</v>
      </c>
      <c r="L424" s="39">
        <f>$E424*L317</f>
        <v>263.18862900000005</v>
      </c>
      <c r="M424" s="39">
        <f>$E424*M317</f>
        <v>236.86976610000008</v>
      </c>
      <c r="N424" s="39">
        <f>$E424*N317</f>
        <v>0</v>
      </c>
      <c r="O424" s="39">
        <f>$E424*O317</f>
        <v>292.4318100000001</v>
      </c>
      <c r="P424" s="3"/>
      <c r="Q424" s="3"/>
      <c r="R424" s="3"/>
      <c r="S424" s="3"/>
      <c r="T424" s="3"/>
      <c r="U424" s="3"/>
      <c r="V424" s="3"/>
      <c r="W424" s="3"/>
      <c r="X424" s="3"/>
      <c r="Y424" s="3"/>
      <c r="Z424" s="3"/>
    </row>
    <row r="425" spans="1:26" ht="12.75" x14ac:dyDescent="0.2">
      <c r="A425" s="3"/>
      <c r="B425" s="33"/>
      <c r="C425" s="27" t="s">
        <v>231</v>
      </c>
      <c r="D425" s="33"/>
      <c r="E425" s="302">
        <v>1</v>
      </c>
      <c r="F425" s="39">
        <f>$E425*F318</f>
        <v>0</v>
      </c>
      <c r="G425" s="39">
        <f>$E425*G318</f>
        <v>83.506500000000017</v>
      </c>
      <c r="H425" s="39">
        <f>$E425*H318</f>
        <v>75.155850000000015</v>
      </c>
      <c r="I425" s="39">
        <f>$E425*I318</f>
        <v>67.640265000000014</v>
      </c>
      <c r="J425" s="39">
        <f>$E425*J318</f>
        <v>0</v>
      </c>
      <c r="K425" s="39">
        <f>$E425*K318</f>
        <v>83.506500000000017</v>
      </c>
      <c r="L425" s="39">
        <f>$E425*L318</f>
        <v>75.155850000000015</v>
      </c>
      <c r="M425" s="39">
        <f>$E425*M318</f>
        <v>67.640265000000014</v>
      </c>
      <c r="N425" s="39">
        <f>$E425*N318</f>
        <v>0</v>
      </c>
      <c r="O425" s="39">
        <f>$E425*O318</f>
        <v>83.506500000000017</v>
      </c>
      <c r="P425" s="3"/>
      <c r="Q425" s="3"/>
      <c r="R425" s="3"/>
      <c r="S425" s="3"/>
      <c r="T425" s="3"/>
      <c r="U425" s="3"/>
      <c r="V425" s="3"/>
      <c r="W425" s="3"/>
      <c r="X425" s="3"/>
      <c r="Y425" s="3"/>
      <c r="Z425" s="3"/>
    </row>
    <row r="426" spans="1:26" ht="12.75" x14ac:dyDescent="0.2">
      <c r="A426" s="3"/>
      <c r="B426" s="33"/>
      <c r="C426" s="36" t="s">
        <v>306</v>
      </c>
      <c r="D426" s="36"/>
      <c r="E426" s="36"/>
      <c r="F426" s="59">
        <f>F424-F425</f>
        <v>0</v>
      </c>
      <c r="G426" s="59">
        <f t="shared" ref="G426:O426" si="121">G424-G425</f>
        <v>208.92531000000008</v>
      </c>
      <c r="H426" s="59">
        <f t="shared" si="121"/>
        <v>188.03277900000003</v>
      </c>
      <c r="I426" s="59">
        <f t="shared" si="121"/>
        <v>169.22950110000005</v>
      </c>
      <c r="J426" s="59">
        <f t="shared" si="121"/>
        <v>0</v>
      </c>
      <c r="K426" s="59">
        <f t="shared" si="121"/>
        <v>208.92531000000008</v>
      </c>
      <c r="L426" s="59">
        <f t="shared" si="121"/>
        <v>188.03277900000003</v>
      </c>
      <c r="M426" s="59">
        <f t="shared" si="121"/>
        <v>169.22950110000005</v>
      </c>
      <c r="N426" s="59">
        <f t="shared" si="121"/>
        <v>0</v>
      </c>
      <c r="O426" s="59">
        <f t="shared" si="121"/>
        <v>208.92531000000008</v>
      </c>
      <c r="P426" s="3"/>
      <c r="Q426" s="3"/>
      <c r="R426" s="3"/>
      <c r="S426" s="3"/>
      <c r="T426" s="3"/>
      <c r="U426" s="3"/>
      <c r="V426" s="3"/>
      <c r="W426" s="3"/>
      <c r="X426" s="3"/>
      <c r="Y426" s="3"/>
      <c r="Z426" s="3"/>
    </row>
    <row r="427" spans="1:26" ht="12.75" x14ac:dyDescent="0.2">
      <c r="A427" s="3"/>
      <c r="B427" s="33"/>
      <c r="C427" s="27"/>
      <c r="D427" s="33"/>
      <c r="E427" s="33"/>
      <c r="F427" s="37"/>
      <c r="G427" s="37"/>
      <c r="H427" s="37"/>
      <c r="I427" s="37"/>
      <c r="J427" s="37"/>
      <c r="K427" s="37"/>
      <c r="L427" s="37"/>
      <c r="M427" s="37"/>
      <c r="N427" s="37"/>
      <c r="O427" s="37"/>
      <c r="P427" s="3"/>
      <c r="Q427" s="3"/>
      <c r="R427" s="3"/>
      <c r="S427" s="3"/>
      <c r="T427" s="3"/>
      <c r="U427" s="3"/>
      <c r="V427" s="3"/>
      <c r="W427" s="3"/>
      <c r="X427" s="3"/>
      <c r="Y427" s="3"/>
      <c r="Z427" s="3"/>
    </row>
    <row r="428" spans="1:26" ht="12.75" x14ac:dyDescent="0.2">
      <c r="A428" s="3"/>
      <c r="B428" s="33"/>
      <c r="C428" s="34" t="s">
        <v>266</v>
      </c>
      <c r="D428" s="33"/>
      <c r="E428" s="33"/>
      <c r="F428" s="37"/>
      <c r="G428" s="37"/>
      <c r="H428" s="37"/>
      <c r="I428" s="37"/>
      <c r="J428" s="37"/>
      <c r="K428" s="37"/>
      <c r="L428" s="37"/>
      <c r="M428" s="37"/>
      <c r="N428" s="37"/>
      <c r="O428" s="37"/>
      <c r="P428" s="3"/>
      <c r="Q428" s="3"/>
      <c r="R428" s="3"/>
      <c r="S428" s="3"/>
      <c r="T428" s="3"/>
      <c r="U428" s="3"/>
      <c r="V428" s="3"/>
      <c r="W428" s="3"/>
      <c r="X428" s="3"/>
      <c r="Y428" s="3"/>
      <c r="Z428" s="3"/>
    </row>
    <row r="429" spans="1:26" ht="12.75" x14ac:dyDescent="0.2">
      <c r="A429" s="3"/>
      <c r="B429" s="33"/>
      <c r="C429" s="35" t="s">
        <v>267</v>
      </c>
      <c r="D429" s="33"/>
      <c r="E429" s="302">
        <v>0</v>
      </c>
      <c r="F429" s="39">
        <f>$E429*F322</f>
        <v>0</v>
      </c>
      <c r="G429" s="39">
        <f>$E429*G322</f>
        <v>0</v>
      </c>
      <c r="H429" s="39">
        <f>$E429*H322</f>
        <v>0</v>
      </c>
      <c r="I429" s="39">
        <f>$E429*I322</f>
        <v>0</v>
      </c>
      <c r="J429" s="39">
        <f>$E429*J322</f>
        <v>0</v>
      </c>
      <c r="K429" s="39">
        <f>$E429*K322</f>
        <v>0</v>
      </c>
      <c r="L429" s="39">
        <f>$E429*L322</f>
        <v>0</v>
      </c>
      <c r="M429" s="39">
        <f>$E429*M322</f>
        <v>0</v>
      </c>
      <c r="N429" s="39">
        <f>$E429*N322</f>
        <v>0</v>
      </c>
      <c r="O429" s="39">
        <f>$E429*O322</f>
        <v>0</v>
      </c>
      <c r="P429" s="3"/>
      <c r="Q429" s="3"/>
      <c r="R429" s="3"/>
      <c r="S429" s="3"/>
      <c r="T429" s="3"/>
      <c r="U429" s="3"/>
      <c r="V429" s="3"/>
      <c r="W429" s="3"/>
      <c r="X429" s="3"/>
      <c r="Y429" s="3"/>
      <c r="Z429" s="3"/>
    </row>
    <row r="430" spans="1:26" ht="12.75" x14ac:dyDescent="0.2">
      <c r="A430" s="3"/>
      <c r="B430" s="33"/>
      <c r="C430" s="35" t="s">
        <v>138</v>
      </c>
      <c r="D430" s="33"/>
      <c r="E430" s="302">
        <v>1</v>
      </c>
      <c r="F430" s="39">
        <f>$E430*F323</f>
        <v>87.63034817501142</v>
      </c>
      <c r="G430" s="39">
        <f>$E430*G323</f>
        <v>0</v>
      </c>
      <c r="H430" s="39">
        <f>$E430*H323</f>
        <v>0</v>
      </c>
      <c r="I430" s="39">
        <f>$E430*I323</f>
        <v>0</v>
      </c>
      <c r="J430" s="39">
        <f>$E430*J323</f>
        <v>87.63034817501142</v>
      </c>
      <c r="K430" s="39">
        <f>$E430*K323</f>
        <v>0</v>
      </c>
      <c r="L430" s="39">
        <f>$E430*L323</f>
        <v>0</v>
      </c>
      <c r="M430" s="39">
        <f>$E430*M323</f>
        <v>0</v>
      </c>
      <c r="N430" s="39">
        <f>$E430*N323</f>
        <v>87.63034817501142</v>
      </c>
      <c r="O430" s="39">
        <f>$E430*O323</f>
        <v>0</v>
      </c>
      <c r="P430" s="3"/>
      <c r="Q430" s="3"/>
      <c r="R430" s="3"/>
      <c r="S430" s="3"/>
      <c r="T430" s="3"/>
      <c r="U430" s="3"/>
      <c r="V430" s="3"/>
      <c r="W430" s="3"/>
      <c r="X430" s="3"/>
      <c r="Y430" s="3"/>
      <c r="Z430" s="3"/>
    </row>
    <row r="431" spans="1:26" ht="12.75" x14ac:dyDescent="0.2">
      <c r="A431" s="3"/>
      <c r="B431" s="33"/>
      <c r="C431" s="36" t="s">
        <v>320</v>
      </c>
      <c r="D431" s="36"/>
      <c r="E431" s="36"/>
      <c r="F431" s="40">
        <f>SUM(F429:F430)</f>
        <v>87.63034817501142</v>
      </c>
      <c r="G431" s="40">
        <f t="shared" ref="G431:O431" si="122">SUM(G429:G430)</f>
        <v>0</v>
      </c>
      <c r="H431" s="40">
        <f t="shared" si="122"/>
        <v>0</v>
      </c>
      <c r="I431" s="40">
        <f t="shared" si="122"/>
        <v>0</v>
      </c>
      <c r="J431" s="40">
        <f t="shared" si="122"/>
        <v>87.63034817501142</v>
      </c>
      <c r="K431" s="40">
        <f t="shared" si="122"/>
        <v>0</v>
      </c>
      <c r="L431" s="40">
        <f t="shared" si="122"/>
        <v>0</v>
      </c>
      <c r="M431" s="40">
        <f t="shared" si="122"/>
        <v>0</v>
      </c>
      <c r="N431" s="40">
        <f t="shared" si="122"/>
        <v>87.63034817501142</v>
      </c>
      <c r="O431" s="40">
        <f t="shared" si="122"/>
        <v>0</v>
      </c>
      <c r="P431" s="3"/>
      <c r="Q431" s="3"/>
      <c r="R431" s="3"/>
      <c r="S431" s="3"/>
      <c r="T431" s="3"/>
      <c r="U431" s="3"/>
      <c r="V431" s="3"/>
      <c r="W431" s="3"/>
      <c r="X431" s="3"/>
      <c r="Y431" s="3"/>
      <c r="Z431" s="3"/>
    </row>
    <row r="432" spans="1:26" ht="12.75" x14ac:dyDescent="0.2">
      <c r="A432" s="3"/>
      <c r="B432" s="33"/>
      <c r="C432" s="27"/>
      <c r="D432" s="33"/>
      <c r="E432" s="33"/>
      <c r="F432" s="37"/>
      <c r="G432" s="37"/>
      <c r="H432" s="37"/>
      <c r="I432" s="37"/>
      <c r="J432" s="37"/>
      <c r="K432" s="37"/>
      <c r="L432" s="37"/>
      <c r="M432" s="37"/>
      <c r="N432" s="37"/>
      <c r="O432" s="37"/>
      <c r="P432" s="3"/>
      <c r="Q432" s="3"/>
      <c r="R432" s="3"/>
      <c r="S432" s="3"/>
      <c r="T432" s="3"/>
      <c r="U432" s="3"/>
      <c r="V432" s="3"/>
      <c r="W432" s="3"/>
      <c r="X432" s="3"/>
      <c r="Y432" s="3"/>
      <c r="Z432" s="3"/>
    </row>
    <row r="433" spans="1:26" ht="12.75" x14ac:dyDescent="0.2">
      <c r="A433" s="3"/>
      <c r="B433" s="33"/>
      <c r="C433" s="66" t="s">
        <v>675</v>
      </c>
      <c r="D433" s="66"/>
      <c r="E433" s="66"/>
      <c r="F433" s="67">
        <f>F426+F431</f>
        <v>87.63034817501142</v>
      </c>
      <c r="G433" s="67">
        <f t="shared" ref="G433:O433" si="123">G426+G431</f>
        <v>208.92531000000008</v>
      </c>
      <c r="H433" s="67">
        <f t="shared" si="123"/>
        <v>188.03277900000003</v>
      </c>
      <c r="I433" s="67">
        <f t="shared" si="123"/>
        <v>169.22950110000005</v>
      </c>
      <c r="J433" s="67">
        <f t="shared" si="123"/>
        <v>87.63034817501142</v>
      </c>
      <c r="K433" s="67">
        <f t="shared" si="123"/>
        <v>208.92531000000008</v>
      </c>
      <c r="L433" s="67">
        <f t="shared" si="123"/>
        <v>188.03277900000003</v>
      </c>
      <c r="M433" s="67">
        <f t="shared" si="123"/>
        <v>169.22950110000005</v>
      </c>
      <c r="N433" s="67">
        <f t="shared" si="123"/>
        <v>87.63034817501142</v>
      </c>
      <c r="O433" s="67">
        <f t="shared" si="123"/>
        <v>208.92531000000008</v>
      </c>
      <c r="P433" s="3"/>
      <c r="Q433" s="3"/>
      <c r="R433" s="3"/>
      <c r="S433" s="3"/>
      <c r="T433" s="3"/>
      <c r="U433" s="3"/>
      <c r="V433" s="3"/>
      <c r="W433" s="3"/>
      <c r="X433" s="3"/>
      <c r="Y433" s="3"/>
      <c r="Z433" s="3"/>
    </row>
    <row r="434" spans="1:26" ht="12.75" x14ac:dyDescent="0.2">
      <c r="A434" s="3"/>
      <c r="B434" s="33"/>
      <c r="C434" s="33"/>
      <c r="D434" s="33"/>
      <c r="E434" s="33"/>
      <c r="F434" s="33"/>
      <c r="G434" s="33"/>
      <c r="H434" s="33"/>
      <c r="I434" s="33"/>
      <c r="J434" s="33"/>
      <c r="K434" s="33"/>
      <c r="L434" s="33"/>
      <c r="M434" s="33"/>
      <c r="N434" s="33"/>
      <c r="O434" s="33"/>
      <c r="P434" s="3"/>
      <c r="Q434" s="3"/>
      <c r="R434" s="3"/>
      <c r="S434" s="3"/>
      <c r="T434" s="3"/>
      <c r="U434" s="3"/>
      <c r="V434" s="3"/>
      <c r="W434" s="3"/>
      <c r="X434" s="3"/>
      <c r="Y434" s="3"/>
      <c r="Z434" s="3"/>
    </row>
    <row r="435" spans="1:26" ht="12.75" x14ac:dyDescent="0.2">
      <c r="A435" s="3"/>
      <c r="C435" s="64" t="s">
        <v>670</v>
      </c>
      <c r="D435" s="33"/>
      <c r="E435" s="33"/>
      <c r="F435" s="33"/>
      <c r="G435" s="33"/>
      <c r="H435" s="33"/>
      <c r="I435" s="33"/>
      <c r="J435" s="33"/>
      <c r="K435" s="33"/>
      <c r="L435" s="33"/>
      <c r="M435" s="33"/>
      <c r="N435" s="33"/>
      <c r="O435" s="33"/>
      <c r="P435" s="3"/>
      <c r="Q435" s="3"/>
      <c r="R435" s="3"/>
      <c r="S435" s="3"/>
      <c r="T435" s="3"/>
      <c r="U435" s="3"/>
      <c r="V435" s="3"/>
      <c r="W435" s="3"/>
      <c r="X435" s="3"/>
      <c r="Y435" s="3"/>
      <c r="Z435" s="3"/>
    </row>
    <row r="436" spans="1:26" ht="12.75" x14ac:dyDescent="0.2">
      <c r="A436" s="3"/>
      <c r="B436" s="33"/>
      <c r="C436" s="34" t="s">
        <v>218</v>
      </c>
      <c r="D436" s="33"/>
      <c r="E436" s="33"/>
      <c r="F436" s="33"/>
      <c r="G436" s="33"/>
      <c r="H436" s="33"/>
      <c r="I436" s="33"/>
      <c r="J436" s="33"/>
      <c r="K436" s="33"/>
      <c r="L436" s="33"/>
      <c r="M436" s="33"/>
      <c r="N436" s="33"/>
      <c r="O436" s="33"/>
      <c r="P436" s="3"/>
      <c r="Q436" s="3"/>
      <c r="R436" s="3"/>
      <c r="S436" s="3"/>
      <c r="T436" s="3"/>
      <c r="U436" s="3"/>
      <c r="V436" s="3"/>
      <c r="W436" s="3"/>
      <c r="X436" s="3"/>
      <c r="Y436" s="3"/>
      <c r="Z436" s="3"/>
    </row>
    <row r="437" spans="1:26" ht="12.75" x14ac:dyDescent="0.2">
      <c r="A437" s="3"/>
      <c r="B437" s="33"/>
      <c r="C437" s="94" t="s">
        <v>272</v>
      </c>
      <c r="D437" s="33"/>
      <c r="E437" s="302">
        <v>1</v>
      </c>
      <c r="F437" s="39">
        <f>$E437*F334</f>
        <v>6.7980000000000009</v>
      </c>
      <c r="G437" s="39">
        <f>$E437*G334</f>
        <v>6.7980000000000009</v>
      </c>
      <c r="H437" s="39">
        <f>$E437*H334</f>
        <v>6.7980000000000009</v>
      </c>
      <c r="I437" s="39">
        <f>$E437*I334</f>
        <v>0</v>
      </c>
      <c r="J437" s="39">
        <f>$E437*J334</f>
        <v>6.798</v>
      </c>
      <c r="K437" s="39">
        <f>$E437*K334</f>
        <v>6.798</v>
      </c>
      <c r="L437" s="39">
        <f>$E437*L334</f>
        <v>6.7980000000000009</v>
      </c>
      <c r="M437" s="39">
        <f>$E437*M334</f>
        <v>0</v>
      </c>
      <c r="N437" s="39">
        <f>$E437*N334</f>
        <v>6.7980000000000009</v>
      </c>
      <c r="O437" s="39">
        <f>$E437*O334</f>
        <v>6.7980000000000009</v>
      </c>
      <c r="P437" s="3"/>
      <c r="Q437" s="3"/>
      <c r="R437" s="3"/>
      <c r="S437" s="3"/>
      <c r="T437" s="3"/>
      <c r="U437" s="3"/>
      <c r="V437" s="3"/>
      <c r="W437" s="3"/>
      <c r="X437" s="3"/>
      <c r="Y437" s="3"/>
      <c r="Z437" s="3"/>
    </row>
    <row r="438" spans="1:26" ht="12.75" x14ac:dyDescent="0.2">
      <c r="A438" s="3"/>
      <c r="B438" s="33"/>
      <c r="C438" s="94" t="s">
        <v>273</v>
      </c>
      <c r="D438" s="33"/>
      <c r="E438" s="302">
        <v>1</v>
      </c>
      <c r="F438" s="39">
        <f>$E438*F335</f>
        <v>9.0486000000000004</v>
      </c>
      <c r="G438" s="39">
        <f>$E438*G335</f>
        <v>9.0486000000000004</v>
      </c>
      <c r="H438" s="39">
        <f>$E438*H335</f>
        <v>9.0486000000000004</v>
      </c>
      <c r="I438" s="39">
        <f>$E438*I335</f>
        <v>0</v>
      </c>
      <c r="J438" s="39">
        <f>$E438*J335</f>
        <v>9.0486000000000004</v>
      </c>
      <c r="K438" s="39">
        <f>$E438*K335</f>
        <v>9.0486000000000004</v>
      </c>
      <c r="L438" s="39">
        <f>$E438*L335</f>
        <v>9.0486000000000004</v>
      </c>
      <c r="M438" s="39">
        <f>$E438*M335</f>
        <v>0</v>
      </c>
      <c r="N438" s="39">
        <f>$E438*N335</f>
        <v>9.0486000000000004</v>
      </c>
      <c r="O438" s="39">
        <f>$E438*O335</f>
        <v>9.0486000000000022</v>
      </c>
      <c r="P438" s="3"/>
      <c r="Q438" s="3"/>
      <c r="R438" s="3"/>
      <c r="S438" s="3"/>
      <c r="T438" s="3"/>
      <c r="U438" s="3"/>
      <c r="V438" s="3"/>
      <c r="W438" s="3"/>
      <c r="X438" s="3"/>
      <c r="Y438" s="3"/>
      <c r="Z438" s="3"/>
    </row>
    <row r="439" spans="1:26" ht="12.75" x14ac:dyDescent="0.2">
      <c r="A439" s="3"/>
      <c r="B439" s="33"/>
      <c r="C439" s="27" t="s">
        <v>323</v>
      </c>
      <c r="D439" s="33"/>
      <c r="E439" s="302">
        <v>1</v>
      </c>
      <c r="F439" s="39">
        <f>$E439*F336</f>
        <v>1.3057000000000001</v>
      </c>
      <c r="G439" s="39">
        <f>$E439*G336</f>
        <v>1.3057000000000001</v>
      </c>
      <c r="H439" s="39">
        <f>$E439*H336</f>
        <v>1.3057000000000001</v>
      </c>
      <c r="I439" s="39">
        <f>$E439*I336</f>
        <v>1.3057000000000001</v>
      </c>
      <c r="J439" s="39">
        <f>$E439*J336</f>
        <v>1.3057000000000001</v>
      </c>
      <c r="K439" s="39">
        <f>$E439*K336</f>
        <v>1.3057000000000001</v>
      </c>
      <c r="L439" s="39">
        <f>$E439*L336</f>
        <v>1.3057000000000001</v>
      </c>
      <c r="M439" s="39">
        <f>$E439*M336</f>
        <v>1.3057000000000001</v>
      </c>
      <c r="N439" s="39">
        <f>$E439*N336</f>
        <v>1.3057000000000001</v>
      </c>
      <c r="O439" s="39">
        <f>$E439*O336</f>
        <v>1.3057000000000001</v>
      </c>
      <c r="P439" s="3"/>
      <c r="Q439" s="3"/>
      <c r="R439" s="3"/>
      <c r="S439" s="3"/>
      <c r="T439" s="3"/>
      <c r="U439" s="3"/>
      <c r="V439" s="3"/>
      <c r="W439" s="3"/>
      <c r="X439" s="3"/>
      <c r="Y439" s="3"/>
      <c r="Z439" s="3"/>
    </row>
    <row r="440" spans="1:26" ht="12.75" x14ac:dyDescent="0.2">
      <c r="A440" s="3"/>
      <c r="B440" s="33"/>
      <c r="C440" s="27" t="s">
        <v>331</v>
      </c>
      <c r="D440" s="33"/>
      <c r="E440" s="302">
        <v>1</v>
      </c>
      <c r="F440" s="39">
        <f>$E440*F337</f>
        <v>0</v>
      </c>
      <c r="G440" s="39">
        <f>$E440*G337</f>
        <v>21.783299999999997</v>
      </c>
      <c r="H440" s="39">
        <f>$E440*H337</f>
        <v>21.783300000000001</v>
      </c>
      <c r="I440" s="39">
        <f>$E440*I337</f>
        <v>21.783299999999997</v>
      </c>
      <c r="J440" s="39">
        <f>$E440*J337</f>
        <v>0</v>
      </c>
      <c r="K440" s="39">
        <f>$E440*K337</f>
        <v>21.783300000000001</v>
      </c>
      <c r="L440" s="39">
        <f>$E440*L337</f>
        <v>21.783299999999997</v>
      </c>
      <c r="M440" s="39">
        <f>$E440*M337</f>
        <v>21.783300000000001</v>
      </c>
      <c r="N440" s="39">
        <f>$E440*N337</f>
        <v>0</v>
      </c>
      <c r="O440" s="39">
        <f>$E440*O337</f>
        <v>21.783300000000001</v>
      </c>
      <c r="P440" s="3"/>
      <c r="Q440" s="3"/>
      <c r="R440" s="3"/>
      <c r="S440" s="3"/>
      <c r="T440" s="3"/>
      <c r="U440" s="3"/>
      <c r="V440" s="3"/>
      <c r="W440" s="3"/>
      <c r="X440" s="3"/>
      <c r="Y440" s="3"/>
      <c r="Z440" s="3"/>
    </row>
    <row r="441" spans="1:26" ht="12.75" x14ac:dyDescent="0.2">
      <c r="A441" s="3"/>
      <c r="B441" s="35"/>
      <c r="C441" s="84" t="s">
        <v>293</v>
      </c>
      <c r="D441" s="35"/>
      <c r="E441" s="303">
        <v>1</v>
      </c>
      <c r="F441" s="39">
        <f>$E441*F338</f>
        <v>1.4751000000000001</v>
      </c>
      <c r="G441" s="39">
        <f>$E441*G338</f>
        <v>1.4751000000000001</v>
      </c>
      <c r="H441" s="39">
        <f>$E441*H338</f>
        <v>1.4751000000000001</v>
      </c>
      <c r="I441" s="39">
        <f>$E441*I338</f>
        <v>1.4751000000000001</v>
      </c>
      <c r="J441" s="39">
        <f>$E441*J338</f>
        <v>1.4751000000000001</v>
      </c>
      <c r="K441" s="39">
        <f>$E441*K338</f>
        <v>1.4751000000000003</v>
      </c>
      <c r="L441" s="39">
        <f>$E441*L338</f>
        <v>1.4751000000000003</v>
      </c>
      <c r="M441" s="39">
        <f>$E441*M338</f>
        <v>1.4751000000000001</v>
      </c>
      <c r="N441" s="39">
        <f>$E441*N338</f>
        <v>1.4751000000000001</v>
      </c>
      <c r="O441" s="39">
        <f>$E441*O338</f>
        <v>1.4751000000000001</v>
      </c>
      <c r="P441" s="3"/>
      <c r="Q441" s="3"/>
      <c r="R441" s="3"/>
      <c r="S441" s="3"/>
      <c r="T441" s="3"/>
      <c r="U441" s="3"/>
      <c r="V441" s="3"/>
      <c r="W441" s="3"/>
      <c r="X441" s="3"/>
      <c r="Y441" s="3"/>
      <c r="Z441" s="3"/>
    </row>
    <row r="442" spans="1:26" ht="12.75" x14ac:dyDescent="0.2">
      <c r="A442" s="3"/>
      <c r="B442" s="33"/>
      <c r="C442" s="94" t="s">
        <v>278</v>
      </c>
      <c r="D442" s="33"/>
      <c r="E442" s="302">
        <v>1</v>
      </c>
      <c r="F442" s="39">
        <f>$E442*F339</f>
        <v>17.022500000000004</v>
      </c>
      <c r="G442" s="39">
        <f>$E442*G339</f>
        <v>17.022500000000004</v>
      </c>
      <c r="H442" s="39">
        <f>$E442*H339</f>
        <v>17.022500000000004</v>
      </c>
      <c r="I442" s="39">
        <f>$E442*I339</f>
        <v>17.022500000000004</v>
      </c>
      <c r="J442" s="39">
        <f>$E442*J339</f>
        <v>17.022500000000004</v>
      </c>
      <c r="K442" s="39">
        <f>$E442*K339</f>
        <v>17.022500000000004</v>
      </c>
      <c r="L442" s="39">
        <f>$E442*L339</f>
        <v>17.022500000000004</v>
      </c>
      <c r="M442" s="39">
        <f>$E442*M339</f>
        <v>17.022500000000004</v>
      </c>
      <c r="N442" s="39">
        <f>$E442*N339</f>
        <v>17.022500000000004</v>
      </c>
      <c r="O442" s="39">
        <f>$E442*O339</f>
        <v>17.022500000000004</v>
      </c>
      <c r="P442" s="3"/>
      <c r="Q442" s="3"/>
      <c r="R442" s="3"/>
      <c r="S442" s="3"/>
      <c r="T442" s="3"/>
      <c r="U442" s="3"/>
      <c r="V442" s="3"/>
      <c r="W442" s="3"/>
      <c r="X442" s="3"/>
      <c r="Y442" s="3"/>
      <c r="Z442" s="3"/>
    </row>
    <row r="443" spans="1:26" ht="12.75" x14ac:dyDescent="0.2">
      <c r="A443" s="3"/>
      <c r="B443" s="33"/>
      <c r="C443" s="9" t="s">
        <v>85</v>
      </c>
      <c r="D443" s="33"/>
      <c r="E443" s="302">
        <v>1</v>
      </c>
      <c r="F443" s="39">
        <f>$E443*F340</f>
        <v>15.475</v>
      </c>
      <c r="G443" s="39">
        <f>$E443*G340</f>
        <v>15.475</v>
      </c>
      <c r="H443" s="39">
        <f>$E443*H340</f>
        <v>15.475000000000001</v>
      </c>
      <c r="I443" s="39">
        <f>$E443*I340</f>
        <v>15.475000000000001</v>
      </c>
      <c r="J443" s="39">
        <f>$E443*J340</f>
        <v>0</v>
      </c>
      <c r="K443" s="39">
        <f>$E443*K340</f>
        <v>0</v>
      </c>
      <c r="L443" s="39">
        <f>$E443*L340</f>
        <v>0</v>
      </c>
      <c r="M443" s="39">
        <f>$E443*M340</f>
        <v>0</v>
      </c>
      <c r="N443" s="39">
        <f>$E443*N340</f>
        <v>0</v>
      </c>
      <c r="O443" s="39">
        <f>$E443*O340</f>
        <v>0</v>
      </c>
      <c r="P443" s="3"/>
      <c r="Q443" s="3"/>
      <c r="R443" s="3"/>
      <c r="S443" s="3"/>
      <c r="T443" s="3"/>
      <c r="U443" s="3"/>
      <c r="V443" s="3"/>
      <c r="W443" s="3"/>
      <c r="X443" s="3"/>
      <c r="Y443" s="3"/>
      <c r="Z443" s="3"/>
    </row>
    <row r="444" spans="1:26" ht="12.75" x14ac:dyDescent="0.2">
      <c r="A444" s="3"/>
      <c r="B444" s="33"/>
      <c r="C444" s="36" t="s">
        <v>207</v>
      </c>
      <c r="D444" s="36"/>
      <c r="E444" s="36"/>
      <c r="F444" s="59">
        <f>SUM(F437:F443)</f>
        <v>51.124900000000011</v>
      </c>
      <c r="G444" s="59">
        <f t="shared" ref="G444:O444" si="124">SUM(G437:G443)</f>
        <v>72.908199999999994</v>
      </c>
      <c r="H444" s="59">
        <f t="shared" si="124"/>
        <v>72.908200000000022</v>
      </c>
      <c r="I444" s="59">
        <f t="shared" si="124"/>
        <v>57.061600000000006</v>
      </c>
      <c r="J444" s="59">
        <f t="shared" si="124"/>
        <v>35.649900000000002</v>
      </c>
      <c r="K444" s="59">
        <f t="shared" si="124"/>
        <v>57.433199999999999</v>
      </c>
      <c r="L444" s="59">
        <f t="shared" si="124"/>
        <v>57.433199999999999</v>
      </c>
      <c r="M444" s="59">
        <f t="shared" si="124"/>
        <v>41.586600000000004</v>
      </c>
      <c r="N444" s="59">
        <f t="shared" si="124"/>
        <v>35.649900000000009</v>
      </c>
      <c r="O444" s="59">
        <f t="shared" si="124"/>
        <v>57.433200000000014</v>
      </c>
      <c r="P444" s="3"/>
      <c r="Q444" s="3"/>
      <c r="R444" s="3"/>
      <c r="S444" s="3"/>
      <c r="T444" s="3"/>
      <c r="U444" s="3"/>
      <c r="V444" s="3"/>
      <c r="W444" s="3"/>
      <c r="X444" s="3"/>
      <c r="Y444" s="3"/>
      <c r="Z444" s="3"/>
    </row>
    <row r="445" spans="1:26" ht="12.75" x14ac:dyDescent="0.2">
      <c r="A445" s="3"/>
      <c r="B445" s="33"/>
      <c r="C445" s="33"/>
      <c r="D445" s="33"/>
      <c r="E445" s="33"/>
      <c r="F445" s="33"/>
      <c r="G445" s="33"/>
      <c r="H445" s="33"/>
      <c r="I445" s="33"/>
      <c r="J445" s="33"/>
      <c r="K445" s="33"/>
      <c r="L445" s="33"/>
      <c r="M445" s="33"/>
      <c r="N445" s="33"/>
      <c r="O445" s="33"/>
      <c r="P445" s="3"/>
      <c r="Q445" s="3"/>
      <c r="R445" s="3"/>
      <c r="S445" s="3"/>
      <c r="T445" s="3"/>
      <c r="U445" s="3"/>
      <c r="V445" s="3"/>
      <c r="W445" s="3"/>
      <c r="X445" s="3"/>
      <c r="Y445" s="3"/>
      <c r="Z445" s="3"/>
    </row>
    <row r="446" spans="1:26" ht="12.75" x14ac:dyDescent="0.2">
      <c r="A446" s="3"/>
      <c r="B446" s="33"/>
      <c r="C446" s="34" t="s">
        <v>215</v>
      </c>
      <c r="D446" s="33"/>
      <c r="E446" s="33"/>
      <c r="F446" s="41"/>
      <c r="G446" s="41"/>
      <c r="H446" s="41"/>
      <c r="I446" s="41"/>
      <c r="J446" s="41"/>
      <c r="K446" s="41"/>
      <c r="L446" s="41"/>
      <c r="M446" s="41"/>
      <c r="N446" s="41"/>
      <c r="O446" s="41"/>
      <c r="P446" s="3"/>
      <c r="Q446" s="3"/>
      <c r="R446" s="3"/>
      <c r="S446" s="3"/>
      <c r="T446" s="3"/>
      <c r="U446" s="3"/>
      <c r="V446" s="3"/>
      <c r="W446" s="3"/>
      <c r="X446" s="3"/>
      <c r="Y446" s="3"/>
      <c r="Z446" s="3"/>
    </row>
    <row r="447" spans="1:26" ht="12.75" x14ac:dyDescent="0.2">
      <c r="A447" s="3"/>
      <c r="B447" s="33"/>
      <c r="C447" s="9" t="s">
        <v>110</v>
      </c>
      <c r="D447" s="33"/>
      <c r="E447" s="302">
        <v>1</v>
      </c>
      <c r="F447" s="39">
        <f>$E447*F344</f>
        <v>5.6496000000000004</v>
      </c>
      <c r="G447" s="39">
        <f>$E447*G344</f>
        <v>5.6496000000000004</v>
      </c>
      <c r="H447" s="39">
        <f>$E447*H344</f>
        <v>5.6496000000000004</v>
      </c>
      <c r="I447" s="39">
        <f>$E447*I344</f>
        <v>5.6496000000000013</v>
      </c>
      <c r="J447" s="39">
        <f>$E447*J344</f>
        <v>5.6496000000000004</v>
      </c>
      <c r="K447" s="39">
        <f>$E447*K344</f>
        <v>5.6496000000000013</v>
      </c>
      <c r="L447" s="39">
        <f>$E447*L344</f>
        <v>5.6496000000000004</v>
      </c>
      <c r="M447" s="39">
        <f>$E447*M344</f>
        <v>5.6496000000000004</v>
      </c>
      <c r="N447" s="39">
        <f>$E447*N344</f>
        <v>5.6496000000000004</v>
      </c>
      <c r="O447" s="39">
        <f>$E447*O344</f>
        <v>5.6495999999999995</v>
      </c>
      <c r="P447" s="3"/>
      <c r="Q447" s="3"/>
      <c r="R447" s="3"/>
      <c r="S447" s="3"/>
      <c r="T447" s="3"/>
      <c r="U447" s="3"/>
      <c r="V447" s="3"/>
      <c r="W447" s="3"/>
      <c r="X447" s="3"/>
      <c r="Y447" s="3"/>
      <c r="Z447" s="3"/>
    </row>
    <row r="448" spans="1:26" ht="12.75" x14ac:dyDescent="0.2">
      <c r="A448" s="3"/>
      <c r="B448" s="33"/>
      <c r="C448" s="27" t="s">
        <v>283</v>
      </c>
      <c r="D448" s="33"/>
      <c r="E448" s="302">
        <v>1</v>
      </c>
      <c r="F448" s="39">
        <f>$E448*F345</f>
        <v>2.6292000000000004</v>
      </c>
      <c r="G448" s="39">
        <f>$E448*G345</f>
        <v>2.6292000000000004</v>
      </c>
      <c r="H448" s="39">
        <f>$E448*H345</f>
        <v>2.6292000000000004</v>
      </c>
      <c r="I448" s="39">
        <f>$E448*I345</f>
        <v>2.6292000000000004</v>
      </c>
      <c r="J448" s="39">
        <f>$E448*J345</f>
        <v>2.6292000000000004</v>
      </c>
      <c r="K448" s="39">
        <f>$E448*K345</f>
        <v>2.6292000000000004</v>
      </c>
      <c r="L448" s="39">
        <f>$E448*L345</f>
        <v>2.6292000000000004</v>
      </c>
      <c r="M448" s="39">
        <f>$E448*M345</f>
        <v>2.6292</v>
      </c>
      <c r="N448" s="39">
        <f>$E448*N345</f>
        <v>2.6292</v>
      </c>
      <c r="O448" s="39">
        <f>$E448*O345</f>
        <v>2.6292000000000004</v>
      </c>
      <c r="P448" s="3"/>
      <c r="Q448" s="3"/>
      <c r="R448" s="3"/>
      <c r="S448" s="3"/>
      <c r="T448" s="3"/>
      <c r="U448" s="3"/>
      <c r="V448" s="3"/>
      <c r="W448" s="3"/>
      <c r="X448" s="3"/>
      <c r="Y448" s="3"/>
      <c r="Z448" s="3"/>
    </row>
    <row r="449" spans="1:26" ht="12.75" x14ac:dyDescent="0.2">
      <c r="A449" s="3"/>
      <c r="B449" s="33"/>
      <c r="C449" s="31" t="s">
        <v>216</v>
      </c>
      <c r="D449" s="36"/>
      <c r="E449" s="36"/>
      <c r="F449" s="40">
        <f t="shared" ref="F449:O449" si="125">SUM(F447:F448)</f>
        <v>8.2788000000000004</v>
      </c>
      <c r="G449" s="40">
        <f t="shared" si="125"/>
        <v>8.2788000000000004</v>
      </c>
      <c r="H449" s="40">
        <f t="shared" si="125"/>
        <v>8.2788000000000004</v>
      </c>
      <c r="I449" s="40">
        <f t="shared" si="125"/>
        <v>8.2788000000000022</v>
      </c>
      <c r="J449" s="40">
        <f t="shared" si="125"/>
        <v>8.2788000000000004</v>
      </c>
      <c r="K449" s="40">
        <f t="shared" si="125"/>
        <v>8.2788000000000022</v>
      </c>
      <c r="L449" s="40">
        <f t="shared" si="125"/>
        <v>8.2788000000000004</v>
      </c>
      <c r="M449" s="40">
        <f t="shared" si="125"/>
        <v>8.2788000000000004</v>
      </c>
      <c r="N449" s="40">
        <f t="shared" si="125"/>
        <v>8.2788000000000004</v>
      </c>
      <c r="O449" s="40">
        <f t="shared" si="125"/>
        <v>8.2788000000000004</v>
      </c>
      <c r="P449" s="3"/>
      <c r="Q449" s="3"/>
      <c r="R449" s="3"/>
      <c r="S449" s="3"/>
      <c r="T449" s="3"/>
      <c r="U449" s="3"/>
      <c r="V449" s="3"/>
      <c r="W449" s="3"/>
      <c r="X449" s="3"/>
      <c r="Y449" s="3"/>
      <c r="Z449" s="3"/>
    </row>
    <row r="450" spans="1:26" ht="12.75" x14ac:dyDescent="0.2">
      <c r="A450" s="3"/>
      <c r="B450" s="33"/>
      <c r="C450" s="35"/>
      <c r="D450" s="33"/>
      <c r="E450" s="33"/>
      <c r="F450" s="41"/>
      <c r="G450" s="41"/>
      <c r="H450" s="41"/>
      <c r="I450" s="41"/>
      <c r="J450" s="41"/>
      <c r="K450" s="41"/>
      <c r="L450" s="41"/>
      <c r="M450" s="41"/>
      <c r="N450" s="41"/>
      <c r="O450" s="41"/>
      <c r="P450" s="3"/>
      <c r="Q450" s="3"/>
      <c r="R450" s="3"/>
      <c r="S450" s="3"/>
      <c r="T450" s="3"/>
      <c r="U450" s="3"/>
      <c r="V450" s="3"/>
      <c r="W450" s="3"/>
      <c r="X450" s="3"/>
      <c r="Y450" s="3"/>
      <c r="Z450" s="3"/>
    </row>
    <row r="451" spans="1:26" ht="12.75" x14ac:dyDescent="0.2">
      <c r="A451" s="3"/>
      <c r="B451" s="33"/>
      <c r="C451" s="34" t="s">
        <v>219</v>
      </c>
      <c r="D451" s="33"/>
      <c r="E451" s="33"/>
      <c r="F451" s="41"/>
      <c r="G451" s="41"/>
      <c r="H451" s="41"/>
      <c r="I451" s="41"/>
      <c r="J451" s="41"/>
      <c r="K451" s="41"/>
      <c r="L451" s="41"/>
      <c r="M451" s="41"/>
      <c r="N451" s="41"/>
      <c r="O451" s="41"/>
      <c r="P451" s="3"/>
      <c r="Q451" s="3"/>
      <c r="R451" s="3"/>
      <c r="S451" s="3"/>
      <c r="T451" s="3"/>
      <c r="U451" s="3"/>
      <c r="V451" s="3"/>
      <c r="W451" s="3"/>
      <c r="X451" s="3"/>
      <c r="Y451" s="3"/>
      <c r="Z451" s="3"/>
    </row>
    <row r="452" spans="1:26" ht="12.75" x14ac:dyDescent="0.2">
      <c r="A452" s="3"/>
      <c r="B452" s="33"/>
      <c r="C452" s="111" t="s">
        <v>312</v>
      </c>
      <c r="D452" s="33"/>
      <c r="E452" s="302">
        <v>1</v>
      </c>
      <c r="F452" s="39">
        <f>$E452*F349</f>
        <v>0</v>
      </c>
      <c r="G452" s="39">
        <f>$E452*G349</f>
        <v>4.5639000000000003</v>
      </c>
      <c r="H452" s="39">
        <f>$E452*H349</f>
        <v>4.5639000000000003</v>
      </c>
      <c r="I452" s="39">
        <f>$E452*I349</f>
        <v>4.5639000000000003</v>
      </c>
      <c r="J452" s="39">
        <f>$E452*J349</f>
        <v>0</v>
      </c>
      <c r="K452" s="39">
        <f>$E452*K349</f>
        <v>4.5639000000000003</v>
      </c>
      <c r="L452" s="39">
        <f>$E452*L349</f>
        <v>4.5639000000000003</v>
      </c>
      <c r="M452" s="39">
        <f>$E452*M349</f>
        <v>4.5639000000000003</v>
      </c>
      <c r="N452" s="39">
        <f>$E452*N349</f>
        <v>0</v>
      </c>
      <c r="O452" s="39">
        <f>$E452*O349</f>
        <v>4.5639000000000003</v>
      </c>
      <c r="P452" s="3"/>
      <c r="Q452" s="3"/>
      <c r="R452" s="3"/>
      <c r="S452" s="3"/>
      <c r="T452" s="3"/>
      <c r="U452" s="3"/>
      <c r="V452" s="3"/>
      <c r="W452" s="3"/>
      <c r="X452" s="3"/>
      <c r="Y452" s="3"/>
      <c r="Z452" s="3"/>
    </row>
    <row r="453" spans="1:26" ht="12.75" x14ac:dyDescent="0.2">
      <c r="A453" s="3"/>
      <c r="B453" s="33"/>
      <c r="C453" s="111" t="s">
        <v>313</v>
      </c>
      <c r="D453" s="33"/>
      <c r="E453" s="302">
        <v>1</v>
      </c>
      <c r="F453" s="39">
        <f>$E453*F350</f>
        <v>16.5</v>
      </c>
      <c r="G453" s="39">
        <f>$E453*G350</f>
        <v>0</v>
      </c>
      <c r="H453" s="39">
        <f>$E453*H350</f>
        <v>0</v>
      </c>
      <c r="I453" s="39">
        <f>$E453*I350</f>
        <v>0</v>
      </c>
      <c r="J453" s="39">
        <f>$E453*J350</f>
        <v>16.5</v>
      </c>
      <c r="K453" s="39">
        <f>$E453*K350</f>
        <v>0</v>
      </c>
      <c r="L453" s="39">
        <f>$E453*L350</f>
        <v>0</v>
      </c>
      <c r="M453" s="39">
        <f>$E453*M350</f>
        <v>0</v>
      </c>
      <c r="N453" s="39">
        <f>$E453*N350</f>
        <v>16.5</v>
      </c>
      <c r="O453" s="39">
        <f>$E453*O350</f>
        <v>0</v>
      </c>
      <c r="P453" s="3"/>
      <c r="Q453" s="3"/>
      <c r="R453" s="3"/>
      <c r="S453" s="3"/>
      <c r="T453" s="3"/>
      <c r="U453" s="3"/>
      <c r="V453" s="3"/>
      <c r="W453" s="3"/>
      <c r="X453" s="3"/>
      <c r="Y453" s="3"/>
      <c r="Z453" s="3"/>
    </row>
    <row r="454" spans="1:26" ht="12.75" x14ac:dyDescent="0.2">
      <c r="A454" s="3"/>
      <c r="B454" s="33"/>
      <c r="C454" s="9" t="s">
        <v>102</v>
      </c>
      <c r="D454" s="33"/>
      <c r="E454" s="299">
        <f>CFs!$C$218</f>
        <v>1.0969941102134646</v>
      </c>
      <c r="F454" s="39">
        <f>$E454*F351</f>
        <v>23.154484175443454</v>
      </c>
      <c r="G454" s="39">
        <f>$E454*G351</f>
        <v>23.154484175443454</v>
      </c>
      <c r="H454" s="39">
        <f>$E454*H351</f>
        <v>23.154484175443457</v>
      </c>
      <c r="I454" s="39">
        <f>$E454*I351</f>
        <v>23.154484175443457</v>
      </c>
      <c r="J454" s="39">
        <f>$E454*J351</f>
        <v>23.154484175443454</v>
      </c>
      <c r="K454" s="39">
        <f>$E454*K351</f>
        <v>23.154484175443454</v>
      </c>
      <c r="L454" s="39">
        <f>$E454*L351</f>
        <v>23.154484175443457</v>
      </c>
      <c r="M454" s="39">
        <f>$E454*M351</f>
        <v>23.154484175443457</v>
      </c>
      <c r="N454" s="39">
        <f>$E454*N351</f>
        <v>23.154484175443457</v>
      </c>
      <c r="O454" s="39">
        <f>$E454*O351</f>
        <v>23.154484175443454</v>
      </c>
      <c r="P454" s="3"/>
      <c r="Q454" s="3"/>
      <c r="R454" s="3"/>
      <c r="S454" s="3"/>
      <c r="T454" s="3"/>
      <c r="U454" s="3"/>
      <c r="V454" s="3"/>
      <c r="W454" s="3"/>
      <c r="X454" s="3"/>
      <c r="Y454" s="3"/>
      <c r="Z454" s="3"/>
    </row>
    <row r="455" spans="1:26" ht="12.75" x14ac:dyDescent="0.2">
      <c r="A455" s="3"/>
      <c r="B455" s="35"/>
      <c r="C455" s="27" t="s">
        <v>334</v>
      </c>
      <c r="D455" s="35"/>
      <c r="E455" s="303">
        <v>1</v>
      </c>
      <c r="F455" s="39">
        <f>$E455*F352</f>
        <v>2.200000000078056</v>
      </c>
      <c r="G455" s="39">
        <f>$E455*G352</f>
        <v>2.200000000078056</v>
      </c>
      <c r="H455" s="39">
        <f>$E455*H352</f>
        <v>2.2000000000780555</v>
      </c>
      <c r="I455" s="39">
        <f>$E455*I352</f>
        <v>2.200000000078056</v>
      </c>
      <c r="J455" s="39">
        <f>$E455*J352</f>
        <v>2.200000000078056</v>
      </c>
      <c r="K455" s="39">
        <f>$E455*K352</f>
        <v>2.200000000078056</v>
      </c>
      <c r="L455" s="39">
        <f>$E455*L352</f>
        <v>2.200000000078056</v>
      </c>
      <c r="M455" s="39">
        <f>$E455*M352</f>
        <v>2.2000000000780564</v>
      </c>
      <c r="N455" s="39">
        <f>$E455*N352</f>
        <v>2.200000000078056</v>
      </c>
      <c r="O455" s="39">
        <f>$E455*O352</f>
        <v>2.2000000000780564</v>
      </c>
      <c r="P455" s="3"/>
      <c r="Q455" s="3"/>
      <c r="R455" s="3"/>
      <c r="S455" s="3"/>
      <c r="T455" s="3"/>
      <c r="U455" s="3"/>
      <c r="V455" s="3"/>
      <c r="W455" s="3"/>
      <c r="X455" s="3"/>
      <c r="Y455" s="3"/>
      <c r="Z455" s="3"/>
    </row>
    <row r="456" spans="1:26" ht="12.75" x14ac:dyDescent="0.2">
      <c r="A456" s="3"/>
      <c r="B456" s="33"/>
      <c r="C456" s="9" t="s">
        <v>105</v>
      </c>
      <c r="D456" s="33"/>
      <c r="E456" s="302">
        <v>1</v>
      </c>
      <c r="F456" s="39">
        <f>$E456*F353</f>
        <v>3.9600000000000004</v>
      </c>
      <c r="G456" s="39">
        <f>$E456*G353</f>
        <v>3.9599999999999995</v>
      </c>
      <c r="H456" s="39">
        <f>$E456*H353</f>
        <v>3.9599999999999995</v>
      </c>
      <c r="I456" s="39">
        <f>$E456*I353</f>
        <v>3.9600000000000004</v>
      </c>
      <c r="J456" s="39">
        <f>$E456*J353</f>
        <v>3.96</v>
      </c>
      <c r="K456" s="39">
        <f>$E456*K353</f>
        <v>3.9600000000000004</v>
      </c>
      <c r="L456" s="39">
        <f>$E456*L353</f>
        <v>3.9599999999999995</v>
      </c>
      <c r="M456" s="39">
        <f>$E456*M353</f>
        <v>3.9600000000000004</v>
      </c>
      <c r="N456" s="39">
        <f>$E456*N353</f>
        <v>3.96</v>
      </c>
      <c r="O456" s="39">
        <f>$E456*O353</f>
        <v>3.96</v>
      </c>
      <c r="P456" s="3"/>
      <c r="Q456" s="3"/>
      <c r="R456" s="3"/>
      <c r="S456" s="3"/>
      <c r="T456" s="3"/>
      <c r="U456" s="3"/>
      <c r="V456" s="3"/>
      <c r="W456" s="3"/>
      <c r="X456" s="3"/>
      <c r="Y456" s="3"/>
      <c r="Z456" s="3"/>
    </row>
    <row r="457" spans="1:26" ht="12.75" x14ac:dyDescent="0.2">
      <c r="A457" s="3"/>
      <c r="B457" s="43"/>
      <c r="C457" s="68" t="s">
        <v>217</v>
      </c>
      <c r="D457" s="68"/>
      <c r="E457" s="68"/>
      <c r="F457" s="69">
        <f t="shared" ref="F457:O457" si="126">SUM(F452:F456)</f>
        <v>45.814484175521514</v>
      </c>
      <c r="G457" s="69">
        <f t="shared" si="126"/>
        <v>33.878384175521511</v>
      </c>
      <c r="H457" s="69">
        <f t="shared" si="126"/>
        <v>33.878384175521511</v>
      </c>
      <c r="I457" s="69">
        <f t="shared" si="126"/>
        <v>33.878384175521511</v>
      </c>
      <c r="J457" s="69">
        <f t="shared" si="126"/>
        <v>45.814484175521514</v>
      </c>
      <c r="K457" s="69">
        <f t="shared" si="126"/>
        <v>33.878384175521511</v>
      </c>
      <c r="L457" s="69">
        <f t="shared" si="126"/>
        <v>33.878384175521511</v>
      </c>
      <c r="M457" s="69">
        <f t="shared" si="126"/>
        <v>33.878384175521511</v>
      </c>
      <c r="N457" s="69">
        <f t="shared" si="126"/>
        <v>45.814484175521514</v>
      </c>
      <c r="O457" s="69">
        <f t="shared" si="126"/>
        <v>33.878384175521511</v>
      </c>
      <c r="P457" s="3"/>
      <c r="Q457" s="3"/>
      <c r="R457" s="3"/>
      <c r="S457" s="3"/>
      <c r="T457" s="3"/>
      <c r="U457" s="3"/>
      <c r="V457" s="3"/>
      <c r="W457" s="3"/>
      <c r="X457" s="3"/>
      <c r="Y457" s="3"/>
      <c r="Z457" s="3"/>
    </row>
    <row r="458" spans="1:26" ht="12.75" x14ac:dyDescent="0.2">
      <c r="A458" s="3"/>
      <c r="B458" s="43"/>
      <c r="C458" s="74"/>
      <c r="D458" s="74"/>
      <c r="E458" s="74"/>
      <c r="F458" s="75"/>
      <c r="G458" s="75"/>
      <c r="H458" s="75"/>
      <c r="I458" s="75"/>
      <c r="J458" s="75"/>
      <c r="K458" s="75"/>
      <c r="L458" s="75"/>
      <c r="M458" s="75"/>
      <c r="N458" s="75"/>
      <c r="O458" s="75"/>
      <c r="P458" s="3"/>
      <c r="Q458" s="3"/>
      <c r="R458" s="3"/>
      <c r="S458" s="3"/>
      <c r="T458" s="3"/>
      <c r="U458" s="3"/>
      <c r="V458" s="3"/>
      <c r="W458" s="3"/>
      <c r="X458" s="3"/>
      <c r="Y458" s="3"/>
      <c r="Z458" s="3"/>
    </row>
    <row r="459" spans="1:26" ht="12.75" x14ac:dyDescent="0.2">
      <c r="A459" s="3"/>
      <c r="B459" s="43"/>
      <c r="C459" s="34" t="s">
        <v>287</v>
      </c>
      <c r="D459" s="74"/>
      <c r="E459" s="74"/>
      <c r="F459" s="75"/>
      <c r="G459" s="75"/>
      <c r="H459" s="75"/>
      <c r="I459" s="75"/>
      <c r="J459" s="75"/>
      <c r="K459" s="75"/>
      <c r="L459" s="75"/>
      <c r="M459" s="75"/>
      <c r="N459" s="75"/>
      <c r="O459" s="75"/>
      <c r="P459" s="3"/>
      <c r="Q459" s="3"/>
      <c r="R459" s="3"/>
      <c r="S459" s="3"/>
      <c r="T459" s="3"/>
      <c r="U459" s="3"/>
      <c r="V459" s="3"/>
      <c r="W459" s="3"/>
      <c r="X459" s="3"/>
      <c r="Y459" s="3"/>
      <c r="Z459" s="3"/>
    </row>
    <row r="460" spans="1:26" ht="12.75" x14ac:dyDescent="0.2">
      <c r="A460" s="3"/>
      <c r="B460" s="33"/>
      <c r="C460" s="27" t="s">
        <v>282</v>
      </c>
      <c r="D460" s="33"/>
      <c r="E460" s="302">
        <v>1.2</v>
      </c>
      <c r="F460" s="39">
        <f>$E460*F357</f>
        <v>0</v>
      </c>
      <c r="G460" s="39">
        <f>$E460*G357</f>
        <v>40.046851800000006</v>
      </c>
      <c r="H460" s="39">
        <f>$E460*H357</f>
        <v>35.847190620000006</v>
      </c>
      <c r="I460" s="39">
        <f>$E460*I357</f>
        <v>32.067495558000005</v>
      </c>
      <c r="J460" s="39">
        <f>$E460*J357</f>
        <v>0</v>
      </c>
      <c r="K460" s="39">
        <f>$E460*K357</f>
        <v>40.046851800000006</v>
      </c>
      <c r="L460" s="39">
        <f>$E460*L357</f>
        <v>35.847190620000006</v>
      </c>
      <c r="M460" s="39">
        <f>$E460*M357</f>
        <v>32.067495558000012</v>
      </c>
      <c r="N460" s="39">
        <f>$E460*N357</f>
        <v>0</v>
      </c>
      <c r="O460" s="39">
        <f>$E460*O357</f>
        <v>40.046851799999999</v>
      </c>
      <c r="P460" s="3"/>
      <c r="Q460" s="3"/>
      <c r="R460" s="3"/>
      <c r="S460" s="3"/>
      <c r="T460" s="3"/>
      <c r="U460" s="3"/>
      <c r="V460" s="3"/>
      <c r="W460" s="3"/>
      <c r="X460" s="3"/>
      <c r="Y460" s="3"/>
      <c r="Z460" s="3"/>
    </row>
    <row r="461" spans="1:26" ht="12.75" x14ac:dyDescent="0.2">
      <c r="A461" s="3"/>
      <c r="B461" s="33"/>
      <c r="C461" s="27" t="s">
        <v>284</v>
      </c>
      <c r="D461" s="33"/>
      <c r="E461" s="302">
        <v>1</v>
      </c>
      <c r="F461" s="39">
        <f>$E461*F358</f>
        <v>0</v>
      </c>
      <c r="G461" s="39">
        <f>$E461*G358</f>
        <v>4.3251065000000004</v>
      </c>
      <c r="H461" s="39">
        <f>$E461*H358</f>
        <v>3.8925958500000006</v>
      </c>
      <c r="I461" s="39">
        <f>$E461*I358</f>
        <v>3.5033362650000011</v>
      </c>
      <c r="J461" s="39">
        <f>$E461*J358</f>
        <v>0</v>
      </c>
      <c r="K461" s="39">
        <f>$E461*K358</f>
        <v>4.3251065000000013</v>
      </c>
      <c r="L461" s="39">
        <f>$E461*L358</f>
        <v>3.8925958500000011</v>
      </c>
      <c r="M461" s="39">
        <f>$E461*M358</f>
        <v>3.5033362650000015</v>
      </c>
      <c r="N461" s="39">
        <f>$E461*N358</f>
        <v>0</v>
      </c>
      <c r="O461" s="39">
        <f>$E461*O358</f>
        <v>4.3251065000000004</v>
      </c>
      <c r="P461" s="3"/>
      <c r="Q461" s="3"/>
      <c r="R461" s="3"/>
      <c r="S461" s="3"/>
      <c r="T461" s="3"/>
      <c r="U461" s="3"/>
      <c r="V461" s="3"/>
      <c r="W461" s="3"/>
      <c r="X461" s="3"/>
      <c r="Y461" s="3"/>
      <c r="Z461" s="3"/>
    </row>
    <row r="462" spans="1:26" ht="12.75" x14ac:dyDescent="0.2">
      <c r="A462" s="3"/>
      <c r="B462" s="43"/>
      <c r="C462" s="68" t="s">
        <v>289</v>
      </c>
      <c r="D462" s="36"/>
      <c r="E462" s="36"/>
      <c r="F462" s="40">
        <f>SUM(F460:F461)</f>
        <v>0</v>
      </c>
      <c r="G462" s="40">
        <f t="shared" ref="G462:O462" si="127">SUM(G460:G461)</f>
        <v>44.371958300000003</v>
      </c>
      <c r="H462" s="40">
        <f t="shared" si="127"/>
        <v>39.739786470000006</v>
      </c>
      <c r="I462" s="40">
        <f t="shared" si="127"/>
        <v>35.570831823000006</v>
      </c>
      <c r="J462" s="40">
        <f t="shared" si="127"/>
        <v>0</v>
      </c>
      <c r="K462" s="40">
        <f t="shared" si="127"/>
        <v>44.37195830000001</v>
      </c>
      <c r="L462" s="40">
        <f t="shared" si="127"/>
        <v>39.739786470000006</v>
      </c>
      <c r="M462" s="40">
        <f t="shared" si="127"/>
        <v>35.570831823000013</v>
      </c>
      <c r="N462" s="40">
        <f t="shared" si="127"/>
        <v>0</v>
      </c>
      <c r="O462" s="40">
        <f t="shared" si="127"/>
        <v>44.371958300000003</v>
      </c>
      <c r="P462" s="3"/>
      <c r="Q462" s="3"/>
      <c r="R462" s="3"/>
      <c r="S462" s="3"/>
      <c r="T462" s="3"/>
      <c r="U462" s="3"/>
      <c r="V462" s="3"/>
      <c r="W462" s="3"/>
      <c r="X462" s="3"/>
      <c r="Y462" s="3"/>
      <c r="Z462" s="3"/>
    </row>
    <row r="463" spans="1:26" ht="12.75" x14ac:dyDescent="0.2">
      <c r="A463" s="3"/>
      <c r="B463" s="43"/>
      <c r="C463" s="43"/>
      <c r="D463" s="43"/>
      <c r="E463" s="43"/>
      <c r="F463" s="101"/>
      <c r="G463" s="43"/>
      <c r="H463" s="43"/>
      <c r="I463" s="43"/>
      <c r="J463" s="43"/>
      <c r="K463" s="43"/>
      <c r="L463" s="43"/>
      <c r="M463" s="43"/>
      <c r="N463" s="43"/>
      <c r="O463" s="43"/>
      <c r="P463" s="3"/>
      <c r="Q463" s="3"/>
      <c r="R463" s="3"/>
      <c r="S463" s="3"/>
      <c r="T463" s="3"/>
      <c r="U463" s="3"/>
      <c r="V463" s="3"/>
      <c r="W463" s="3"/>
      <c r="X463" s="3"/>
      <c r="Y463" s="3"/>
      <c r="Z463" s="3"/>
    </row>
    <row r="464" spans="1:26" ht="12.75" x14ac:dyDescent="0.2">
      <c r="A464" s="3"/>
      <c r="B464" s="43"/>
      <c r="C464" s="70" t="s">
        <v>669</v>
      </c>
      <c r="D464" s="70"/>
      <c r="E464" s="70"/>
      <c r="F464" s="71">
        <f t="shared" ref="F464:O464" si="128">F444+F449+F457+F462</f>
        <v>105.21818417552153</v>
      </c>
      <c r="G464" s="71">
        <f t="shared" si="128"/>
        <v>159.43734247552152</v>
      </c>
      <c r="H464" s="71">
        <f t="shared" si="128"/>
        <v>154.80517064552154</v>
      </c>
      <c r="I464" s="71">
        <f t="shared" si="128"/>
        <v>134.78961599852153</v>
      </c>
      <c r="J464" s="71">
        <f t="shared" si="128"/>
        <v>89.74318417552152</v>
      </c>
      <c r="K464" s="71">
        <f t="shared" si="128"/>
        <v>143.96234247552152</v>
      </c>
      <c r="L464" s="71">
        <f t="shared" si="128"/>
        <v>139.33017064552152</v>
      </c>
      <c r="M464" s="71">
        <f t="shared" si="128"/>
        <v>119.31461599852153</v>
      </c>
      <c r="N464" s="71">
        <f t="shared" si="128"/>
        <v>89.74318417552152</v>
      </c>
      <c r="O464" s="71">
        <f t="shared" si="128"/>
        <v>143.96234247552155</v>
      </c>
      <c r="P464" s="3"/>
      <c r="Q464" s="3"/>
      <c r="R464" s="3"/>
      <c r="S464" s="3"/>
      <c r="T464" s="3"/>
      <c r="U464" s="3"/>
      <c r="V464" s="3"/>
      <c r="W464" s="3"/>
      <c r="X464" s="3"/>
      <c r="Y464" s="3"/>
      <c r="Z464" s="3"/>
    </row>
    <row r="465" spans="1:26" ht="12.75" x14ac:dyDescent="0.2">
      <c r="A465" s="3"/>
      <c r="B465" s="43"/>
      <c r="C465" s="43"/>
      <c r="D465" s="43"/>
      <c r="E465" s="43"/>
      <c r="F465" s="43"/>
      <c r="G465" s="43"/>
      <c r="H465" s="43"/>
      <c r="I465" s="43"/>
      <c r="J465" s="43"/>
      <c r="K465" s="43"/>
      <c r="L465" s="43"/>
      <c r="M465" s="43"/>
      <c r="N465" s="43"/>
      <c r="O465" s="43"/>
      <c r="P465" s="3"/>
      <c r="Q465" s="3"/>
      <c r="R465" s="3"/>
      <c r="S465" s="3"/>
      <c r="T465" s="3"/>
      <c r="U465" s="3"/>
      <c r="V465" s="3"/>
      <c r="W465" s="3"/>
      <c r="X465" s="3"/>
      <c r="Y465" s="3"/>
      <c r="Z465" s="3"/>
    </row>
    <row r="466" spans="1:26" ht="12.75" x14ac:dyDescent="0.2">
      <c r="A466" s="3"/>
      <c r="C466" s="72" t="s">
        <v>668</v>
      </c>
      <c r="D466" s="70"/>
      <c r="E466" s="70"/>
      <c r="F466" s="73">
        <f t="shared" ref="F466:O466" si="129">F433-F464</f>
        <v>-17.587836000510109</v>
      </c>
      <c r="G466" s="73">
        <f t="shared" si="129"/>
        <v>49.487967524478563</v>
      </c>
      <c r="H466" s="73">
        <f t="shared" si="129"/>
        <v>33.227608354478491</v>
      </c>
      <c r="I466" s="73">
        <f t="shared" si="129"/>
        <v>34.439885101478524</v>
      </c>
      <c r="J466" s="73">
        <f t="shared" si="129"/>
        <v>-2.1128360005101001</v>
      </c>
      <c r="K466" s="73">
        <f t="shared" si="129"/>
        <v>64.962967524478557</v>
      </c>
      <c r="L466" s="73">
        <f t="shared" si="129"/>
        <v>48.702608354478514</v>
      </c>
      <c r="M466" s="73">
        <f t="shared" si="129"/>
        <v>49.914885101478518</v>
      </c>
      <c r="N466" s="73">
        <f t="shared" si="129"/>
        <v>-2.1128360005101001</v>
      </c>
      <c r="O466" s="73">
        <f t="shared" si="129"/>
        <v>64.962967524478529</v>
      </c>
      <c r="P466" s="3"/>
      <c r="Q466" s="3"/>
      <c r="R466" s="3"/>
      <c r="S466" s="3"/>
      <c r="T466" s="3"/>
      <c r="U466" s="3"/>
      <c r="V466" s="3"/>
      <c r="W466" s="3"/>
      <c r="X466" s="3"/>
      <c r="Y466" s="3"/>
      <c r="Z466" s="3"/>
    </row>
    <row r="467" spans="1:26" ht="12.75"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x14ac:dyDescent="0.2">
      <c r="A468" s="392" t="s">
        <v>769</v>
      </c>
      <c r="B468" s="2"/>
      <c r="C468" s="2"/>
      <c r="D468" s="6" t="s">
        <v>174</v>
      </c>
      <c r="E468" s="21"/>
      <c r="F468" s="51">
        <v>0</v>
      </c>
      <c r="G468" s="51">
        <v>1</v>
      </c>
      <c r="H468" s="51">
        <v>2</v>
      </c>
      <c r="I468" s="51">
        <v>3</v>
      </c>
      <c r="J468" s="51">
        <v>4</v>
      </c>
      <c r="K468" s="51">
        <v>5</v>
      </c>
      <c r="L468" s="51">
        <v>6</v>
      </c>
      <c r="M468" s="51">
        <v>7</v>
      </c>
      <c r="N468" s="51">
        <v>8</v>
      </c>
      <c r="O468" s="51">
        <v>9</v>
      </c>
      <c r="P468" s="2"/>
      <c r="Q468" s="2"/>
      <c r="R468" s="2"/>
      <c r="S468" s="2"/>
      <c r="T468" s="2"/>
      <c r="U468" s="2"/>
      <c r="V468" s="2"/>
      <c r="W468" s="2"/>
      <c r="X468" s="2"/>
      <c r="Y468" s="2"/>
      <c r="Z468" s="2"/>
    </row>
    <row r="469" spans="1:26" ht="12.75" x14ac:dyDescent="0.2">
      <c r="A469" s="3"/>
      <c r="B469" s="65" t="s">
        <v>349</v>
      </c>
      <c r="C469" s="43"/>
      <c r="D469" s="43"/>
      <c r="E469" s="43"/>
      <c r="F469" s="43"/>
      <c r="G469" s="43"/>
      <c r="H469" s="43"/>
      <c r="I469" s="43"/>
      <c r="J469" s="43"/>
      <c r="K469" s="43"/>
      <c r="L469" s="43"/>
      <c r="M469" s="43"/>
      <c r="N469" s="43"/>
      <c r="O469" s="43"/>
      <c r="P469" s="3"/>
      <c r="Q469" s="3"/>
      <c r="R469" s="3"/>
      <c r="S469" s="3"/>
      <c r="T469" s="3"/>
      <c r="U469" s="3"/>
      <c r="V469" s="3"/>
      <c r="W469" s="3"/>
      <c r="X469" s="3"/>
      <c r="Y469" s="3"/>
      <c r="Z469" s="3"/>
    </row>
    <row r="470" spans="1:26" ht="12.75" x14ac:dyDescent="0.2">
      <c r="A470" s="3"/>
      <c r="B470" s="43"/>
      <c r="C470" s="46" t="s">
        <v>672</v>
      </c>
      <c r="D470" s="43"/>
      <c r="E470" s="43"/>
      <c r="F470" s="39">
        <f t="shared" ref="F470:O470" si="130">F433-F387</f>
        <v>-9.2901898249886017</v>
      </c>
      <c r="G470" s="39">
        <f t="shared" si="130"/>
        <v>111.03556662000007</v>
      </c>
      <c r="H470" s="39">
        <f t="shared" si="130"/>
        <v>89.16413818620002</v>
      </c>
      <c r="I470" s="39">
        <f t="shared" si="130"/>
        <v>69.372173878062043</v>
      </c>
      <c r="J470" s="39">
        <f t="shared" si="130"/>
        <v>-13.225552319145947</v>
      </c>
      <c r="K470" s="39">
        <f t="shared" si="130"/>
        <v>107.06085050090113</v>
      </c>
      <c r="L470" s="39">
        <f t="shared" si="130"/>
        <v>85.149674905910089</v>
      </c>
      <c r="M470" s="39">
        <f t="shared" si="130"/>
        <v>65.317565964969219</v>
      </c>
      <c r="N470" s="39">
        <f t="shared" si="130"/>
        <v>-17.320706311369747</v>
      </c>
      <c r="O470" s="39">
        <f t="shared" si="130"/>
        <v>102.92474496875511</v>
      </c>
      <c r="P470" s="3"/>
      <c r="Q470" s="3"/>
      <c r="R470" s="3"/>
      <c r="S470" s="3"/>
      <c r="T470" s="3"/>
      <c r="U470" s="3"/>
      <c r="V470" s="3"/>
      <c r="W470" s="3"/>
      <c r="X470" s="3"/>
      <c r="Y470" s="3"/>
      <c r="Z470" s="3"/>
    </row>
    <row r="471" spans="1:26" ht="12.75" x14ac:dyDescent="0.2">
      <c r="A471" s="3"/>
      <c r="B471" s="43"/>
      <c r="C471" s="46" t="s">
        <v>673</v>
      </c>
      <c r="D471" s="43"/>
      <c r="E471" s="43"/>
      <c r="F471" s="39">
        <f t="shared" ref="F471:O471" si="131">F464-F418</f>
        <v>24.628447435521522</v>
      </c>
      <c r="G471" s="39">
        <f t="shared" si="131"/>
        <v>78.632719092121505</v>
      </c>
      <c r="H471" s="39">
        <f t="shared" si="131"/>
        <v>73.783511752287538</v>
      </c>
      <c r="I471" s="39">
        <f t="shared" si="131"/>
        <v>53.548751240355173</v>
      </c>
      <c r="J471" s="39">
        <f t="shared" si="131"/>
        <v>8.2809214937735192</v>
      </c>
      <c r="K471" s="39">
        <f t="shared" si="131"/>
        <v>62.276467890956042</v>
      </c>
      <c r="L471" s="39">
        <f t="shared" si="131"/>
        <v>57.418448039110373</v>
      </c>
      <c r="M471" s="39">
        <f t="shared" si="131"/>
        <v>37.174786890046278</v>
      </c>
      <c r="N471" s="39">
        <f t="shared" si="131"/>
        <v>7.3729674999615042</v>
      </c>
      <c r="O471" s="39">
        <f t="shared" si="131"/>
        <v>61.359434357205942</v>
      </c>
      <c r="P471" s="3"/>
      <c r="Q471" s="3"/>
      <c r="R471" s="3"/>
      <c r="S471" s="3"/>
      <c r="T471" s="3"/>
      <c r="U471" s="3"/>
      <c r="V471" s="3"/>
      <c r="W471" s="3"/>
      <c r="X471" s="3"/>
      <c r="Y471" s="3"/>
      <c r="Z471" s="3"/>
    </row>
    <row r="472" spans="1:26" ht="12.75" x14ac:dyDescent="0.2">
      <c r="A472" s="3"/>
      <c r="B472" s="43"/>
      <c r="C472" s="46" t="s">
        <v>674</v>
      </c>
      <c r="D472" s="43"/>
      <c r="E472" s="43"/>
      <c r="F472" s="39">
        <f>F470-F471</f>
        <v>-33.918637260510124</v>
      </c>
      <c r="G472" s="39">
        <f t="shared" ref="G472:O472" si="132">G470-G471</f>
        <v>32.402847527878563</v>
      </c>
      <c r="H472" s="39">
        <f t="shared" si="132"/>
        <v>15.380626433912482</v>
      </c>
      <c r="I472" s="39">
        <f t="shared" si="132"/>
        <v>15.823422637706869</v>
      </c>
      <c r="J472" s="39">
        <f t="shared" si="132"/>
        <v>-21.506473812919467</v>
      </c>
      <c r="K472" s="39">
        <f t="shared" si="132"/>
        <v>44.784382609945084</v>
      </c>
      <c r="L472" s="39">
        <f t="shared" si="132"/>
        <v>27.731226866799716</v>
      </c>
      <c r="M472" s="39">
        <f t="shared" si="132"/>
        <v>28.142779074922942</v>
      </c>
      <c r="N472" s="39">
        <f t="shared" si="132"/>
        <v>-24.693673811331251</v>
      </c>
      <c r="O472" s="39">
        <f t="shared" si="132"/>
        <v>41.565310611549165</v>
      </c>
      <c r="P472" s="3"/>
      <c r="Q472" s="3"/>
      <c r="R472" s="3"/>
      <c r="S472" s="3"/>
      <c r="T472" s="3"/>
      <c r="U472" s="3"/>
      <c r="V472" s="3"/>
      <c r="W472" s="3"/>
      <c r="X472" s="3"/>
      <c r="Y472" s="3"/>
      <c r="Z472" s="3"/>
    </row>
    <row r="473" spans="1:26" ht="12.75"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x14ac:dyDescent="0.2">
      <c r="A474" s="392" t="s">
        <v>770</v>
      </c>
      <c r="B474" s="2"/>
      <c r="C474" s="2"/>
      <c r="D474" s="6" t="s">
        <v>174</v>
      </c>
      <c r="E474" s="21"/>
      <c r="F474" s="51">
        <v>0</v>
      </c>
      <c r="G474" s="51">
        <v>1</v>
      </c>
      <c r="H474" s="51">
        <v>2</v>
      </c>
      <c r="I474" s="51">
        <v>3</v>
      </c>
      <c r="J474" s="51">
        <v>4</v>
      </c>
      <c r="K474" s="51">
        <v>5</v>
      </c>
      <c r="L474" s="51">
        <v>6</v>
      </c>
      <c r="M474" s="51">
        <v>7</v>
      </c>
      <c r="N474" s="51">
        <v>8</v>
      </c>
      <c r="O474" s="51">
        <v>9</v>
      </c>
      <c r="P474" s="51">
        <v>10</v>
      </c>
      <c r="Q474" s="51">
        <v>11</v>
      </c>
      <c r="R474" s="51">
        <v>12</v>
      </c>
      <c r="S474" s="51">
        <v>13</v>
      </c>
      <c r="T474" s="2"/>
      <c r="U474" s="2"/>
      <c r="V474" s="2"/>
      <c r="W474" s="2"/>
      <c r="X474" s="2"/>
      <c r="Y474" s="2"/>
      <c r="Z474" s="2"/>
    </row>
    <row r="475" spans="1:26" ht="12.75" x14ac:dyDescent="0.2">
      <c r="A475" s="3"/>
      <c r="B475" s="65" t="s">
        <v>350</v>
      </c>
      <c r="C475" s="43"/>
      <c r="D475" s="43"/>
      <c r="E475" s="43"/>
      <c r="F475" s="43"/>
      <c r="G475" s="43"/>
      <c r="H475" s="43"/>
      <c r="I475" s="43"/>
      <c r="J475" s="43"/>
      <c r="K475" s="3"/>
      <c r="L475" s="3"/>
      <c r="M475" s="3"/>
      <c r="N475" s="3"/>
      <c r="O475" s="3"/>
      <c r="P475" s="3"/>
      <c r="Q475" s="3"/>
      <c r="R475" s="3"/>
      <c r="S475" s="3"/>
      <c r="T475" s="3"/>
      <c r="U475" s="3"/>
      <c r="V475" s="3"/>
      <c r="W475" s="3"/>
      <c r="X475" s="3"/>
      <c r="Y475" s="3"/>
      <c r="Z475" s="3"/>
    </row>
    <row r="476" spans="1:26" ht="12.75" x14ac:dyDescent="0.2">
      <c r="A476" s="3"/>
      <c r="B476" s="43"/>
      <c r="C476" s="46" t="s">
        <v>260</v>
      </c>
      <c r="D476" s="43"/>
      <c r="E476" s="43"/>
      <c r="F476" s="43">
        <f>I96*(1+$I$108)</f>
        <v>0</v>
      </c>
      <c r="G476" s="78">
        <f>I97*(1+$I$108)</f>
        <v>5500</v>
      </c>
      <c r="H476" s="78">
        <f>I98*(1+$I$108)</f>
        <v>7500</v>
      </c>
      <c r="I476" s="78">
        <f>I99*(1+$I$108)</f>
        <v>10000</v>
      </c>
      <c r="J476" s="78">
        <f>I100*(1+$I$108)</f>
        <v>12000</v>
      </c>
      <c r="K476" s="3"/>
      <c r="L476" s="3"/>
      <c r="M476" s="3"/>
      <c r="N476" s="3"/>
      <c r="O476" s="3"/>
      <c r="P476" s="3"/>
      <c r="Q476" s="3"/>
      <c r="R476" s="3"/>
      <c r="S476" s="3"/>
      <c r="T476" s="3"/>
      <c r="U476" s="3"/>
      <c r="V476" s="3"/>
      <c r="W476" s="3"/>
      <c r="X476" s="3"/>
      <c r="Y476" s="3"/>
      <c r="Z476" s="3"/>
    </row>
    <row r="477" spans="1:26" ht="12.75" x14ac:dyDescent="0.2">
      <c r="A477" s="3"/>
      <c r="B477" s="43"/>
      <c r="C477" s="46" t="s">
        <v>258</v>
      </c>
      <c r="D477" s="43"/>
      <c r="E477" s="43"/>
      <c r="F477" s="79">
        <f>$I$101</f>
        <v>0.9</v>
      </c>
      <c r="G477" s="79">
        <f t="shared" ref="G477:S477" si="133">$I$101</f>
        <v>0.9</v>
      </c>
      <c r="H477" s="79">
        <f t="shared" si="133"/>
        <v>0.9</v>
      </c>
      <c r="I477" s="79">
        <f t="shared" si="133"/>
        <v>0.9</v>
      </c>
      <c r="J477" s="79">
        <f t="shared" si="133"/>
        <v>0.9</v>
      </c>
      <c r="K477" s="79">
        <f t="shared" si="133"/>
        <v>0.9</v>
      </c>
      <c r="L477" s="79">
        <f t="shared" si="133"/>
        <v>0.9</v>
      </c>
      <c r="M477" s="79">
        <f t="shared" si="133"/>
        <v>0.9</v>
      </c>
      <c r="N477" s="79">
        <f t="shared" si="133"/>
        <v>0.9</v>
      </c>
      <c r="O477" s="79">
        <f t="shared" si="133"/>
        <v>0.9</v>
      </c>
      <c r="P477" s="79">
        <f t="shared" si="133"/>
        <v>0.9</v>
      </c>
      <c r="Q477" s="79">
        <f t="shared" si="133"/>
        <v>0.9</v>
      </c>
      <c r="R477" s="79">
        <f t="shared" si="133"/>
        <v>0.9</v>
      </c>
      <c r="S477" s="79">
        <f t="shared" si="133"/>
        <v>0.9</v>
      </c>
      <c r="T477" s="3"/>
      <c r="U477" s="3"/>
      <c r="V477" s="3"/>
      <c r="W477" s="3"/>
      <c r="X477" s="3"/>
      <c r="Y477" s="3"/>
      <c r="Z477" s="3"/>
    </row>
    <row r="478" spans="1:26" ht="12.75" x14ac:dyDescent="0.2">
      <c r="A478" s="3"/>
      <c r="B478" s="43"/>
      <c r="C478" s="46" t="s">
        <v>259</v>
      </c>
      <c r="D478" s="43"/>
      <c r="E478" s="43"/>
      <c r="F478" s="80">
        <f>IF(F$474&lt;$I$103,0,$I$102)</f>
        <v>0</v>
      </c>
      <c r="G478" s="80">
        <f>IF(G$474&lt;$I$103,0,$I$102)</f>
        <v>0</v>
      </c>
      <c r="H478" s="80">
        <f>IF(H$474&lt;$I$103,0,$I$102)</f>
        <v>0</v>
      </c>
      <c r="I478" s="80">
        <f>IF(I$474&lt;$I$103,0,$I$102)</f>
        <v>0</v>
      </c>
      <c r="J478" s="80">
        <f>IF(J$474&lt;$I$103,0,$I$102)</f>
        <v>0</v>
      </c>
      <c r="K478" s="80">
        <f>IF(K$474&lt;$I$103,0,$I$102)</f>
        <v>0.2</v>
      </c>
      <c r="L478" s="80">
        <f>IF(L$474&lt;$I$103,0,$I$102)</f>
        <v>0.2</v>
      </c>
      <c r="M478" s="80">
        <f>IF(M$474&lt;$I$103,0,$I$102)</f>
        <v>0.2</v>
      </c>
      <c r="N478" s="80">
        <f>IF(N$474&lt;$I$103,0,$I$102)</f>
        <v>0.2</v>
      </c>
      <c r="O478" s="80">
        <f>IF(O$474&lt;$I$103,0,$I$102)</f>
        <v>0.2</v>
      </c>
      <c r="P478" s="80">
        <f>IF(P$474&lt;$I$103,0,$I$102)</f>
        <v>0.2</v>
      </c>
      <c r="Q478" s="80">
        <f>IF(Q$474&lt;$I$103,0,$I$102)</f>
        <v>0.2</v>
      </c>
      <c r="R478" s="80">
        <f>IF(R$474&lt;$I$103,0,$I$102)</f>
        <v>0.2</v>
      </c>
      <c r="S478" s="80">
        <f>IF(S$474&lt;$I$103,0,$I$102)</f>
        <v>0.2</v>
      </c>
      <c r="T478" s="3"/>
      <c r="U478" s="3"/>
      <c r="V478" s="3"/>
      <c r="W478" s="3"/>
      <c r="X478" s="3"/>
      <c r="Y478" s="3"/>
      <c r="Z478" s="3"/>
    </row>
    <row r="479" spans="1:26" ht="12.75"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x14ac:dyDescent="0.2">
      <c r="A480" s="3"/>
      <c r="B480" s="65" t="s">
        <v>682</v>
      </c>
      <c r="C480" s="43"/>
      <c r="D480" s="43"/>
      <c r="E480" s="43"/>
      <c r="F480" s="43"/>
      <c r="G480" s="43"/>
      <c r="H480" s="43"/>
      <c r="I480" s="43"/>
      <c r="J480" s="43"/>
      <c r="K480" s="43"/>
      <c r="L480" s="43"/>
      <c r="M480" s="43"/>
      <c r="N480" s="43"/>
      <c r="O480" s="43"/>
      <c r="P480" s="43"/>
      <c r="Q480" s="43"/>
      <c r="R480" s="43"/>
      <c r="S480" s="43"/>
      <c r="T480" s="3"/>
      <c r="U480" s="3"/>
      <c r="V480" s="3"/>
      <c r="W480" s="3"/>
      <c r="X480" s="3"/>
      <c r="Y480" s="3"/>
      <c r="Z480" s="3"/>
    </row>
    <row r="481" spans="1:26" ht="12.75" x14ac:dyDescent="0.2">
      <c r="A481" s="3"/>
      <c r="C481" s="65" t="s">
        <v>681</v>
      </c>
      <c r="D481" s="43"/>
      <c r="E481" s="43"/>
      <c r="F481" s="43"/>
      <c r="G481" s="43"/>
      <c r="H481" s="43"/>
      <c r="I481" s="43"/>
      <c r="J481" s="43"/>
      <c r="K481" s="43"/>
      <c r="L481" s="43"/>
      <c r="M481" s="43"/>
      <c r="N481" s="43"/>
      <c r="O481" s="43"/>
      <c r="P481" s="43"/>
      <c r="Q481" s="43"/>
      <c r="R481" s="43"/>
      <c r="S481" s="43"/>
      <c r="T481" s="3"/>
      <c r="U481" s="3"/>
      <c r="V481" s="3"/>
      <c r="W481" s="3"/>
      <c r="X481" s="3"/>
      <c r="Y481" s="3"/>
      <c r="Z481" s="3"/>
    </row>
    <row r="482" spans="1:26" ht="12.75" x14ac:dyDescent="0.2">
      <c r="A482" s="3"/>
      <c r="B482" s="43"/>
      <c r="C482" s="46" t="s">
        <v>252</v>
      </c>
      <c r="D482" s="43"/>
      <c r="E482" s="43"/>
      <c r="F482" s="81">
        <f>F$472*(F477*$F$476)*(1-F$478)</f>
        <v>0</v>
      </c>
      <c r="G482" s="81">
        <f>G$472*(G477*$F$476)*(1-G$478)</f>
        <v>0</v>
      </c>
      <c r="H482" s="81">
        <f>H$472*(H477*$F$476)*(1-H$478)</f>
        <v>0</v>
      </c>
      <c r="I482" s="81">
        <f>I$472*(I477*$F$476)*(1-I$478)</f>
        <v>0</v>
      </c>
      <c r="J482" s="81">
        <f>J$472*(J477*$F$476)*(1-J$478)</f>
        <v>0</v>
      </c>
      <c r="K482" s="81">
        <f>K$472*(K477*$F$476)*(1-K$478)</f>
        <v>0</v>
      </c>
      <c r="L482" s="81">
        <f>L$472*(L477*$F$476)*(1-L$478)</f>
        <v>0</v>
      </c>
      <c r="M482" s="81">
        <f>M$472*(M477*$F$476)*(1-M$478)</f>
        <v>0</v>
      </c>
      <c r="N482" s="81">
        <f>N$472*(N477*$F$476)*(1-N$478)</f>
        <v>0</v>
      </c>
      <c r="O482" s="81">
        <f>O$472*(O477*$F$476)*(1-O$478)</f>
        <v>0</v>
      </c>
      <c r="P482" s="81">
        <f>P$472*(P477*$F$476)*(1-P$478)</f>
        <v>0</v>
      </c>
      <c r="Q482" s="81">
        <f>Q$472*(Q477*$F$476)*(1-Q$478)</f>
        <v>0</v>
      </c>
      <c r="R482" s="81">
        <f>R$472*(R477*$F$476)*(1-R$478)</f>
        <v>0</v>
      </c>
      <c r="S482" s="81">
        <f>S$472*(S477*$F$476)*(1-S$478)</f>
        <v>0</v>
      </c>
      <c r="T482" s="3"/>
      <c r="U482" s="3"/>
      <c r="V482" s="3"/>
      <c r="W482" s="3"/>
      <c r="X482" s="3"/>
      <c r="Y482" s="3"/>
      <c r="Z482" s="3"/>
    </row>
    <row r="483" spans="1:26" ht="12.75" x14ac:dyDescent="0.2">
      <c r="A483" s="3"/>
      <c r="B483" s="43"/>
      <c r="C483" s="46" t="s">
        <v>253</v>
      </c>
      <c r="D483" s="43"/>
      <c r="E483" s="43"/>
      <c r="F483" s="81"/>
      <c r="G483" s="81">
        <f>F$472*(F477*$G$476)*(1-F$478)</f>
        <v>-167897.2544395251</v>
      </c>
      <c r="H483" s="81">
        <f>G$472*(G477*$G$476)*(1-G$478)</f>
        <v>160394.09526299889</v>
      </c>
      <c r="I483" s="81">
        <f>H$472*(H477*$G$476)*(1-H$478)</f>
        <v>76134.100847866794</v>
      </c>
      <c r="J483" s="81">
        <f>I$472*(I477*$G$476)*(1-I$478)</f>
        <v>78325.942056649001</v>
      </c>
      <c r="K483" s="81">
        <f>J$472*(J477*$G$476)*(1-J$478)</f>
        <v>-106457.04537395136</v>
      </c>
      <c r="L483" s="81">
        <f>K$472*(K477*$G$476)*(1-K$478)</f>
        <v>177346.15513538255</v>
      </c>
      <c r="M483" s="81">
        <f>L$472*(L477*$G$476)*(1-L$478)</f>
        <v>109815.65839252689</v>
      </c>
      <c r="N483" s="81">
        <f>M$472*(M477*$G$476)*(1-M$478)</f>
        <v>111445.40513669486</v>
      </c>
      <c r="O483" s="81">
        <f>N$472*(N477*$G$476)*(1-N$478)</f>
        <v>-97786.948292871763</v>
      </c>
      <c r="P483" s="81">
        <f>O$472*(O477*$G$476)*(1-O$478)</f>
        <v>164598.63002173472</v>
      </c>
      <c r="Q483" s="81">
        <f>P$472*(P477*$G$476)*(1-P$478)</f>
        <v>0</v>
      </c>
      <c r="R483" s="81">
        <f>Q$472*(Q477*$G$476)*(1-Q$478)</f>
        <v>0</v>
      </c>
      <c r="S483" s="81">
        <f>R$472*(R477*$G$476)*(1-R$478)</f>
        <v>0</v>
      </c>
      <c r="T483" s="3"/>
      <c r="U483" s="3"/>
      <c r="V483" s="3"/>
      <c r="W483" s="3"/>
      <c r="X483" s="3"/>
      <c r="Y483" s="3"/>
      <c r="Z483" s="3"/>
    </row>
    <row r="484" spans="1:26" ht="12.75" x14ac:dyDescent="0.2">
      <c r="A484" s="3"/>
      <c r="B484" s="43"/>
      <c r="C484" s="46" t="s">
        <v>254</v>
      </c>
      <c r="D484" s="43"/>
      <c r="E484" s="43"/>
      <c r="F484" s="81"/>
      <c r="G484" s="81"/>
      <c r="H484" s="81">
        <f>F$472*(F477*$H$476)*(1-F$478)</f>
        <v>-228950.80150844334</v>
      </c>
      <c r="I484" s="81">
        <f>G$472*(G477*$H$476)*(1-G$478)</f>
        <v>218719.22081318029</v>
      </c>
      <c r="J484" s="81">
        <f>H$472*(H477*$H$476)*(1-H$478)</f>
        <v>103819.22842890925</v>
      </c>
      <c r="K484" s="81">
        <f>I$472*(I477*$H$476)*(1-I$478)</f>
        <v>106808.10280452138</v>
      </c>
      <c r="L484" s="81">
        <f>J$472*(J477*$H$476)*(1-J$478)</f>
        <v>-145168.69823720641</v>
      </c>
      <c r="M484" s="81">
        <f>K$472*(K477*$H$476)*(1-K$478)</f>
        <v>241835.66609370348</v>
      </c>
      <c r="N484" s="81">
        <f>L$472*(L477*$H$476)*(1-L$478)</f>
        <v>149748.62508071848</v>
      </c>
      <c r="O484" s="81">
        <f>M$472*(M477*$H$476)*(1-M$478)</f>
        <v>151971.00700458389</v>
      </c>
      <c r="P484" s="81">
        <f>N$472*(N477*$H$476)*(1-N$478)</f>
        <v>-133345.83858118879</v>
      </c>
      <c r="Q484" s="81">
        <f>O$472*(O477*$H$476)*(1-O$478)</f>
        <v>224452.67730236548</v>
      </c>
      <c r="R484" s="81">
        <f>P$472*(P477*$H$476)*(1-P$478)</f>
        <v>0</v>
      </c>
      <c r="S484" s="81">
        <f>Q$472*(Q477*$H$476)*(1-Q$478)</f>
        <v>0</v>
      </c>
      <c r="T484" s="3"/>
      <c r="U484" s="3"/>
      <c r="V484" s="3"/>
      <c r="W484" s="3"/>
      <c r="X484" s="3"/>
      <c r="Y484" s="3"/>
      <c r="Z484" s="3"/>
    </row>
    <row r="485" spans="1:26" ht="12.75" x14ac:dyDescent="0.2">
      <c r="A485" s="3"/>
      <c r="B485" s="43"/>
      <c r="C485" s="46" t="s">
        <v>255</v>
      </c>
      <c r="D485" s="43"/>
      <c r="E485" s="43"/>
      <c r="F485" s="81"/>
      <c r="G485" s="81"/>
      <c r="H485" s="81"/>
      <c r="I485" s="81">
        <f>F$472*(F477*$I$476)*(1-F$478)</f>
        <v>-305267.73534459114</v>
      </c>
      <c r="J485" s="81">
        <f>G$472*(G477*$I$476)*(1-G$478)</f>
        <v>291625.62775090709</v>
      </c>
      <c r="K485" s="81">
        <f>H$472*(H477*$I$476)*(1-H$478)</f>
        <v>138425.63790521235</v>
      </c>
      <c r="L485" s="81">
        <f>I$472*(I477*$I$476)*(1-I$478)</f>
        <v>142410.80373936181</v>
      </c>
      <c r="M485" s="81">
        <f>J$472*(J477*$I$476)*(1-J$478)</f>
        <v>-193558.26431627519</v>
      </c>
      <c r="N485" s="81">
        <f>K$472*(K477*$I$476)*(1-K$478)</f>
        <v>322447.55479160463</v>
      </c>
      <c r="O485" s="81">
        <f>L$472*(L477*$I$476)*(1-L$478)</f>
        <v>199664.83344095797</v>
      </c>
      <c r="P485" s="81">
        <f>M$472*(M477*$I$476)*(1-M$478)</f>
        <v>202628.00933944518</v>
      </c>
      <c r="Q485" s="81">
        <f>N$472*(N477*$I$476)*(1-N$478)</f>
        <v>-177794.45144158503</v>
      </c>
      <c r="R485" s="81">
        <f>O$472*(O477*$I$476)*(1-O$478)</f>
        <v>299270.23640315398</v>
      </c>
      <c r="S485" s="81">
        <f>P$472*(P477*$I$476)*(1-P$478)</f>
        <v>0</v>
      </c>
      <c r="T485" s="3"/>
      <c r="U485" s="3"/>
      <c r="V485" s="3"/>
      <c r="W485" s="3"/>
      <c r="X485" s="3"/>
      <c r="Y485" s="3"/>
      <c r="Z485" s="3"/>
    </row>
    <row r="486" spans="1:26" ht="12.75" x14ac:dyDescent="0.2">
      <c r="A486" s="3"/>
      <c r="B486" s="43"/>
      <c r="C486" s="46" t="s">
        <v>261</v>
      </c>
      <c r="D486" s="43"/>
      <c r="E486" s="43"/>
      <c r="F486" s="81"/>
      <c r="G486" s="81"/>
      <c r="H486" s="81"/>
      <c r="I486" s="81"/>
      <c r="J486" s="81">
        <f>F$472*(F477*$J$476)*(1-F$478)</f>
        <v>-366321.28241350933</v>
      </c>
      <c r="K486" s="81">
        <f>G$472*(G477*$J$476)*(1-G$478)</f>
        <v>349950.75330108847</v>
      </c>
      <c r="L486" s="81">
        <f>H$472*(H477*$J$476)*(1-H$478)</f>
        <v>166110.76548625482</v>
      </c>
      <c r="M486" s="81">
        <f>I$472*(I477*$J$476)*(1-I$478)</f>
        <v>170892.96448723419</v>
      </c>
      <c r="N486" s="81">
        <f>J$472*(J477*$J$476)*(1-J$478)</f>
        <v>-232269.91717953025</v>
      </c>
      <c r="O486" s="81">
        <f>K$472*(K477*$J$476)*(1-K$478)</f>
        <v>386937.06574992556</v>
      </c>
      <c r="P486" s="81">
        <f>L$472*(L477*$J$476)*(1-L$478)</f>
        <v>239597.80012914955</v>
      </c>
      <c r="Q486" s="81">
        <f>M$472*(M477*$J$476)*(1-M$478)</f>
        <v>243153.61120733424</v>
      </c>
      <c r="R486" s="81">
        <f>N$472*(N477*$J$476)*(1-N$478)</f>
        <v>-213353.34172990202</v>
      </c>
      <c r="S486" s="81">
        <f>O$472*(O477*$J$476)*(1-O$478)</f>
        <v>359124.28368378477</v>
      </c>
      <c r="T486" s="3"/>
      <c r="U486" s="3"/>
      <c r="V486" s="3"/>
      <c r="W486" s="3"/>
      <c r="X486" s="3"/>
      <c r="Y486" s="3"/>
      <c r="Z486" s="3"/>
    </row>
    <row r="487" spans="1:26" ht="12.75" x14ac:dyDescent="0.2">
      <c r="A487" s="3"/>
      <c r="B487" s="43"/>
      <c r="C487" s="68" t="s">
        <v>686</v>
      </c>
      <c r="D487" s="68"/>
      <c r="E487" s="68"/>
      <c r="F487" s="82">
        <f>SUM(F482:F486)</f>
        <v>0</v>
      </c>
      <c r="G487" s="82">
        <f t="shared" ref="G487:O487" si="134">SUM(G482:G486)</f>
        <v>-167897.2544395251</v>
      </c>
      <c r="H487" s="82">
        <f t="shared" si="134"/>
        <v>-68556.706245444453</v>
      </c>
      <c r="I487" s="82">
        <f t="shared" si="134"/>
        <v>-10414.413683544088</v>
      </c>
      <c r="J487" s="82">
        <f t="shared" si="134"/>
        <v>107449.51582295599</v>
      </c>
      <c r="K487" s="82">
        <f t="shared" si="134"/>
        <v>488727.44863687083</v>
      </c>
      <c r="L487" s="82">
        <f t="shared" si="134"/>
        <v>340699.02612379275</v>
      </c>
      <c r="M487" s="82">
        <f t="shared" si="134"/>
        <v>328986.02465718938</v>
      </c>
      <c r="N487" s="82">
        <f t="shared" si="134"/>
        <v>351371.66782948771</v>
      </c>
      <c r="O487" s="82">
        <f t="shared" si="134"/>
        <v>640785.95790259563</v>
      </c>
      <c r="P487" s="82">
        <f>SUM(P482:P486)</f>
        <v>473478.60090914066</v>
      </c>
      <c r="Q487" s="82">
        <f>SUM(Q482:Q486)</f>
        <v>289811.83706811466</v>
      </c>
      <c r="R487" s="82">
        <f>SUM(R482:R486)</f>
        <v>85916.894673251954</v>
      </c>
      <c r="S487" s="82">
        <f>SUM(S482:S486)</f>
        <v>359124.28368378477</v>
      </c>
      <c r="T487" s="3"/>
      <c r="U487" s="3"/>
      <c r="V487" s="3"/>
      <c r="W487" s="3"/>
      <c r="X487" s="3"/>
      <c r="Y487" s="3"/>
      <c r="Z487" s="3"/>
    </row>
    <row r="488" spans="1:26" ht="12.75"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x14ac:dyDescent="0.2">
      <c r="A489" s="3"/>
      <c r="B489" s="57"/>
      <c r="C489" s="65" t="s">
        <v>262</v>
      </c>
      <c r="D489" s="43"/>
      <c r="E489" s="43"/>
      <c r="F489" s="43"/>
      <c r="G489" s="43"/>
      <c r="H489" s="43"/>
      <c r="I489" s="43"/>
      <c r="J489" s="43"/>
      <c r="K489" s="43"/>
      <c r="L489" s="43"/>
      <c r="M489" s="43"/>
      <c r="N489" s="43"/>
      <c r="O489" s="43"/>
      <c r="P489" s="43"/>
      <c r="Q489" s="43"/>
      <c r="R489" s="43"/>
      <c r="S489" s="43"/>
      <c r="T489" s="3"/>
      <c r="U489" s="3"/>
      <c r="V489" s="3"/>
      <c r="W489" s="3"/>
      <c r="X489" s="3"/>
      <c r="Y489" s="3"/>
      <c r="Z489" s="3"/>
    </row>
    <row r="490" spans="1:26" ht="12.75" x14ac:dyDescent="0.2">
      <c r="A490" s="3"/>
      <c r="B490" s="43"/>
      <c r="C490" s="68" t="s">
        <v>686</v>
      </c>
      <c r="D490" s="68"/>
      <c r="E490" s="68"/>
      <c r="F490" s="82">
        <f>$I$104*(I96/SUM($I$96:$I$100))*F119/1000*(1+$I$105)</f>
        <v>0</v>
      </c>
      <c r="G490" s="82">
        <f>$I$104*(I97/SUM($I$96:$I$100))*G119/1000*(1+$I$105)</f>
        <v>75225.742801587126</v>
      </c>
      <c r="H490" s="82">
        <f>$I$104*(I98/SUM($I$96:$I$100))*H119/1000*(1+$I$105)</f>
        <v>102580.55836580062</v>
      </c>
      <c r="I490" s="82">
        <f>$I$104*(I99/SUM($I$96:$I$100))*I119/1000*(1+$I$105)</f>
        <v>136774.07782106748</v>
      </c>
      <c r="J490" s="82">
        <f>$I$104*(I100/SUM($I$96:$I$100))*J119/1000*(1+$I$105)</f>
        <v>164128.893385281</v>
      </c>
      <c r="K490" s="82"/>
      <c r="L490" s="82"/>
      <c r="M490" s="82"/>
      <c r="N490" s="82"/>
      <c r="O490" s="82"/>
      <c r="P490" s="82"/>
      <c r="Q490" s="82"/>
      <c r="R490" s="82"/>
      <c r="S490" s="82"/>
      <c r="T490" s="3"/>
      <c r="U490" s="3"/>
      <c r="V490" s="3"/>
      <c r="W490" s="3"/>
      <c r="X490" s="3"/>
      <c r="Y490" s="3"/>
      <c r="Z490" s="3"/>
    </row>
    <row r="491" spans="1:26" ht="12.75"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x14ac:dyDescent="0.2">
      <c r="A492" s="3"/>
      <c r="B492" s="3"/>
      <c r="C492" s="72" t="s">
        <v>685</v>
      </c>
      <c r="D492" s="70"/>
      <c r="E492" s="70"/>
      <c r="F492" s="89">
        <f>F487-F490</f>
        <v>0</v>
      </c>
      <c r="G492" s="89">
        <f t="shared" ref="G492:O492" si="135">G487-G490</f>
        <v>-243122.99724111223</v>
      </c>
      <c r="H492" s="89">
        <f t="shared" si="135"/>
        <v>-171137.26461124507</v>
      </c>
      <c r="I492" s="89">
        <f t="shared" si="135"/>
        <v>-147188.49150461156</v>
      </c>
      <c r="J492" s="89">
        <f t="shared" si="135"/>
        <v>-56679.377562325011</v>
      </c>
      <c r="K492" s="89">
        <f t="shared" si="135"/>
        <v>488727.44863687083</v>
      </c>
      <c r="L492" s="89">
        <f>L487-L490</f>
        <v>340699.02612379275</v>
      </c>
      <c r="M492" s="89">
        <f t="shared" si="135"/>
        <v>328986.02465718938</v>
      </c>
      <c r="N492" s="89">
        <f t="shared" si="135"/>
        <v>351371.66782948771</v>
      </c>
      <c r="O492" s="89">
        <f t="shared" si="135"/>
        <v>640785.95790259563</v>
      </c>
      <c r="P492" s="89">
        <f>P487-P490</f>
        <v>473478.60090914066</v>
      </c>
      <c r="Q492" s="89">
        <f>Q487-Q490</f>
        <v>289811.83706811466</v>
      </c>
      <c r="R492" s="89">
        <f>R487-R490</f>
        <v>85916.894673251954</v>
      </c>
      <c r="S492" s="89">
        <f>S487-S490</f>
        <v>359124.28368378477</v>
      </c>
      <c r="T492" s="3"/>
      <c r="U492" s="3"/>
      <c r="V492" s="3"/>
      <c r="W492" s="3"/>
      <c r="X492" s="3"/>
      <c r="Y492" s="3"/>
      <c r="Z492" s="3"/>
    </row>
    <row r="493" spans="1:26" ht="13.5" thickBot="1" x14ac:dyDescent="0.25">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3.5" thickTop="1" x14ac:dyDescent="0.2">
      <c r="A494" s="3"/>
      <c r="B494" s="3"/>
      <c r="C494" s="86" t="s">
        <v>676</v>
      </c>
      <c r="D494" s="86"/>
      <c r="E494" s="86"/>
      <c r="F494" s="92">
        <f>NPV($F$20,G492:S492)+F492</f>
        <v>817555.18780129461</v>
      </c>
      <c r="G494" s="3"/>
      <c r="H494" s="3"/>
      <c r="I494" s="3"/>
      <c r="J494" s="3"/>
      <c r="K494" s="3"/>
      <c r="L494" s="3"/>
      <c r="M494" s="3"/>
      <c r="N494" s="3"/>
      <c r="O494" s="3"/>
      <c r="P494" s="3"/>
      <c r="Q494" s="3"/>
      <c r="R494" s="3"/>
      <c r="S494" s="3"/>
      <c r="T494" s="3"/>
      <c r="U494" s="3"/>
      <c r="V494" s="3"/>
      <c r="W494" s="3"/>
      <c r="X494" s="3"/>
      <c r="Y494" s="3"/>
      <c r="Z494" s="3"/>
    </row>
    <row r="495" spans="1:26" ht="12.75" x14ac:dyDescent="0.2">
      <c r="A495" s="3"/>
      <c r="B495" s="3"/>
      <c r="C495" s="65" t="s">
        <v>677</v>
      </c>
      <c r="D495" s="65"/>
      <c r="E495" s="65"/>
      <c r="F495" s="298">
        <f>F494/$F$10*1000</f>
        <v>5189508.6187717067</v>
      </c>
      <c r="G495" s="3"/>
      <c r="H495" s="3"/>
      <c r="I495" s="3"/>
      <c r="J495" s="3"/>
      <c r="K495" s="3"/>
      <c r="L495" s="3"/>
      <c r="M495" s="3"/>
      <c r="N495" s="3"/>
      <c r="O495" s="3"/>
      <c r="P495" s="3"/>
      <c r="Q495" s="3"/>
      <c r="R495" s="3"/>
      <c r="S495" s="3"/>
      <c r="T495" s="3"/>
      <c r="U495" s="3"/>
      <c r="V495" s="3"/>
      <c r="W495" s="3"/>
      <c r="X495" s="3"/>
      <c r="Y495" s="3"/>
      <c r="Z495" s="3"/>
    </row>
    <row r="496" spans="1:26" ht="12.75" x14ac:dyDescent="0.2">
      <c r="A496" s="3"/>
      <c r="B496" s="3"/>
      <c r="C496" s="65" t="s">
        <v>683</v>
      </c>
      <c r="D496" s="65"/>
      <c r="E496" s="65"/>
      <c r="F496" s="95">
        <f>IRR(F492:S492)</f>
        <v>0.33006648663278804</v>
      </c>
      <c r="G496" s="3"/>
      <c r="H496" s="3"/>
      <c r="I496" s="3"/>
      <c r="J496" s="3"/>
      <c r="K496" s="3"/>
      <c r="L496" s="3"/>
      <c r="M496" s="3"/>
      <c r="N496" s="3"/>
      <c r="O496" s="3"/>
      <c r="P496" s="3"/>
      <c r="Q496" s="3"/>
      <c r="R496" s="3"/>
      <c r="S496" s="3"/>
      <c r="T496" s="3"/>
      <c r="U496" s="3"/>
      <c r="V496" s="3"/>
      <c r="W496" s="3"/>
      <c r="X496" s="3"/>
      <c r="Y496" s="3"/>
      <c r="Z496" s="3"/>
    </row>
    <row r="497" spans="1:26" ht="13.5" thickBot="1" x14ac:dyDescent="0.25">
      <c r="A497" s="3"/>
      <c r="B497" s="3"/>
      <c r="C497" s="87" t="s">
        <v>684</v>
      </c>
      <c r="D497" s="87"/>
      <c r="E497" s="87"/>
      <c r="F497" s="90">
        <f>MIRR(F492:S492,$F$20,$F$20)</f>
        <v>0.20732935548671017</v>
      </c>
      <c r="G497" s="3"/>
      <c r="H497" s="3"/>
      <c r="I497" s="3"/>
      <c r="J497" s="3"/>
      <c r="K497" s="3"/>
      <c r="L497" s="3"/>
      <c r="M497" s="3"/>
      <c r="N497" s="3"/>
      <c r="O497" s="3"/>
      <c r="P497" s="3"/>
      <c r="Q497" s="3"/>
      <c r="R497" s="3"/>
      <c r="S497" s="3"/>
      <c r="T497" s="3"/>
      <c r="U497" s="3"/>
      <c r="V497" s="3"/>
      <c r="W497" s="3"/>
      <c r="X497" s="3"/>
      <c r="Y497" s="3"/>
      <c r="Z497" s="3"/>
    </row>
    <row r="498" spans="1:26" ht="13.5" thickTop="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s="226" customFormat="1" ht="12.75" x14ac:dyDescent="0.2">
      <c r="A499" s="355" t="s">
        <v>914</v>
      </c>
      <c r="B499" s="353"/>
      <c r="C499" s="353"/>
      <c r="D499" s="356"/>
      <c r="E499" s="356"/>
      <c r="F499" s="357"/>
      <c r="G499" s="357"/>
      <c r="H499" s="357"/>
      <c r="I499" s="357"/>
      <c r="J499" s="357"/>
      <c r="K499" s="357"/>
      <c r="L499" s="357"/>
      <c r="M499" s="357"/>
      <c r="N499" s="357"/>
      <c r="O499" s="357"/>
      <c r="P499" s="357"/>
      <c r="Q499" s="357"/>
      <c r="R499" s="357"/>
      <c r="S499" s="357"/>
      <c r="T499" s="353"/>
      <c r="U499" s="353"/>
      <c r="V499" s="353"/>
      <c r="W499" s="353"/>
      <c r="X499" s="353"/>
      <c r="Y499" s="353"/>
      <c r="Z499" s="353"/>
    </row>
    <row r="500" spans="1:26" ht="12.75" x14ac:dyDescent="0.2">
      <c r="B500" s="611" t="s">
        <v>752</v>
      </c>
      <c r="C500" s="610"/>
      <c r="D500" s="610"/>
      <c r="E500" s="610"/>
      <c r="F500" s="610"/>
      <c r="G500" s="610"/>
      <c r="H500" s="610"/>
      <c r="I500" s="610"/>
      <c r="J500" s="610"/>
      <c r="K500" s="610"/>
      <c r="L500" s="3"/>
      <c r="M500" s="3"/>
      <c r="N500" s="3"/>
      <c r="O500" s="3"/>
      <c r="P500" s="3"/>
      <c r="Q500" s="3"/>
      <c r="R500" s="3"/>
      <c r="S500" s="3"/>
      <c r="T500" s="3"/>
      <c r="U500" s="3"/>
      <c r="V500" s="3"/>
      <c r="W500" s="3"/>
      <c r="X500" s="3"/>
      <c r="Y500" s="3"/>
      <c r="Z500" s="3"/>
    </row>
    <row r="501" spans="1:26" ht="12.75" x14ac:dyDescent="0.2">
      <c r="B501" s="358"/>
      <c r="C501" s="358"/>
      <c r="D501" s="358"/>
      <c r="E501" s="358"/>
      <c r="F501" s="358"/>
      <c r="G501" s="358"/>
      <c r="H501" s="358"/>
      <c r="I501" s="358"/>
      <c r="J501" s="358"/>
      <c r="K501" s="358"/>
      <c r="L501" s="3"/>
      <c r="M501" s="3"/>
      <c r="N501" s="3"/>
      <c r="O501" s="3"/>
      <c r="P501" s="3"/>
      <c r="Q501" s="3"/>
      <c r="R501" s="3"/>
      <c r="S501" s="3"/>
      <c r="T501" s="3"/>
      <c r="U501" s="3"/>
      <c r="V501" s="3"/>
      <c r="W501" s="3"/>
      <c r="X501" s="3"/>
      <c r="Y501" s="3"/>
      <c r="Z501" s="3"/>
    </row>
    <row r="502" spans="1:26" ht="25.5" x14ac:dyDescent="0.2">
      <c r="B502" s="358"/>
      <c r="C502" s="359" t="s">
        <v>753</v>
      </c>
      <c r="D502" s="360" t="s">
        <v>812</v>
      </c>
      <c r="E502" s="361" t="s">
        <v>813</v>
      </c>
      <c r="F502" s="361" t="s">
        <v>814</v>
      </c>
      <c r="G502" s="358"/>
      <c r="H502" s="359" t="s">
        <v>754</v>
      </c>
      <c r="I502" s="360" t="s">
        <v>812</v>
      </c>
      <c r="J502" s="361" t="s">
        <v>813</v>
      </c>
      <c r="K502" s="361" t="s">
        <v>814</v>
      </c>
      <c r="L502" s="3"/>
      <c r="M502" s="3"/>
      <c r="N502" s="3"/>
      <c r="O502" s="3"/>
      <c r="P502" s="3"/>
      <c r="Q502" s="3"/>
      <c r="R502" s="3"/>
      <c r="S502" s="3"/>
      <c r="T502" s="3"/>
      <c r="U502" s="3"/>
      <c r="V502" s="3"/>
      <c r="W502" s="3"/>
      <c r="X502" s="3"/>
      <c r="Y502" s="3"/>
      <c r="Z502" s="3"/>
    </row>
    <row r="503" spans="1:26" ht="12.75" x14ac:dyDescent="0.2">
      <c r="B503" s="358"/>
      <c r="C503" s="362"/>
      <c r="D503" s="363">
        <f>$F$372</f>
        <v>406.06387459114677</v>
      </c>
      <c r="E503" s="364">
        <f>$F$495</f>
        <v>5189508.6187717067</v>
      </c>
      <c r="F503" s="364">
        <f>$H$369*1000/$F$10</f>
        <v>128.89825642035004</v>
      </c>
      <c r="G503" s="358"/>
      <c r="H503" s="362"/>
      <c r="I503" s="363">
        <f>$F$372</f>
        <v>406.06387459114677</v>
      </c>
      <c r="J503" s="364">
        <f>$F$495</f>
        <v>5189508.6187717067</v>
      </c>
      <c r="K503" s="364">
        <f>$H$369*1000/$F$10</f>
        <v>128.89825642035004</v>
      </c>
      <c r="L503" s="3"/>
      <c r="M503" s="3"/>
      <c r="N503" s="3"/>
      <c r="O503" s="3"/>
      <c r="P503" s="3"/>
      <c r="Q503" s="3"/>
      <c r="R503" s="3"/>
      <c r="S503" s="3"/>
      <c r="T503" s="3"/>
      <c r="U503" s="3"/>
      <c r="V503" s="3"/>
      <c r="W503" s="3"/>
      <c r="X503" s="3"/>
      <c r="Y503" s="3"/>
      <c r="Z503" s="3"/>
    </row>
    <row r="504" spans="1:26" ht="12.75" x14ac:dyDescent="0.2">
      <c r="B504" s="358"/>
      <c r="C504" s="365">
        <v>0.03</v>
      </c>
      <c r="D504" s="621">
        <f t="dataTable" ref="D504:F509" dt2D="0" dtr="0" r1="F8" ca="1"/>
        <v>406.06387459114654</v>
      </c>
      <c r="E504" s="622">
        <v>5189508.6187717048</v>
      </c>
      <c r="F504" s="622">
        <v>128.89825642035004</v>
      </c>
      <c r="G504" s="358"/>
      <c r="H504" s="365">
        <v>-0.01</v>
      </c>
      <c r="I504" s="621">
        <f t="dataTable" ref="I504:K509" dt2D="0" dtr="0" r1="F9" ca="1"/>
        <v>406.06387459114677</v>
      </c>
      <c r="J504" s="622">
        <v>5189508.6187717067</v>
      </c>
      <c r="K504" s="622">
        <v>128.89825642035004</v>
      </c>
      <c r="L504" s="3"/>
      <c r="M504" s="3"/>
      <c r="N504" s="3"/>
      <c r="O504" s="3"/>
      <c r="P504" s="3"/>
      <c r="Q504" s="3"/>
      <c r="R504" s="3"/>
      <c r="S504" s="3"/>
      <c r="T504" s="3"/>
      <c r="U504" s="3"/>
      <c r="V504" s="3"/>
      <c r="W504" s="3"/>
      <c r="X504" s="3"/>
      <c r="Y504" s="3"/>
      <c r="Z504" s="3"/>
    </row>
    <row r="505" spans="1:26" ht="12.75" x14ac:dyDescent="0.2">
      <c r="B505" s="358"/>
      <c r="C505" s="368">
        <v>0.05</v>
      </c>
      <c r="D505" s="613">
        <v>406.06387459114683</v>
      </c>
      <c r="E505" s="614">
        <v>5189508.618771716</v>
      </c>
      <c r="F505" s="614">
        <v>128.89825642035024</v>
      </c>
      <c r="G505" s="358"/>
      <c r="H505" s="368">
        <v>0</v>
      </c>
      <c r="I505" s="613">
        <v>406.06387459114677</v>
      </c>
      <c r="J505" s="614">
        <v>5189508.6187717067</v>
      </c>
      <c r="K505" s="614">
        <v>128.89825642035004</v>
      </c>
      <c r="L505" s="3"/>
      <c r="M505" s="3"/>
      <c r="N505" s="3"/>
      <c r="O505" s="3"/>
      <c r="P505" s="3"/>
      <c r="Q505" s="3"/>
      <c r="R505" s="3"/>
      <c r="S505" s="3"/>
      <c r="T505" s="3"/>
      <c r="U505" s="3"/>
      <c r="V505" s="3"/>
      <c r="W505" s="3"/>
      <c r="X505" s="3"/>
      <c r="Y505" s="3"/>
      <c r="Z505" s="3"/>
    </row>
    <row r="506" spans="1:26" ht="12.75" x14ac:dyDescent="0.2">
      <c r="B506" s="358"/>
      <c r="C506" s="371">
        <v>7.0000000000000007E-2</v>
      </c>
      <c r="D506" s="617">
        <v>406.06387459114694</v>
      </c>
      <c r="E506" s="618">
        <v>5189508.6187717132</v>
      </c>
      <c r="F506" s="618">
        <v>128.89825642035024</v>
      </c>
      <c r="G506" s="358"/>
      <c r="H506" s="368">
        <v>0.01</v>
      </c>
      <c r="I506" s="613">
        <v>406.06387459114677</v>
      </c>
      <c r="J506" s="614">
        <v>5189508.6187717067</v>
      </c>
      <c r="K506" s="614">
        <v>128.89825642035004</v>
      </c>
      <c r="L506" s="3"/>
      <c r="M506" s="3"/>
      <c r="N506" s="3"/>
      <c r="O506" s="3"/>
      <c r="P506" s="3"/>
      <c r="Q506" s="3"/>
      <c r="R506" s="3"/>
      <c r="S506" s="3"/>
      <c r="T506" s="3"/>
      <c r="U506" s="3"/>
      <c r="V506" s="3"/>
      <c r="W506" s="3"/>
      <c r="X506" s="3"/>
      <c r="Y506" s="3"/>
      <c r="Z506" s="3"/>
    </row>
    <row r="507" spans="1:26" ht="12.75" x14ac:dyDescent="0.2">
      <c r="B507" s="358"/>
      <c r="C507" s="368">
        <v>0.1</v>
      </c>
      <c r="D507" s="613">
        <v>406.06387459114694</v>
      </c>
      <c r="E507" s="614">
        <v>5189508.6187717142</v>
      </c>
      <c r="F507" s="614">
        <v>128.89825642035024</v>
      </c>
      <c r="G507" s="358"/>
      <c r="H507" s="374">
        <v>2.5000000000000001E-2</v>
      </c>
      <c r="I507" s="617">
        <v>406.06387459114677</v>
      </c>
      <c r="J507" s="618">
        <v>5189508.6187717067</v>
      </c>
      <c r="K507" s="618">
        <v>128.89825642035004</v>
      </c>
      <c r="L507" s="3"/>
      <c r="M507" s="3"/>
      <c r="N507" s="3"/>
      <c r="O507" s="3"/>
      <c r="P507" s="3"/>
      <c r="Q507" s="3"/>
      <c r="R507" s="3"/>
      <c r="S507" s="3"/>
      <c r="T507" s="3"/>
      <c r="U507" s="3"/>
      <c r="V507" s="3"/>
      <c r="W507" s="3"/>
      <c r="X507" s="3"/>
      <c r="Y507" s="3"/>
      <c r="Z507" s="3"/>
    </row>
    <row r="508" spans="1:26" ht="12.75" x14ac:dyDescent="0.2">
      <c r="B508" s="358"/>
      <c r="C508" s="368">
        <v>0.15</v>
      </c>
      <c r="D508" s="613">
        <v>406.06387459114666</v>
      </c>
      <c r="E508" s="614">
        <v>5189508.6187717123</v>
      </c>
      <c r="F508" s="614">
        <v>128.89825642035004</v>
      </c>
      <c r="G508" s="358"/>
      <c r="H508" s="368">
        <v>0.04</v>
      </c>
      <c r="I508" s="613">
        <v>406.06387459114677</v>
      </c>
      <c r="J508" s="614">
        <v>5189508.6187717067</v>
      </c>
      <c r="K508" s="614">
        <v>128.89825642035004</v>
      </c>
      <c r="L508" s="3"/>
      <c r="M508" s="3"/>
      <c r="N508" s="3"/>
      <c r="O508" s="3"/>
      <c r="P508" s="3"/>
      <c r="Q508" s="3"/>
      <c r="R508" s="3"/>
      <c r="S508" s="3"/>
      <c r="T508" s="3"/>
      <c r="U508" s="3"/>
      <c r="V508" s="3"/>
      <c r="W508" s="3"/>
      <c r="X508" s="3"/>
      <c r="Y508" s="3"/>
      <c r="Z508" s="3"/>
    </row>
    <row r="509" spans="1:26" ht="12.75" x14ac:dyDescent="0.2">
      <c r="B509" s="358"/>
      <c r="C509" s="375">
        <v>0.2</v>
      </c>
      <c r="D509" s="619">
        <v>406.06387459114649</v>
      </c>
      <c r="E509" s="620">
        <v>5189508.6187717067</v>
      </c>
      <c r="F509" s="620">
        <v>128.89825642035004</v>
      </c>
      <c r="G509" s="358"/>
      <c r="H509" s="375">
        <v>0.06</v>
      </c>
      <c r="I509" s="619">
        <v>406.06387459114677</v>
      </c>
      <c r="J509" s="620">
        <v>5189508.6187717067</v>
      </c>
      <c r="K509" s="620">
        <v>128.89825642035004</v>
      </c>
      <c r="L509" s="3"/>
      <c r="M509" s="3"/>
      <c r="N509" s="3"/>
      <c r="O509" s="3"/>
      <c r="P509" s="3"/>
      <c r="Q509" s="3"/>
      <c r="R509" s="3"/>
      <c r="S509" s="3"/>
      <c r="T509" s="3"/>
      <c r="U509" s="3"/>
      <c r="V509" s="3"/>
      <c r="W509" s="3"/>
      <c r="X509" s="3"/>
      <c r="Y509" s="3"/>
      <c r="Z509" s="3"/>
    </row>
    <row r="510" spans="1:26" ht="12.75" x14ac:dyDescent="0.2">
      <c r="B510" s="358"/>
      <c r="C510" s="358"/>
      <c r="D510" s="358"/>
      <c r="E510" s="358"/>
      <c r="F510" s="358"/>
      <c r="G510" s="358"/>
      <c r="H510" s="358"/>
      <c r="I510" s="358"/>
      <c r="J510" s="358"/>
      <c r="K510" s="358"/>
      <c r="L510" s="3"/>
      <c r="M510" s="3"/>
      <c r="N510" s="3"/>
      <c r="O510" s="3"/>
      <c r="P510" s="3"/>
      <c r="Q510" s="3"/>
      <c r="R510" s="3"/>
      <c r="S510" s="3"/>
      <c r="T510" s="3"/>
      <c r="U510" s="3"/>
      <c r="V510" s="3"/>
      <c r="W510" s="3"/>
      <c r="X510" s="3"/>
      <c r="Y510" s="3"/>
      <c r="Z510" s="3"/>
    </row>
    <row r="511" spans="1:26" ht="38.25" x14ac:dyDescent="0.2">
      <c r="B511" s="358"/>
      <c r="C511" s="359" t="s">
        <v>181</v>
      </c>
      <c r="D511" s="360" t="s">
        <v>812</v>
      </c>
      <c r="E511" s="361" t="s">
        <v>813</v>
      </c>
      <c r="F511" s="361" t="s">
        <v>814</v>
      </c>
      <c r="G511" s="358"/>
      <c r="H511" s="359" t="s">
        <v>755</v>
      </c>
      <c r="I511" s="360" t="s">
        <v>812</v>
      </c>
      <c r="J511" s="361" t="s">
        <v>813</v>
      </c>
      <c r="K511" s="361" t="s">
        <v>814</v>
      </c>
      <c r="L511" s="3"/>
      <c r="M511" s="3"/>
      <c r="N511" s="3"/>
      <c r="O511" s="3"/>
      <c r="P511" s="3"/>
      <c r="Q511" s="3"/>
      <c r="R511" s="3"/>
      <c r="S511" s="3"/>
      <c r="T511" s="3"/>
      <c r="U511" s="3"/>
      <c r="V511" s="3"/>
      <c r="W511" s="3"/>
      <c r="X511" s="3"/>
      <c r="Y511" s="3"/>
      <c r="Z511" s="3"/>
    </row>
    <row r="512" spans="1:26" ht="12.75" x14ac:dyDescent="0.2">
      <c r="B512" s="354"/>
      <c r="C512" s="362"/>
      <c r="D512" s="363">
        <f>$F$372</f>
        <v>406.06387459114677</v>
      </c>
      <c r="E512" s="364">
        <f>$F$495</f>
        <v>5189508.6187717067</v>
      </c>
      <c r="F512" s="364">
        <f>$H$369*1000/$F$10</f>
        <v>128.89825642035004</v>
      </c>
      <c r="G512" s="358"/>
      <c r="H512" s="362"/>
      <c r="I512" s="363">
        <f>$F$372</f>
        <v>406.06387459114677</v>
      </c>
      <c r="J512" s="364">
        <f>$F$495</f>
        <v>5189508.6187717067</v>
      </c>
      <c r="K512" s="364">
        <f>$H$369*1000/$F$10</f>
        <v>128.89825642035004</v>
      </c>
      <c r="L512" s="3"/>
      <c r="M512" s="3"/>
      <c r="N512" s="3"/>
      <c r="O512" s="3"/>
      <c r="P512" s="3"/>
      <c r="Q512" s="3"/>
      <c r="R512" s="3"/>
      <c r="S512" s="3"/>
      <c r="T512" s="3"/>
      <c r="U512" s="3"/>
      <c r="V512" s="3"/>
      <c r="W512" s="3"/>
      <c r="X512" s="3"/>
      <c r="Y512" s="3"/>
      <c r="Z512" s="3"/>
    </row>
    <row r="513" spans="1:26" ht="12.75" x14ac:dyDescent="0.2">
      <c r="B513" s="354"/>
      <c r="C513" s="378">
        <v>140</v>
      </c>
      <c r="D513" s="621">
        <f t="dataTable" ref="D513:F518" dt2D="0" dtr="0" r1="F10" ca="1"/>
        <v>575.79263522567385</v>
      </c>
      <c r="E513" s="622">
        <v>9275611.8100720178</v>
      </c>
      <c r="F513" s="622">
        <v>166.73196589368604</v>
      </c>
      <c r="G513" s="358"/>
      <c r="H513" s="365">
        <v>-0.02</v>
      </c>
      <c r="I513" s="621">
        <f t="dataTable" ref="I513:K518" dt2D="0" dtr="0" r1="F11" ca="1"/>
        <v>465.35826311076016</v>
      </c>
      <c r="J513" s="622">
        <v>6913605.3897389704</v>
      </c>
      <c r="K513" s="622">
        <v>135.75227117420997</v>
      </c>
      <c r="L513" s="3"/>
      <c r="M513" s="3"/>
      <c r="N513" s="3"/>
      <c r="O513" s="3"/>
      <c r="P513" s="3"/>
      <c r="Q513" s="3"/>
      <c r="R513" s="3"/>
      <c r="S513" s="3"/>
      <c r="T513" s="3"/>
      <c r="U513" s="3"/>
      <c r="V513" s="3"/>
      <c r="W513" s="3"/>
      <c r="X513" s="3"/>
      <c r="Y513" s="3"/>
      <c r="Z513" s="3"/>
    </row>
    <row r="514" spans="1:26" ht="12.75" x14ac:dyDescent="0.2">
      <c r="B514" s="354"/>
      <c r="C514" s="379">
        <v>150</v>
      </c>
      <c r="D514" s="613">
        <v>474.16181443371852</v>
      </c>
      <c r="E514" s="614">
        <v>6828919.6901273262</v>
      </c>
      <c r="F514" s="614">
        <v>144.07775612390509</v>
      </c>
      <c r="G514" s="358"/>
      <c r="H514" s="368">
        <v>-0.01</v>
      </c>
      <c r="I514" s="613">
        <v>436.37814841184439</v>
      </c>
      <c r="J514" s="614">
        <v>6070351.4179328373</v>
      </c>
      <c r="K514" s="614">
        <v>132.34257191534522</v>
      </c>
      <c r="L514" s="3"/>
      <c r="M514" s="3"/>
      <c r="N514" s="3"/>
      <c r="O514" s="3"/>
      <c r="P514" s="3"/>
      <c r="Q514" s="3"/>
      <c r="R514" s="3"/>
      <c r="S514" s="3"/>
      <c r="T514" s="3"/>
      <c r="U514" s="3"/>
      <c r="V514" s="3"/>
      <c r="W514" s="3"/>
      <c r="X514" s="3"/>
      <c r="Y514" s="3"/>
      <c r="Z514" s="3"/>
    </row>
    <row r="515" spans="1:26" ht="12.75" x14ac:dyDescent="0.2">
      <c r="B515" s="354"/>
      <c r="C515" s="380">
        <v>157.54</v>
      </c>
      <c r="D515" s="617">
        <v>406.06387459114677</v>
      </c>
      <c r="E515" s="618">
        <v>5189508.6187717067</v>
      </c>
      <c r="F515" s="618">
        <v>128.89825642035004</v>
      </c>
      <c r="G515" s="358"/>
      <c r="H515" s="371">
        <v>0</v>
      </c>
      <c r="I515" s="617">
        <v>406.06387459114677</v>
      </c>
      <c r="J515" s="618">
        <v>5189508.6187717067</v>
      </c>
      <c r="K515" s="618">
        <v>128.89825642035004</v>
      </c>
      <c r="L515" s="3"/>
      <c r="M515" s="3"/>
      <c r="N515" s="3"/>
      <c r="O515" s="3"/>
      <c r="P515" s="3"/>
      <c r="Q515" s="3"/>
      <c r="R515" s="3"/>
      <c r="S515" s="3"/>
      <c r="T515" s="3"/>
      <c r="U515" s="3"/>
      <c r="V515" s="3"/>
      <c r="W515" s="3"/>
      <c r="X515" s="3"/>
      <c r="Y515" s="3"/>
      <c r="Z515" s="3"/>
    </row>
    <row r="516" spans="1:26" ht="12.75" x14ac:dyDescent="0.2">
      <c r="B516" s="354"/>
      <c r="C516" s="379">
        <v>165</v>
      </c>
      <c r="D516" s="613">
        <v>344.81349706213962</v>
      </c>
      <c r="E516" s="614">
        <v>3714947.9011067874</v>
      </c>
      <c r="F516" s="614">
        <v>115.24512550782033</v>
      </c>
      <c r="G516" s="358"/>
      <c r="H516" s="597">
        <v>0.01</v>
      </c>
      <c r="I516" s="615">
        <v>374.35045549953321</v>
      </c>
      <c r="J516" s="616">
        <v>4269272.2039742656</v>
      </c>
      <c r="K516" s="616">
        <v>125.41932468922407</v>
      </c>
      <c r="L516" s="3"/>
      <c r="M516" s="3"/>
      <c r="N516" s="3"/>
      <c r="O516" s="3"/>
      <c r="P516" s="3"/>
      <c r="Q516" s="3"/>
      <c r="R516" s="3"/>
      <c r="S516" s="3"/>
      <c r="T516" s="3"/>
      <c r="U516" s="3"/>
      <c r="V516" s="3"/>
      <c r="W516" s="3"/>
      <c r="X516" s="3"/>
      <c r="Y516" s="3"/>
      <c r="Z516" s="3"/>
    </row>
    <row r="517" spans="1:26" ht="12.75" x14ac:dyDescent="0.2">
      <c r="B517" s="354"/>
      <c r="C517" s="379">
        <v>175</v>
      </c>
      <c r="D517" s="613">
        <v>270.90017284980865</v>
      </c>
      <c r="E517" s="614">
        <v>1935535.4502379145</v>
      </c>
      <c r="F517" s="614">
        <v>98.76933658434325</v>
      </c>
      <c r="G517" s="358"/>
      <c r="H517" s="368">
        <v>0.02</v>
      </c>
      <c r="I517" s="613">
        <v>341.16991756109627</v>
      </c>
      <c r="J517" s="614">
        <v>3307754.1488815527</v>
      </c>
      <c r="K517" s="614">
        <v>121.90577672196764</v>
      </c>
      <c r="L517" s="3"/>
      <c r="M517" s="3"/>
      <c r="N517" s="3"/>
      <c r="O517" s="3"/>
      <c r="P517" s="3"/>
      <c r="Q517" s="3"/>
      <c r="R517" s="3"/>
      <c r="S517" s="3"/>
      <c r="T517" s="3"/>
      <c r="U517" s="3"/>
      <c r="V517" s="3"/>
      <c r="W517" s="3"/>
      <c r="X517" s="3"/>
      <c r="Y517" s="3"/>
      <c r="Z517" s="3"/>
    </row>
    <row r="518" spans="1:26" ht="12.75" x14ac:dyDescent="0.2">
      <c r="B518" s="354"/>
      <c r="C518" s="381">
        <v>185</v>
      </c>
      <c r="D518" s="619">
        <v>204.97747828205391</v>
      </c>
      <c r="E518" s="620">
        <v>348491.91297648067</v>
      </c>
      <c r="F518" s="620">
        <v>84.074714030971819</v>
      </c>
      <c r="G518" s="358"/>
      <c r="H518" s="375">
        <v>0.05</v>
      </c>
      <c r="I518" s="619">
        <v>232.09847745954244</v>
      </c>
      <c r="J518" s="620">
        <v>155309.10714975378</v>
      </c>
      <c r="K518" s="620">
        <v>111.15743540341464</v>
      </c>
      <c r="L518" s="3"/>
      <c r="M518" s="3"/>
      <c r="N518" s="3"/>
      <c r="O518" s="3"/>
      <c r="P518" s="3"/>
      <c r="Q518" s="3"/>
      <c r="R518" s="3"/>
      <c r="S518" s="3"/>
      <c r="T518" s="3"/>
      <c r="U518" s="3"/>
      <c r="V518" s="3"/>
      <c r="W518" s="3"/>
      <c r="X518" s="3"/>
      <c r="Y518" s="3"/>
      <c r="Z518" s="3"/>
    </row>
    <row r="519" spans="1:26" ht="12.75" x14ac:dyDescent="0.2">
      <c r="B519" s="354"/>
      <c r="C519" s="354"/>
      <c r="D519" s="354"/>
      <c r="E519" s="354"/>
      <c r="F519" s="354"/>
      <c r="G519" s="354"/>
      <c r="H519" s="354"/>
      <c r="I519" s="354"/>
      <c r="J519" s="354"/>
      <c r="K519" s="354"/>
      <c r="L519" s="3"/>
      <c r="M519" s="3"/>
      <c r="N519" s="3"/>
      <c r="O519" s="3"/>
      <c r="P519" s="3"/>
      <c r="Q519" s="3"/>
      <c r="R519" s="3"/>
      <c r="S519" s="3"/>
      <c r="T519" s="3"/>
      <c r="U519" s="3"/>
      <c r="V519" s="3"/>
      <c r="W519" s="3"/>
      <c r="X519" s="3"/>
      <c r="Y519" s="3"/>
      <c r="Z519" s="3"/>
    </row>
    <row r="520" spans="1:26" ht="25.5" x14ac:dyDescent="0.2">
      <c r="B520" s="354"/>
      <c r="C520" s="359" t="s">
        <v>21</v>
      </c>
      <c r="D520" s="360" t="s">
        <v>812</v>
      </c>
      <c r="E520" s="657" t="s">
        <v>813</v>
      </c>
      <c r="F520" s="361" t="s">
        <v>814</v>
      </c>
      <c r="G520" s="358"/>
      <c r="H520" s="359" t="s">
        <v>23</v>
      </c>
      <c r="I520" s="662" t="s">
        <v>812</v>
      </c>
      <c r="J520" s="361" t="s">
        <v>813</v>
      </c>
      <c r="K520" s="657" t="s">
        <v>814</v>
      </c>
      <c r="L520" s="3"/>
      <c r="M520" s="3"/>
      <c r="N520" s="3"/>
      <c r="O520" s="3"/>
      <c r="P520" s="3"/>
      <c r="Q520" s="3"/>
      <c r="R520" s="3"/>
      <c r="S520" s="3"/>
      <c r="T520" s="3"/>
      <c r="U520" s="3"/>
      <c r="V520" s="3"/>
      <c r="W520" s="3"/>
      <c r="X520" s="3"/>
      <c r="Y520" s="3"/>
      <c r="Z520" s="3"/>
    </row>
    <row r="521" spans="1:26" ht="12.75" x14ac:dyDescent="0.2">
      <c r="B521" s="354"/>
      <c r="C521" s="362"/>
      <c r="D521" s="363">
        <f>$F$372</f>
        <v>406.06387459114677</v>
      </c>
      <c r="E521" s="670">
        <f>$F$495</f>
        <v>5189508.6187717067</v>
      </c>
      <c r="F521" s="364">
        <f>$H$369*1000/$F$10</f>
        <v>128.89825642035004</v>
      </c>
      <c r="G521" s="358"/>
      <c r="H521" s="362"/>
      <c r="I521" s="669">
        <f>$F$372</f>
        <v>406.06387459114677</v>
      </c>
      <c r="J521" s="364">
        <f>$F$495</f>
        <v>5189508.6187717067</v>
      </c>
      <c r="K521" s="670">
        <f>$H$369*1000/$F$10</f>
        <v>128.89825642035004</v>
      </c>
      <c r="L521" s="3"/>
      <c r="M521" s="3"/>
      <c r="N521" s="3"/>
      <c r="O521" s="3"/>
      <c r="P521" s="3"/>
      <c r="Q521" s="3"/>
      <c r="R521" s="3"/>
      <c r="S521" s="3"/>
      <c r="T521" s="3"/>
      <c r="U521" s="3"/>
      <c r="V521" s="3"/>
      <c r="W521" s="3"/>
      <c r="X521" s="3"/>
      <c r="Y521" s="3"/>
      <c r="Z521" s="3"/>
    </row>
    <row r="522" spans="1:26" ht="12.75" x14ac:dyDescent="0.2">
      <c r="B522" s="354"/>
      <c r="C522" s="382">
        <v>7.0000000000000007E-2</v>
      </c>
      <c r="D522" s="621">
        <f t="dataTable" ref="D522:F527" dt2D="0" dtr="0" r1="F19" ca="1"/>
        <v>670.4369388442135</v>
      </c>
      <c r="E522" s="668">
        <v>5189508.6187717067</v>
      </c>
      <c r="F522" s="622">
        <v>128.89825642035004</v>
      </c>
      <c r="G522" s="358"/>
      <c r="H522" s="365">
        <v>0.06</v>
      </c>
      <c r="I522" s="667">
        <f t="dataTable" ref="I522:K527" dt2D="0" dtr="0" r1="F20" ca="1"/>
        <v>406.06387459114677</v>
      </c>
      <c r="J522" s="622">
        <v>9533393.6518322378</v>
      </c>
      <c r="K522" s="668">
        <v>128.89825642035004</v>
      </c>
      <c r="L522" s="3"/>
      <c r="M522" s="3"/>
      <c r="N522" s="3"/>
      <c r="O522" s="3"/>
      <c r="P522" s="3"/>
      <c r="Q522" s="3"/>
      <c r="R522" s="3"/>
      <c r="S522" s="3"/>
      <c r="T522" s="3"/>
      <c r="U522" s="3"/>
      <c r="V522" s="3"/>
      <c r="W522" s="3"/>
      <c r="X522" s="3"/>
      <c r="Y522" s="3"/>
      <c r="Z522" s="3"/>
    </row>
    <row r="523" spans="1:26" ht="12.75" x14ac:dyDescent="0.2">
      <c r="B523" s="354"/>
      <c r="C523" s="383">
        <v>0.1</v>
      </c>
      <c r="D523" s="613">
        <v>571.83520354859581</v>
      </c>
      <c r="E523" s="658">
        <v>5189508.6187717067</v>
      </c>
      <c r="F523" s="614">
        <v>128.89825642035004</v>
      </c>
      <c r="G523" s="358"/>
      <c r="H523" s="368">
        <v>0.08</v>
      </c>
      <c r="I523" s="663">
        <v>406.06387459114677</v>
      </c>
      <c r="J523" s="614">
        <v>7801833.2052347502</v>
      </c>
      <c r="K523" s="658">
        <v>128.89825642035004</v>
      </c>
      <c r="L523" s="3"/>
      <c r="M523" s="3"/>
      <c r="N523" s="3"/>
      <c r="O523" s="3"/>
      <c r="P523" s="3"/>
      <c r="Q523" s="3"/>
      <c r="R523" s="3"/>
      <c r="S523" s="3"/>
      <c r="T523" s="3"/>
      <c r="U523" s="3"/>
      <c r="V523" s="3"/>
      <c r="W523" s="3"/>
      <c r="X523" s="3"/>
      <c r="Y523" s="3"/>
      <c r="Z523" s="3"/>
    </row>
    <row r="524" spans="1:26" ht="12.75" x14ac:dyDescent="0.2">
      <c r="B524" s="354"/>
      <c r="C524" s="384">
        <v>0.12</v>
      </c>
      <c r="D524" s="615">
        <v>515.83394762285832</v>
      </c>
      <c r="E524" s="659">
        <v>5189508.6187717067</v>
      </c>
      <c r="F524" s="616">
        <v>128.89825642035004</v>
      </c>
      <c r="G524" s="358"/>
      <c r="H524" s="368">
        <v>0.1</v>
      </c>
      <c r="I524" s="663">
        <v>406.06387459114677</v>
      </c>
      <c r="J524" s="614">
        <v>6373256.7332284562</v>
      </c>
      <c r="K524" s="658">
        <v>128.89825642035004</v>
      </c>
      <c r="L524" s="3"/>
      <c r="M524" s="3"/>
      <c r="N524" s="3"/>
      <c r="O524" s="3"/>
      <c r="P524" s="3"/>
      <c r="Q524" s="3"/>
      <c r="R524" s="3"/>
      <c r="S524" s="3"/>
      <c r="T524" s="3"/>
      <c r="U524" s="3"/>
      <c r="V524" s="3"/>
      <c r="W524" s="3"/>
      <c r="X524" s="3"/>
      <c r="Y524" s="3"/>
      <c r="Z524" s="3"/>
    </row>
    <row r="525" spans="1:26" ht="12.75" x14ac:dyDescent="0.2">
      <c r="B525" s="354"/>
      <c r="C525" s="387">
        <v>0.16800000000000001</v>
      </c>
      <c r="D525" s="617">
        <v>406.06387459114677</v>
      </c>
      <c r="E525" s="660">
        <v>5189508.6187717067</v>
      </c>
      <c r="F525" s="618">
        <v>128.89825642035004</v>
      </c>
      <c r="G525" s="358"/>
      <c r="H525" s="371">
        <v>0.12</v>
      </c>
      <c r="I525" s="665">
        <v>406.06387459114677</v>
      </c>
      <c r="J525" s="618">
        <v>5189508.6187717067</v>
      </c>
      <c r="K525" s="660">
        <v>128.89825642035004</v>
      </c>
      <c r="L525" s="3"/>
      <c r="M525" s="3"/>
      <c r="N525" s="3"/>
      <c r="O525" s="3"/>
      <c r="P525" s="3"/>
      <c r="Q525" s="3"/>
      <c r="R525" s="3"/>
      <c r="S525" s="3"/>
      <c r="T525" s="3"/>
      <c r="U525" s="3"/>
      <c r="V525" s="3"/>
      <c r="W525" s="3"/>
      <c r="X525" s="3"/>
      <c r="Y525" s="3"/>
      <c r="Z525" s="3"/>
    </row>
    <row r="526" spans="1:26" ht="12.75" x14ac:dyDescent="0.2">
      <c r="B526" s="354"/>
      <c r="C526" s="383">
        <v>0.2</v>
      </c>
      <c r="D526" s="613">
        <v>347.93887120689857</v>
      </c>
      <c r="E526" s="658">
        <v>5189508.6187717067</v>
      </c>
      <c r="F526" s="614">
        <v>128.89825642035004</v>
      </c>
      <c r="G526" s="358"/>
      <c r="H526" s="368">
        <v>0.14000000000000001</v>
      </c>
      <c r="I526" s="663">
        <v>406.06387459114677</v>
      </c>
      <c r="J526" s="614">
        <v>4204644.3775560521</v>
      </c>
      <c r="K526" s="658">
        <v>128.89825642035004</v>
      </c>
      <c r="L526" s="3"/>
      <c r="M526" s="3"/>
      <c r="N526" s="3"/>
      <c r="O526" s="3"/>
      <c r="P526" s="3"/>
      <c r="Q526" s="3"/>
      <c r="R526" s="3"/>
      <c r="S526" s="3"/>
      <c r="T526" s="3"/>
      <c r="U526" s="3"/>
      <c r="V526" s="3"/>
      <c r="W526" s="3"/>
      <c r="X526" s="3"/>
      <c r="Y526" s="3"/>
      <c r="Z526" s="3"/>
    </row>
    <row r="527" spans="1:26" ht="12.75" x14ac:dyDescent="0.2">
      <c r="B527" s="354"/>
      <c r="C527" s="388">
        <v>0.25</v>
      </c>
      <c r="D527" s="619">
        <v>274.78449375992261</v>
      </c>
      <c r="E527" s="661">
        <v>5189508.6187717067</v>
      </c>
      <c r="F527" s="620">
        <v>128.89825642035004</v>
      </c>
      <c r="G527" s="358"/>
      <c r="H527" s="375">
        <v>0.16</v>
      </c>
      <c r="I527" s="666">
        <v>406.06387459114677</v>
      </c>
      <c r="J527" s="620">
        <v>3382158.0769375833</v>
      </c>
      <c r="K527" s="661">
        <v>128.89825642035004</v>
      </c>
      <c r="L527" s="3"/>
      <c r="M527" s="3"/>
      <c r="N527" s="3"/>
      <c r="O527" s="3"/>
      <c r="P527" s="3"/>
      <c r="Q527" s="3"/>
      <c r="R527" s="3"/>
      <c r="S527" s="3"/>
      <c r="T527" s="3"/>
      <c r="U527" s="3"/>
      <c r="V527" s="3"/>
      <c r="W527" s="3"/>
      <c r="X527" s="3"/>
      <c r="Y527" s="3"/>
      <c r="Z527" s="3"/>
    </row>
    <row r="528" spans="1:26" ht="12.75" x14ac:dyDescent="0.2">
      <c r="A528" s="246"/>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38.25" x14ac:dyDescent="0.2">
      <c r="A529" s="246"/>
      <c r="B529" s="3"/>
      <c r="C529" s="359" t="s">
        <v>950</v>
      </c>
      <c r="D529" s="360" t="s">
        <v>812</v>
      </c>
      <c r="E529" s="361" t="s">
        <v>813</v>
      </c>
      <c r="F529" s="361" t="s">
        <v>814</v>
      </c>
      <c r="G529" s="3"/>
      <c r="H529" s="359" t="s">
        <v>911</v>
      </c>
      <c r="I529" s="360" t="s">
        <v>812</v>
      </c>
      <c r="J529" s="361" t="s">
        <v>813</v>
      </c>
      <c r="K529" s="361" t="s">
        <v>814</v>
      </c>
      <c r="L529" s="3"/>
      <c r="M529" s="3"/>
      <c r="N529" s="3"/>
      <c r="O529" s="3"/>
      <c r="P529" s="3"/>
      <c r="Q529" s="3"/>
      <c r="R529" s="3"/>
      <c r="S529" s="3"/>
      <c r="T529" s="3"/>
      <c r="U529" s="3"/>
      <c r="V529" s="3"/>
      <c r="W529" s="3"/>
      <c r="X529" s="3"/>
      <c r="Y529" s="3"/>
      <c r="Z529" s="3"/>
    </row>
    <row r="530" spans="1:26" ht="12.75" x14ac:dyDescent="0.2">
      <c r="A530" s="246"/>
      <c r="B530" s="3"/>
      <c r="C530" s="362"/>
      <c r="D530" s="363">
        <f>$F$372</f>
        <v>406.06387459114677</v>
      </c>
      <c r="E530" s="364">
        <f>$F$495</f>
        <v>5189508.6187717067</v>
      </c>
      <c r="F530" s="364">
        <f>$H$369*1000/$F$10</f>
        <v>128.89825642035004</v>
      </c>
      <c r="G530" s="3"/>
      <c r="H530" s="362"/>
      <c r="I530" s="363">
        <f>$F$372</f>
        <v>406.06387459114677</v>
      </c>
      <c r="J530" s="364">
        <f>$F$495</f>
        <v>5189508.6187717067</v>
      </c>
      <c r="K530" s="364">
        <f>$H$369*1000/$F$10</f>
        <v>128.89825642035004</v>
      </c>
      <c r="L530" s="3"/>
      <c r="M530" s="3"/>
      <c r="N530" s="3"/>
      <c r="O530" s="3"/>
      <c r="P530" s="3"/>
      <c r="Q530" s="3"/>
      <c r="R530" s="3"/>
      <c r="S530" s="3"/>
      <c r="T530" s="3"/>
      <c r="U530" s="3"/>
      <c r="V530" s="3"/>
      <c r="W530" s="3"/>
      <c r="X530" s="3"/>
      <c r="Y530" s="3"/>
      <c r="Z530" s="3"/>
    </row>
    <row r="531" spans="1:26" ht="12.75" x14ac:dyDescent="0.2">
      <c r="A531" s="246"/>
      <c r="B531" s="3"/>
      <c r="C531" s="382">
        <v>-0.03</v>
      </c>
      <c r="D531" s="621">
        <f t="dataTable" ref="D531:F538" dt2D="0" dtr="0" r1="F53" ca="1"/>
        <v>420.55586011254218</v>
      </c>
      <c r="E531" s="622">
        <v>5531331.5665293634</v>
      </c>
      <c r="F531" s="622">
        <v>138.40842704368379</v>
      </c>
      <c r="G531" s="3"/>
      <c r="H531" s="382">
        <v>-0.03</v>
      </c>
      <c r="I531" s="621">
        <f t="dataTable" ref="I531:K538" dt2D="0" dtr="0" r1="F75" ca="1"/>
        <v>438.67444904504805</v>
      </c>
      <c r="J531" s="622">
        <v>6048193.7058557542</v>
      </c>
      <c r="K531" s="622">
        <v>134.09069183994072</v>
      </c>
      <c r="L531" s="3"/>
      <c r="M531" s="3"/>
      <c r="N531" s="3"/>
      <c r="O531" s="3"/>
      <c r="P531" s="3"/>
      <c r="Q531" s="3"/>
      <c r="R531" s="3"/>
      <c r="S531" s="3"/>
      <c r="T531" s="3"/>
      <c r="U531" s="3"/>
      <c r="V531" s="3"/>
      <c r="W531" s="3"/>
      <c r="X531" s="3"/>
      <c r="Y531" s="3"/>
      <c r="Z531" s="3"/>
    </row>
    <row r="532" spans="1:26" ht="12.75" x14ac:dyDescent="0.2">
      <c r="A532" s="246"/>
      <c r="B532" s="3"/>
      <c r="C532" s="383">
        <v>-0.02</v>
      </c>
      <c r="D532" s="613">
        <v>415.78746952758081</v>
      </c>
      <c r="E532" s="614">
        <v>5418770.4824894015</v>
      </c>
      <c r="F532" s="614">
        <v>135.27055348776156</v>
      </c>
      <c r="G532" s="3"/>
      <c r="H532" s="383">
        <v>-0.02</v>
      </c>
      <c r="I532" s="613">
        <v>427.80425756041433</v>
      </c>
      <c r="J532" s="614">
        <v>5761965.3434944144</v>
      </c>
      <c r="K532" s="614">
        <v>132.35988003341055</v>
      </c>
      <c r="L532" s="3"/>
      <c r="M532" s="3"/>
      <c r="N532" s="3"/>
      <c r="O532" s="3"/>
      <c r="P532" s="3"/>
      <c r="Q532" s="3"/>
      <c r="R532" s="3"/>
      <c r="S532" s="3"/>
      <c r="T532" s="3"/>
      <c r="U532" s="3"/>
      <c r="V532" s="3"/>
      <c r="W532" s="3"/>
      <c r="X532" s="3"/>
      <c r="Y532" s="3"/>
      <c r="Z532" s="3"/>
    </row>
    <row r="533" spans="1:26" ht="12.75" x14ac:dyDescent="0.2">
      <c r="A533" s="246"/>
      <c r="B533" s="3"/>
      <c r="C533" s="384">
        <v>-0.01</v>
      </c>
      <c r="D533" s="615">
        <v>410.95733632765456</v>
      </c>
      <c r="E533" s="616">
        <v>5304842.5599756548</v>
      </c>
      <c r="F533" s="616">
        <v>132.10049661331686</v>
      </c>
      <c r="G533" s="3"/>
      <c r="H533" s="384">
        <v>-0.01</v>
      </c>
      <c r="I533" s="615">
        <v>416.93406607578072</v>
      </c>
      <c r="J533" s="616">
        <v>5475736.9811330587</v>
      </c>
      <c r="K533" s="616">
        <v>130.62906822688029</v>
      </c>
      <c r="L533" s="3"/>
      <c r="M533" s="3"/>
      <c r="N533" s="3"/>
      <c r="O533" s="3"/>
      <c r="P533" s="3"/>
      <c r="Q533" s="3"/>
      <c r="R533" s="3"/>
      <c r="S533" s="3"/>
      <c r="T533" s="3"/>
      <c r="U533" s="3"/>
      <c r="V533" s="3"/>
      <c r="W533" s="3"/>
      <c r="X533" s="3"/>
      <c r="Y533" s="3"/>
      <c r="Z533" s="3"/>
    </row>
    <row r="534" spans="1:26" ht="12.75" x14ac:dyDescent="0.2">
      <c r="A534" s="246"/>
      <c r="B534" s="3"/>
      <c r="C534" s="602">
        <v>0</v>
      </c>
      <c r="D534" s="617">
        <v>406.06387459114677</v>
      </c>
      <c r="E534" s="618">
        <v>5189508.6187717067</v>
      </c>
      <c r="F534" s="618">
        <v>128.89825642035004</v>
      </c>
      <c r="G534" s="3"/>
      <c r="H534" s="602">
        <v>0</v>
      </c>
      <c r="I534" s="617">
        <v>406.06387459114677</v>
      </c>
      <c r="J534" s="618">
        <v>5189508.6187717067</v>
      </c>
      <c r="K534" s="618">
        <v>128.89825642035004</v>
      </c>
      <c r="L534" s="3"/>
      <c r="M534" s="3"/>
      <c r="N534" s="3"/>
      <c r="O534" s="3"/>
      <c r="P534" s="3"/>
      <c r="Q534" s="3"/>
      <c r="R534" s="3"/>
      <c r="S534" s="3"/>
      <c r="T534" s="3"/>
      <c r="U534" s="3"/>
      <c r="V534" s="3"/>
      <c r="W534" s="3"/>
      <c r="X534" s="3"/>
      <c r="Y534" s="3"/>
      <c r="Z534" s="3"/>
    </row>
    <row r="535" spans="1:26" ht="12.75" x14ac:dyDescent="0.2">
      <c r="A535" s="246"/>
      <c r="B535" s="3"/>
      <c r="C535" s="383">
        <v>0.01</v>
      </c>
      <c r="D535" s="613">
        <v>401.10539741090139</v>
      </c>
      <c r="E535" s="614">
        <v>5072726.5675295582</v>
      </c>
      <c r="F535" s="614">
        <v>125.66383290886094</v>
      </c>
      <c r="G535" s="3"/>
      <c r="H535" s="383">
        <v>0.01</v>
      </c>
      <c r="I535" s="613">
        <v>395.19368310651294</v>
      </c>
      <c r="J535" s="614">
        <v>4903280.2564103464</v>
      </c>
      <c r="K535" s="614">
        <v>127.16744461381971</v>
      </c>
      <c r="L535" s="3"/>
      <c r="M535" s="3"/>
      <c r="N535" s="3"/>
      <c r="O535" s="3"/>
      <c r="P535" s="3"/>
      <c r="Q535" s="3"/>
      <c r="R535" s="3"/>
      <c r="S535" s="3"/>
      <c r="T535" s="3"/>
      <c r="U535" s="3"/>
      <c r="V535" s="3"/>
      <c r="W535" s="3"/>
      <c r="X535" s="3"/>
      <c r="Y535" s="3"/>
      <c r="Z535" s="3"/>
    </row>
    <row r="536" spans="1:26" ht="12.75" x14ac:dyDescent="0.2">
      <c r="A536" s="246"/>
      <c r="B536" s="3"/>
      <c r="C536" s="383">
        <v>0.02</v>
      </c>
      <c r="D536" s="613">
        <v>396.08010944570378</v>
      </c>
      <c r="E536" s="614">
        <v>4954451.1873885598</v>
      </c>
      <c r="F536" s="614">
        <v>122.39722607884973</v>
      </c>
      <c r="G536" s="3"/>
      <c r="H536" s="383">
        <v>0.02</v>
      </c>
      <c r="I536" s="613">
        <v>384.32349162187899</v>
      </c>
      <c r="J536" s="614">
        <v>4617051.894049014</v>
      </c>
      <c r="K536" s="614">
        <v>125.43663280728937</v>
      </c>
      <c r="L536" s="3"/>
      <c r="M536" s="3"/>
      <c r="N536" s="3"/>
      <c r="O536" s="3"/>
      <c r="P536" s="3"/>
      <c r="Q536" s="3"/>
      <c r="R536" s="3"/>
      <c r="S536" s="3"/>
      <c r="T536" s="3"/>
      <c r="U536" s="3"/>
      <c r="V536" s="3"/>
      <c r="W536" s="3"/>
      <c r="X536" s="3"/>
      <c r="Y536" s="3"/>
      <c r="Z536" s="3"/>
    </row>
    <row r="537" spans="1:26" ht="12.75" x14ac:dyDescent="0.2">
      <c r="A537" s="246"/>
      <c r="B537" s="3"/>
      <c r="C537" s="383">
        <v>0.03</v>
      </c>
      <c r="D537" s="613">
        <v>390.98609902104903</v>
      </c>
      <c r="E537" s="614">
        <v>4834633.9028890664</v>
      </c>
      <c r="F537" s="614">
        <v>119.09843593031583</v>
      </c>
      <c r="G537" s="3"/>
      <c r="H537" s="383">
        <v>0.03</v>
      </c>
      <c r="I537" s="613">
        <v>373.45330013724515</v>
      </c>
      <c r="J537" s="614">
        <v>4330823.5316876564</v>
      </c>
      <c r="K537" s="614">
        <v>123.70582100075904</v>
      </c>
      <c r="L537" s="3"/>
      <c r="M537" s="3"/>
      <c r="N537" s="3"/>
      <c r="O537" s="3"/>
      <c r="P537" s="3"/>
      <c r="Q537" s="3"/>
      <c r="R537" s="3"/>
      <c r="S537" s="3"/>
      <c r="T537" s="3"/>
      <c r="U537" s="3"/>
      <c r="V537" s="3"/>
      <c r="W537" s="3"/>
      <c r="X537" s="3"/>
      <c r="Y537" s="3"/>
      <c r="Z537" s="3"/>
    </row>
    <row r="538" spans="1:26" ht="12.75" x14ac:dyDescent="0.2">
      <c r="A538" s="246"/>
      <c r="B538" s="3"/>
      <c r="C538" s="388">
        <v>0.04</v>
      </c>
      <c r="D538" s="619">
        <v>385.82132976029845</v>
      </c>
      <c r="E538" s="620">
        <v>4713222.5396602247</v>
      </c>
      <c r="F538" s="620">
        <v>115.76746246325965</v>
      </c>
      <c r="G538" s="3"/>
      <c r="H538" s="388">
        <v>0.04</v>
      </c>
      <c r="I538" s="619">
        <v>362.58310865261126</v>
      </c>
      <c r="J538" s="620">
        <v>4044595.1693263068</v>
      </c>
      <c r="K538" s="620">
        <v>121.97500919422879</v>
      </c>
      <c r="L538" s="3"/>
      <c r="M538" s="3"/>
      <c r="N538" s="3"/>
      <c r="O538" s="3"/>
      <c r="P538" s="3"/>
      <c r="Q538" s="3"/>
      <c r="R538" s="3"/>
      <c r="S538" s="3"/>
      <c r="T538" s="3"/>
      <c r="U538" s="3"/>
      <c r="V538" s="3"/>
      <c r="W538" s="3"/>
      <c r="X538" s="3"/>
      <c r="Y538" s="3"/>
      <c r="Z538" s="3"/>
    </row>
    <row r="539" spans="1:26" ht="12.75" x14ac:dyDescent="0.2">
      <c r="A539" s="246"/>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51" x14ac:dyDescent="0.2">
      <c r="A540" s="246"/>
      <c r="B540" s="3"/>
      <c r="C540" s="359" t="s">
        <v>932</v>
      </c>
      <c r="D540" s="360" t="s">
        <v>812</v>
      </c>
      <c r="E540" s="361" t="s">
        <v>813</v>
      </c>
      <c r="F540" s="361" t="s">
        <v>814</v>
      </c>
      <c r="G540" s="3"/>
      <c r="H540" s="359" t="s">
        <v>936</v>
      </c>
      <c r="I540" s="360" t="s">
        <v>812</v>
      </c>
      <c r="J540" s="361" t="s">
        <v>813</v>
      </c>
      <c r="K540" s="361" t="s">
        <v>814</v>
      </c>
      <c r="L540" s="3"/>
      <c r="M540" s="3"/>
      <c r="N540" s="3"/>
      <c r="O540" s="3"/>
      <c r="P540" s="3"/>
      <c r="Q540" s="3"/>
      <c r="R540" s="3"/>
      <c r="S540" s="3"/>
      <c r="T540" s="3"/>
      <c r="U540" s="3"/>
      <c r="V540" s="3"/>
      <c r="W540" s="3"/>
      <c r="X540" s="3"/>
      <c r="Y540" s="3"/>
      <c r="Z540" s="3"/>
    </row>
    <row r="541" spans="1:26" ht="12.75" x14ac:dyDescent="0.2">
      <c r="A541" s="246"/>
      <c r="B541" s="3"/>
      <c r="C541" s="362"/>
      <c r="D541" s="363">
        <f>$F$372</f>
        <v>406.06387459114677</v>
      </c>
      <c r="E541" s="364">
        <f>$F$495</f>
        <v>5189508.6187717067</v>
      </c>
      <c r="F541" s="364">
        <f>$H$369*1000/$F$10</f>
        <v>128.89825642035004</v>
      </c>
      <c r="G541" s="3"/>
      <c r="H541" s="362"/>
      <c r="I541" s="363">
        <f>$F$372</f>
        <v>406.06387459114677</v>
      </c>
      <c r="J541" s="364">
        <f>$F$495</f>
        <v>5189508.6187717067</v>
      </c>
      <c r="K541" s="364">
        <f>$H$369*1000/$F$10</f>
        <v>128.89825642035004</v>
      </c>
      <c r="L541" s="3"/>
      <c r="M541" s="3"/>
      <c r="N541" s="3"/>
      <c r="O541" s="3"/>
      <c r="P541" s="3"/>
      <c r="Q541" s="3"/>
      <c r="R541" s="3"/>
      <c r="S541" s="3"/>
      <c r="T541" s="3"/>
      <c r="U541" s="3"/>
      <c r="V541" s="3"/>
      <c r="W541" s="3"/>
      <c r="X541" s="3"/>
      <c r="Y541" s="3"/>
      <c r="Z541" s="3"/>
    </row>
    <row r="542" spans="1:26" ht="12.75" x14ac:dyDescent="0.2">
      <c r="A542" s="246"/>
      <c r="B542" s="3"/>
      <c r="C542" s="382">
        <v>-0.03</v>
      </c>
      <c r="D542" s="621">
        <f t="dataTable" ref="D542:F549" dt2D="0" dtr="0" r1="F85" ca="1"/>
        <v>376.96585023372091</v>
      </c>
      <c r="E542" s="622">
        <v>4481707.9149640072</v>
      </c>
      <c r="F542" s="622">
        <v>111.91892326314567</v>
      </c>
      <c r="G542" s="3"/>
      <c r="H542" s="382">
        <v>-0.03</v>
      </c>
      <c r="I542" s="621">
        <f t="dataTable" ref="I542:K549" dt2D="0" dtr="0" r1="F74" ca="1"/>
        <v>419.05824189961709</v>
      </c>
      <c r="J542" s="622">
        <v>5534486.3610206563</v>
      </c>
      <c r="K542" s="622">
        <v>128.89825642035004</v>
      </c>
      <c r="L542" s="3"/>
      <c r="M542" s="3"/>
      <c r="N542" s="3"/>
      <c r="O542" s="3"/>
      <c r="P542" s="3"/>
      <c r="Q542" s="3"/>
      <c r="R542" s="3"/>
      <c r="S542" s="3"/>
      <c r="T542" s="3"/>
      <c r="U542" s="3"/>
      <c r="V542" s="3"/>
      <c r="W542" s="3"/>
      <c r="X542" s="3"/>
      <c r="Y542" s="3"/>
      <c r="Z542" s="3"/>
    </row>
    <row r="543" spans="1:26" ht="12.75" x14ac:dyDescent="0.2">
      <c r="A543" s="246"/>
      <c r="B543" s="3"/>
      <c r="C543" s="383">
        <v>-0.02</v>
      </c>
      <c r="D543" s="613">
        <v>386.66519168619578</v>
      </c>
      <c r="E543" s="614">
        <v>4717641.4828998931</v>
      </c>
      <c r="F543" s="614">
        <v>117.57870098221352</v>
      </c>
      <c r="G543" s="3"/>
      <c r="H543" s="383">
        <v>-0.02</v>
      </c>
      <c r="I543" s="613">
        <v>414.94526868976959</v>
      </c>
      <c r="J543" s="614">
        <v>5425230.6567381741</v>
      </c>
      <c r="K543" s="614">
        <v>128.89825642035004</v>
      </c>
      <c r="L543" s="3"/>
      <c r="M543" s="3"/>
      <c r="N543" s="3"/>
      <c r="O543" s="3"/>
      <c r="P543" s="3"/>
      <c r="Q543" s="3"/>
      <c r="R543" s="3"/>
      <c r="S543" s="3"/>
      <c r="T543" s="3"/>
      <c r="U543" s="3"/>
      <c r="V543" s="3"/>
      <c r="W543" s="3"/>
      <c r="X543" s="3"/>
      <c r="Y543" s="3"/>
      <c r="Z543" s="3"/>
    </row>
    <row r="544" spans="1:26" ht="12.75" x14ac:dyDescent="0.2">
      <c r="A544" s="246"/>
      <c r="B544" s="3"/>
      <c r="C544" s="384">
        <v>-0.01</v>
      </c>
      <c r="D544" s="615">
        <v>396.3645331386715</v>
      </c>
      <c r="E544" s="616">
        <v>4953575.0508358059</v>
      </c>
      <c r="F544" s="616">
        <v>123.23847870128186</v>
      </c>
      <c r="G544" s="3"/>
      <c r="H544" s="384">
        <v>-0.01</v>
      </c>
      <c r="I544" s="615">
        <v>410.61739732658953</v>
      </c>
      <c r="J544" s="616">
        <v>5310331.2731932802</v>
      </c>
      <c r="K544" s="616">
        <v>128.89825642035004</v>
      </c>
      <c r="L544" s="3"/>
      <c r="M544" s="3"/>
      <c r="N544" s="3"/>
      <c r="O544" s="3"/>
      <c r="P544" s="3"/>
      <c r="Q544" s="3"/>
      <c r="R544" s="3"/>
      <c r="S544" s="3"/>
      <c r="T544" s="3"/>
      <c r="U544" s="3"/>
      <c r="V544" s="3"/>
      <c r="W544" s="3"/>
      <c r="X544" s="3"/>
      <c r="Y544" s="3"/>
      <c r="Z544" s="3"/>
    </row>
    <row r="545" spans="1:26" ht="12.75" x14ac:dyDescent="0.2">
      <c r="A545" s="246"/>
      <c r="B545" s="3"/>
      <c r="C545" s="602">
        <v>0</v>
      </c>
      <c r="D545" s="617">
        <v>406.06387459114677</v>
      </c>
      <c r="E545" s="618">
        <v>5189508.6187717067</v>
      </c>
      <c r="F545" s="618">
        <v>128.89825642035004</v>
      </c>
      <c r="G545" s="3"/>
      <c r="H545" s="602">
        <v>0</v>
      </c>
      <c r="I545" s="617">
        <v>406.06387459114677</v>
      </c>
      <c r="J545" s="618">
        <v>5189508.6187717067</v>
      </c>
      <c r="K545" s="618">
        <v>128.89825642035004</v>
      </c>
      <c r="L545" s="3"/>
      <c r="M545" s="3"/>
      <c r="N545" s="3"/>
      <c r="O545" s="3"/>
      <c r="P545" s="3"/>
      <c r="Q545" s="3"/>
      <c r="R545" s="3"/>
      <c r="S545" s="3"/>
      <c r="T545" s="3"/>
      <c r="U545" s="3"/>
      <c r="V545" s="3"/>
      <c r="W545" s="3"/>
      <c r="X545" s="3"/>
      <c r="Y545" s="3"/>
      <c r="Z545" s="3"/>
    </row>
    <row r="546" spans="1:26" ht="12.75" x14ac:dyDescent="0.2">
      <c r="A546" s="246"/>
      <c r="B546" s="3"/>
      <c r="C546" s="383">
        <v>0.01</v>
      </c>
      <c r="D546" s="613">
        <v>415.76321604362232</v>
      </c>
      <c r="E546" s="614">
        <v>5425442.1867076112</v>
      </c>
      <c r="F546" s="614">
        <v>134.55803413941823</v>
      </c>
      <c r="G546" s="3"/>
      <c r="H546" s="383">
        <v>0.01</v>
      </c>
      <c r="I546" s="613">
        <v>401.27344568053877</v>
      </c>
      <c r="J546" s="614">
        <v>5062470.1315587536</v>
      </c>
      <c r="K546" s="614">
        <v>128.89825642035004</v>
      </c>
      <c r="L546" s="3"/>
      <c r="M546" s="3"/>
      <c r="N546" s="3"/>
      <c r="O546" s="3"/>
      <c r="P546" s="3"/>
      <c r="Q546" s="3"/>
      <c r="R546" s="3"/>
      <c r="S546" s="3"/>
      <c r="T546" s="3"/>
      <c r="U546" s="3"/>
      <c r="V546" s="3"/>
      <c r="W546" s="3"/>
      <c r="X546" s="3"/>
      <c r="Y546" s="3"/>
      <c r="Z546" s="3"/>
    </row>
    <row r="547" spans="1:26" ht="12.75" x14ac:dyDescent="0.2">
      <c r="A547" s="246"/>
      <c r="B547" s="3"/>
      <c r="C547" s="383">
        <v>0.02</v>
      </c>
      <c r="D547" s="613">
        <v>425.46255749609753</v>
      </c>
      <c r="E547" s="614">
        <v>5661375.7546435129</v>
      </c>
      <c r="F547" s="614">
        <v>140.21781185848633</v>
      </c>
      <c r="G547" s="3"/>
      <c r="H547" s="383">
        <v>0.02</v>
      </c>
      <c r="I547" s="613">
        <v>396.23433418882877</v>
      </c>
      <c r="J547" s="614">
        <v>4928909.7624638965</v>
      </c>
      <c r="K547" s="614">
        <v>128.89825642035004</v>
      </c>
      <c r="L547" s="3"/>
      <c r="M547" s="3"/>
      <c r="N547" s="3"/>
      <c r="O547" s="3"/>
      <c r="P547" s="3"/>
      <c r="Q547" s="3"/>
      <c r="R547" s="3"/>
      <c r="S547" s="3"/>
      <c r="T547" s="3"/>
      <c r="U547" s="3"/>
      <c r="V547" s="3"/>
      <c r="W547" s="3"/>
      <c r="X547" s="3"/>
      <c r="Y547" s="3"/>
      <c r="Z547" s="3"/>
    </row>
    <row r="548" spans="1:26" ht="12.75" x14ac:dyDescent="0.2">
      <c r="A548" s="246"/>
      <c r="B548" s="3"/>
      <c r="C548" s="383">
        <v>0.03</v>
      </c>
      <c r="D548" s="613">
        <v>435.16189894857331</v>
      </c>
      <c r="E548" s="614">
        <v>5897309.322579422</v>
      </c>
      <c r="F548" s="614">
        <v>145.87758957755469</v>
      </c>
      <c r="G548" s="3"/>
      <c r="H548" s="383">
        <v>0.03</v>
      </c>
      <c r="I548" s="613">
        <v>390.93422147836031</v>
      </c>
      <c r="J548" s="614">
        <v>4788507.4426053977</v>
      </c>
      <c r="K548" s="614">
        <v>128.89825642035004</v>
      </c>
      <c r="L548" s="3"/>
      <c r="M548" s="3"/>
      <c r="N548" s="3"/>
      <c r="O548" s="3"/>
      <c r="P548" s="3"/>
      <c r="Q548" s="3"/>
      <c r="R548" s="3"/>
      <c r="S548" s="3"/>
      <c r="T548" s="3"/>
      <c r="U548" s="3"/>
      <c r="V548" s="3"/>
      <c r="W548" s="3"/>
      <c r="X548" s="3"/>
      <c r="Y548" s="3"/>
      <c r="Z548" s="3"/>
    </row>
    <row r="549" spans="1:26" ht="12.75" x14ac:dyDescent="0.2">
      <c r="A549" s="246"/>
      <c r="B549" s="3"/>
      <c r="C549" s="388">
        <v>0.04</v>
      </c>
      <c r="D549" s="619">
        <v>444.86124040104852</v>
      </c>
      <c r="E549" s="620">
        <v>6133242.8905153209</v>
      </c>
      <c r="F549" s="620">
        <v>151.53736729662268</v>
      </c>
      <c r="G549" s="3"/>
      <c r="H549" s="388">
        <v>0.04</v>
      </c>
      <c r="I549" s="619">
        <v>385.36022542919363</v>
      </c>
      <c r="J549" s="620">
        <v>4640928.5346385548</v>
      </c>
      <c r="K549" s="620">
        <v>128.89825642035004</v>
      </c>
      <c r="L549" s="3"/>
      <c r="M549" s="3"/>
      <c r="N549" s="3"/>
      <c r="O549" s="3"/>
      <c r="P549" s="3"/>
      <c r="Q549" s="3"/>
      <c r="R549" s="3"/>
      <c r="S549" s="3"/>
      <c r="T549" s="3"/>
      <c r="U549" s="3"/>
      <c r="V549" s="3"/>
      <c r="W549" s="3"/>
      <c r="X549" s="3"/>
      <c r="Y549" s="3"/>
      <c r="Z549" s="3"/>
    </row>
    <row r="550" spans="1:26" ht="12.75" x14ac:dyDescent="0.2">
      <c r="A550" s="246"/>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63.75" x14ac:dyDescent="0.2">
      <c r="A551" s="246"/>
      <c r="B551" s="3"/>
      <c r="C551" s="359" t="s">
        <v>933</v>
      </c>
      <c r="D551" s="360" t="s">
        <v>812</v>
      </c>
      <c r="E551" s="361" t="s">
        <v>813</v>
      </c>
      <c r="F551" s="361" t="s">
        <v>814</v>
      </c>
      <c r="G551" s="3"/>
      <c r="H551" s="359" t="s">
        <v>934</v>
      </c>
      <c r="I551" s="360" t="s">
        <v>812</v>
      </c>
      <c r="J551" s="361" t="s">
        <v>813</v>
      </c>
      <c r="K551" s="361" t="s">
        <v>814</v>
      </c>
      <c r="L551" s="3"/>
      <c r="M551" s="3"/>
      <c r="N551" s="3"/>
      <c r="O551" s="3"/>
      <c r="P551" s="3"/>
      <c r="Q551" s="3"/>
      <c r="R551" s="3"/>
      <c r="S551" s="3"/>
      <c r="T551" s="3"/>
      <c r="U551" s="3"/>
      <c r="V551" s="3"/>
      <c r="W551" s="3"/>
      <c r="X551" s="3"/>
      <c r="Y551" s="3"/>
      <c r="Z551" s="3"/>
    </row>
    <row r="552" spans="1:26" ht="12.75" x14ac:dyDescent="0.2">
      <c r="A552" s="246"/>
      <c r="B552" s="3"/>
      <c r="C552" s="362"/>
      <c r="D552" s="363">
        <f>$F$372</f>
        <v>406.06387459114677</v>
      </c>
      <c r="E552" s="364">
        <f>$F$495</f>
        <v>5189508.6187717067</v>
      </c>
      <c r="F552" s="364">
        <f>$H$369*1000/$F$10</f>
        <v>128.89825642035004</v>
      </c>
      <c r="G552" s="3"/>
      <c r="H552" s="362"/>
      <c r="I552" s="363">
        <f>$F$372</f>
        <v>406.06387459114677</v>
      </c>
      <c r="J552" s="364">
        <f>$F$495</f>
        <v>5189508.6187717067</v>
      </c>
      <c r="K552" s="364">
        <f>$H$369*1000/$F$10</f>
        <v>128.89825642035004</v>
      </c>
      <c r="L552" s="3"/>
      <c r="M552" s="3"/>
      <c r="N552" s="3"/>
      <c r="O552" s="3"/>
      <c r="P552" s="3"/>
      <c r="Q552" s="3"/>
      <c r="R552" s="3"/>
      <c r="S552" s="3"/>
      <c r="T552" s="3"/>
      <c r="U552" s="3"/>
      <c r="V552" s="3"/>
      <c r="W552" s="3"/>
      <c r="X552" s="3"/>
      <c r="Y552" s="3"/>
      <c r="Z552" s="3"/>
    </row>
    <row r="553" spans="1:26" ht="12.75" x14ac:dyDescent="0.2">
      <c r="A553" s="246"/>
      <c r="B553" s="3"/>
      <c r="C553" s="382">
        <v>-0.02</v>
      </c>
      <c r="D553" s="621">
        <f t="dataTable" ref="D553:F559" dt2D="0" dtr="0" r1="F34" ca="1"/>
        <v>668.66484231161485</v>
      </c>
      <c r="E553" s="622">
        <v>11538105.476822695</v>
      </c>
      <c r="F553" s="622">
        <v>158.71373948255643</v>
      </c>
      <c r="G553" s="3"/>
      <c r="H553" s="382">
        <v>-0.18</v>
      </c>
      <c r="I553" s="621">
        <f t="dataTable" ref="I553:K559" dt2D="0" dtr="0" r1="I35" ca="1"/>
        <v>166.08989544383351</v>
      </c>
      <c r="J553" s="622">
        <v>-619042.82227013796</v>
      </c>
      <c r="K553" s="622">
        <v>42.772560343163413</v>
      </c>
      <c r="L553" s="3"/>
      <c r="M553" s="3"/>
      <c r="N553" s="3"/>
      <c r="O553" s="3"/>
      <c r="P553" s="3"/>
      <c r="Q553" s="3"/>
      <c r="R553" s="3"/>
      <c r="S553" s="3"/>
      <c r="T553" s="3"/>
      <c r="U553" s="3"/>
      <c r="V553" s="3"/>
      <c r="W553" s="3"/>
      <c r="X553" s="3"/>
      <c r="Y553" s="3"/>
      <c r="Z553" s="3"/>
    </row>
    <row r="554" spans="1:26" ht="12.75" x14ac:dyDescent="0.2">
      <c r="A554" s="246"/>
      <c r="B554" s="3"/>
      <c r="C554" s="383">
        <v>-0.01</v>
      </c>
      <c r="D554" s="613">
        <v>585.04337768854407</v>
      </c>
      <c r="E554" s="614">
        <v>9516945.7022511624</v>
      </c>
      <c r="F554" s="614">
        <v>148.87512949385518</v>
      </c>
      <c r="G554" s="3"/>
      <c r="H554" s="383">
        <v>-0.15</v>
      </c>
      <c r="I554" s="613">
        <v>254.52213481624648</v>
      </c>
      <c r="J554" s="614">
        <v>1520815.2570221245</v>
      </c>
      <c r="K554" s="614">
        <v>75.069696372108695</v>
      </c>
      <c r="L554" s="3"/>
      <c r="M554" s="3"/>
      <c r="N554" s="3"/>
      <c r="O554" s="3"/>
      <c r="P554" s="3"/>
      <c r="Q554" s="3"/>
      <c r="R554" s="3"/>
      <c r="S554" s="3"/>
      <c r="T554" s="3"/>
      <c r="U554" s="3"/>
      <c r="V554" s="3"/>
      <c r="W554" s="3"/>
      <c r="X554" s="3"/>
      <c r="Y554" s="3"/>
      <c r="Z554" s="3"/>
    </row>
    <row r="555" spans="1:26" ht="12.75" x14ac:dyDescent="0.2">
      <c r="A555" s="246"/>
      <c r="B555" s="3"/>
      <c r="C555" s="384">
        <v>0</v>
      </c>
      <c r="D555" s="615">
        <v>497.57222713556172</v>
      </c>
      <c r="E555" s="616">
        <v>7402278.0316589549</v>
      </c>
      <c r="F555" s="616">
        <v>138.93663513978632</v>
      </c>
      <c r="G555" s="3"/>
      <c r="H555" s="384">
        <v>-0.12</v>
      </c>
      <c r="I555" s="615">
        <v>344.82397755805476</v>
      </c>
      <c r="J555" s="616">
        <v>3706691.7896325043</v>
      </c>
      <c r="K555" s="616">
        <v>107.36683240105344</v>
      </c>
      <c r="L555" s="3"/>
      <c r="M555" s="3"/>
      <c r="N555" s="3"/>
      <c r="O555" s="3"/>
      <c r="P555" s="3"/>
      <c r="Q555" s="3"/>
      <c r="R555" s="3"/>
      <c r="S555" s="3"/>
      <c r="T555" s="3"/>
      <c r="U555" s="3"/>
      <c r="V555" s="3"/>
      <c r="W555" s="3"/>
      <c r="X555" s="3"/>
      <c r="Y555" s="3"/>
      <c r="Z555" s="3"/>
    </row>
    <row r="556" spans="1:26" ht="12.75" x14ac:dyDescent="0.2">
      <c r="A556" s="246"/>
      <c r="B556" s="3"/>
      <c r="C556" s="602">
        <v>0.01</v>
      </c>
      <c r="D556" s="617">
        <v>406.06387459114677</v>
      </c>
      <c r="E556" s="618">
        <v>5189508.6187717067</v>
      </c>
      <c r="F556" s="618">
        <v>128.89825642035004</v>
      </c>
      <c r="G556" s="3"/>
      <c r="H556" s="602">
        <v>-0.1</v>
      </c>
      <c r="I556" s="617">
        <v>406.06387459114677</v>
      </c>
      <c r="J556" s="618">
        <v>5189508.6187717067</v>
      </c>
      <c r="K556" s="618">
        <v>128.89825642035004</v>
      </c>
      <c r="L556" s="3"/>
      <c r="M556" s="3"/>
      <c r="N556" s="3"/>
      <c r="O556" s="3"/>
      <c r="P556" s="3"/>
      <c r="Q556" s="3"/>
      <c r="R556" s="3"/>
      <c r="S556" s="3"/>
      <c r="T556" s="3"/>
      <c r="U556" s="3"/>
      <c r="V556" s="3"/>
      <c r="W556" s="3"/>
      <c r="X556" s="3"/>
      <c r="Y556" s="3"/>
      <c r="Z556" s="3"/>
    </row>
    <row r="557" spans="1:26" ht="12.75" x14ac:dyDescent="0.2">
      <c r="A557" s="246"/>
      <c r="B557" s="3"/>
      <c r="C557" s="383">
        <v>0.02</v>
      </c>
      <c r="D557" s="613">
        <v>310.32218384148041</v>
      </c>
      <c r="E557" s="614">
        <v>2873829.8428034293</v>
      </c>
      <c r="F557" s="614">
        <v>118.75999333554633</v>
      </c>
      <c r="G557" s="3"/>
      <c r="H557" s="383">
        <v>-0.08</v>
      </c>
      <c r="I557" s="613">
        <v>468.13470645508147</v>
      </c>
      <c r="J557" s="614">
        <v>6692778.0938300807</v>
      </c>
      <c r="K557" s="614">
        <v>150.42968043964703</v>
      </c>
      <c r="L557" s="3"/>
      <c r="M557" s="3"/>
      <c r="N557" s="3"/>
      <c r="O557" s="3"/>
      <c r="P557" s="3"/>
      <c r="Q557" s="3"/>
      <c r="R557" s="3"/>
      <c r="S557" s="3"/>
      <c r="T557" s="3"/>
      <c r="U557" s="3"/>
      <c r="V557" s="3"/>
      <c r="W557" s="3"/>
      <c r="X557" s="3"/>
      <c r="Y557" s="3"/>
      <c r="Z557" s="3"/>
    </row>
    <row r="558" spans="1:26" ht="12.75" x14ac:dyDescent="0.2">
      <c r="A558" s="246"/>
      <c r="B558" s="3"/>
      <c r="C558" s="383">
        <v>0.03</v>
      </c>
      <c r="D558" s="613">
        <v>210.14204983657893</v>
      </c>
      <c r="E558" s="614">
        <v>450211.55525853467</v>
      </c>
      <c r="F558" s="614">
        <v>108.5218458853748</v>
      </c>
      <c r="G558" s="3"/>
      <c r="H558" s="383">
        <v>-0.05</v>
      </c>
      <c r="I558" s="613">
        <v>562.79895705881302</v>
      </c>
      <c r="J558" s="614">
        <v>8986031.0175160542</v>
      </c>
      <c r="K558" s="614">
        <v>182.72681646859178</v>
      </c>
      <c r="L558" s="3"/>
      <c r="M558" s="3"/>
      <c r="N558" s="3"/>
      <c r="O558" s="3"/>
      <c r="P558" s="3"/>
      <c r="Q558" s="3"/>
      <c r="R558" s="3"/>
      <c r="S558" s="3"/>
      <c r="T558" s="3"/>
      <c r="U558" s="3"/>
      <c r="V558" s="3"/>
      <c r="W558" s="3"/>
      <c r="X558" s="3"/>
      <c r="Y558" s="3"/>
      <c r="Z558" s="3"/>
    </row>
    <row r="559" spans="1:26" ht="12.75" x14ac:dyDescent="0.2">
      <c r="A559" s="246"/>
      <c r="B559" s="3"/>
      <c r="C559" s="388">
        <v>0.04</v>
      </c>
      <c r="D559" s="619">
        <v>105.3090383486927</v>
      </c>
      <c r="E559" s="620">
        <v>-2086607.9688447886</v>
      </c>
      <c r="F559" s="620">
        <v>98.18381406983579</v>
      </c>
      <c r="G559" s="3"/>
      <c r="H559" s="388">
        <v>0</v>
      </c>
      <c r="I559" s="619">
        <v>724.72738221924521</v>
      </c>
      <c r="J559" s="620">
        <v>12910382.453255175</v>
      </c>
      <c r="K559" s="620">
        <v>236.55537651683366</v>
      </c>
      <c r="L559" s="3"/>
      <c r="M559" s="3"/>
      <c r="N559" s="117"/>
      <c r="O559" s="3"/>
      <c r="P559" s="3"/>
      <c r="Q559" s="3"/>
      <c r="R559" s="3"/>
      <c r="S559" s="3"/>
      <c r="T559" s="3"/>
      <c r="U559" s="3"/>
      <c r="V559" s="3"/>
      <c r="W559" s="3"/>
      <c r="X559" s="3"/>
      <c r="Y559" s="3"/>
      <c r="Z559" s="3"/>
    </row>
    <row r="560" spans="1:26" ht="12.75" x14ac:dyDescent="0.2">
      <c r="A560" s="246"/>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38.25" x14ac:dyDescent="0.2">
      <c r="A561" s="246"/>
      <c r="B561" s="3"/>
      <c r="C561" s="359" t="s">
        <v>935</v>
      </c>
      <c r="D561" s="360" t="s">
        <v>812</v>
      </c>
      <c r="E561" s="361" t="s">
        <v>813</v>
      </c>
      <c r="F561" s="361" t="s">
        <v>814</v>
      </c>
      <c r="G561" s="3"/>
      <c r="H561" s="359" t="s">
        <v>937</v>
      </c>
      <c r="I561" s="360" t="s">
        <v>812</v>
      </c>
      <c r="J561" s="361" t="s">
        <v>813</v>
      </c>
      <c r="K561" s="361" t="s">
        <v>814</v>
      </c>
      <c r="L561" s="3"/>
      <c r="M561" s="3"/>
      <c r="N561" s="3"/>
      <c r="O561" s="3"/>
      <c r="P561" s="3"/>
      <c r="Q561" s="3"/>
      <c r="R561" s="3"/>
      <c r="S561" s="3"/>
      <c r="T561" s="3"/>
      <c r="U561" s="3"/>
      <c r="V561" s="3"/>
      <c r="W561" s="3"/>
      <c r="X561" s="3"/>
      <c r="Y561" s="3"/>
      <c r="Z561" s="3"/>
    </row>
    <row r="562" spans="1:26" ht="12.75" x14ac:dyDescent="0.2">
      <c r="A562" s="246"/>
      <c r="B562" s="3"/>
      <c r="C562" s="362"/>
      <c r="D562" s="363">
        <f>$F$372</f>
        <v>406.06387459114677</v>
      </c>
      <c r="E562" s="364">
        <f>$F$495</f>
        <v>5189508.6187717067</v>
      </c>
      <c r="F562" s="364">
        <f>$H$369*1000/$F$10</f>
        <v>128.89825642035004</v>
      </c>
      <c r="G562" s="3"/>
      <c r="H562" s="362"/>
      <c r="I562" s="363">
        <f>$F$372</f>
        <v>406.06387459114677</v>
      </c>
      <c r="J562" s="364">
        <f>$F$495</f>
        <v>5189508.6187717067</v>
      </c>
      <c r="K562" s="364">
        <f>$H$369*1000/$F$10</f>
        <v>128.89825642035004</v>
      </c>
      <c r="L562" s="3"/>
      <c r="M562" s="3"/>
      <c r="N562" s="3"/>
      <c r="O562" s="3"/>
      <c r="P562" s="3"/>
      <c r="Q562" s="3"/>
      <c r="R562" s="3"/>
      <c r="S562" s="3"/>
      <c r="T562" s="3"/>
      <c r="U562" s="3"/>
      <c r="V562" s="3"/>
      <c r="W562" s="3"/>
      <c r="X562" s="3"/>
      <c r="Y562" s="3"/>
      <c r="Z562" s="3"/>
    </row>
    <row r="563" spans="1:26" ht="12.75" x14ac:dyDescent="0.2">
      <c r="A563" s="246"/>
      <c r="B563" s="3"/>
      <c r="C563" s="604">
        <v>18</v>
      </c>
      <c r="D563" s="613">
        <f t="dataTable" ref="D563:F568" dt2D="0" dtr="0" r1="I30" ca="1"/>
        <v>-509.25351976326192</v>
      </c>
      <c r="E563" s="614">
        <v>-16430768.519584911</v>
      </c>
      <c r="F563" s="614">
        <v>-116.34555657952319</v>
      </c>
      <c r="G563" s="3"/>
      <c r="H563" s="604">
        <v>20000</v>
      </c>
      <c r="I563" s="613">
        <f t="dataTable" ref="I563:K568" dt2D="0" dtr="0" r1="I84" ca="1"/>
        <v>-354.64724585033372</v>
      </c>
      <c r="J563" s="614">
        <v>-13634784.869450264</v>
      </c>
      <c r="K563" s="614">
        <v>128.89825642035004</v>
      </c>
      <c r="L563" s="3"/>
      <c r="M563" s="3"/>
      <c r="N563" s="3"/>
      <c r="O563" s="3"/>
      <c r="P563" s="3"/>
      <c r="Q563" s="3"/>
      <c r="R563" s="3"/>
      <c r="S563" s="3"/>
      <c r="T563" s="3"/>
      <c r="U563" s="3"/>
      <c r="V563" s="3"/>
      <c r="W563" s="3"/>
      <c r="X563" s="3"/>
      <c r="Y563" s="3"/>
      <c r="Z563" s="3"/>
    </row>
    <row r="564" spans="1:26" ht="12.75" x14ac:dyDescent="0.2">
      <c r="A564" s="246"/>
      <c r="B564" s="3"/>
      <c r="C564" s="604">
        <v>20</v>
      </c>
      <c r="D564" s="613">
        <v>-209.14945604050538</v>
      </c>
      <c r="E564" s="614">
        <v>-9342153.0643860251</v>
      </c>
      <c r="F564" s="614">
        <v>-35.937749038581302</v>
      </c>
      <c r="G564" s="3"/>
      <c r="H564" s="604">
        <v>40000</v>
      </c>
      <c r="I564" s="613">
        <v>-99.648680170247545</v>
      </c>
      <c r="J564" s="614">
        <v>-7324678.8246591762</v>
      </c>
      <c r="K564" s="614">
        <v>128.89825642035004</v>
      </c>
      <c r="L564" s="3"/>
      <c r="M564" s="3"/>
      <c r="N564" s="3"/>
      <c r="O564" s="3"/>
      <c r="P564" s="3"/>
      <c r="Q564" s="3"/>
      <c r="R564" s="3"/>
      <c r="S564" s="3"/>
      <c r="T564" s="3"/>
      <c r="U564" s="3"/>
      <c r="V564" s="3"/>
      <c r="W564" s="3"/>
      <c r="X564" s="3"/>
      <c r="Y564" s="3"/>
      <c r="Z564" s="3"/>
    </row>
    <row r="565" spans="1:26" ht="12.75" x14ac:dyDescent="0.2">
      <c r="A565" s="246"/>
      <c r="B565" s="3"/>
      <c r="C565" s="605">
        <v>22</v>
      </c>
      <c r="D565" s="615">
        <v>90.95460768225179</v>
      </c>
      <c r="E565" s="616">
        <v>-2253537.6091871336</v>
      </c>
      <c r="F565" s="616">
        <v>44.470058502360942</v>
      </c>
      <c r="G565" s="3"/>
      <c r="H565" s="605">
        <v>60000</v>
      </c>
      <c r="I565" s="615">
        <v>155.34988550983854</v>
      </c>
      <c r="J565" s="616">
        <v>-1014572.7798680868</v>
      </c>
      <c r="K565" s="616">
        <v>128.89825642035004</v>
      </c>
      <c r="L565" s="3"/>
      <c r="M565" s="3"/>
      <c r="N565" s="3"/>
      <c r="O565" s="3"/>
      <c r="P565" s="3"/>
      <c r="Q565" s="3"/>
      <c r="R565" s="3"/>
      <c r="S565" s="3"/>
      <c r="T565" s="3"/>
      <c r="U565" s="3"/>
      <c r="V565" s="3"/>
      <c r="W565" s="3"/>
      <c r="X565" s="3"/>
      <c r="Y565" s="3"/>
      <c r="Z565" s="3"/>
    </row>
    <row r="566" spans="1:26" ht="12.75" x14ac:dyDescent="0.2">
      <c r="A566" s="246"/>
      <c r="B566" s="3"/>
      <c r="C566" s="606">
        <v>24.1</v>
      </c>
      <c r="D566" s="617">
        <v>406.06387459114677</v>
      </c>
      <c r="E566" s="618">
        <v>5189508.6187717067</v>
      </c>
      <c r="F566" s="618">
        <v>128.89825642035004</v>
      </c>
      <c r="G566" s="3"/>
      <c r="H566" s="606">
        <v>79664</v>
      </c>
      <c r="I566" s="617">
        <v>406.06447528649932</v>
      </c>
      <c r="J566" s="618">
        <v>5189523.4833705146</v>
      </c>
      <c r="K566" s="618">
        <v>128.89825642035004</v>
      </c>
      <c r="L566" s="3"/>
      <c r="M566" s="3"/>
      <c r="N566" s="3"/>
      <c r="O566" s="3"/>
      <c r="P566" s="3"/>
      <c r="Q566" s="3"/>
      <c r="R566" s="3"/>
      <c r="S566" s="3"/>
      <c r="T566" s="3"/>
      <c r="U566" s="3"/>
      <c r="V566" s="3"/>
      <c r="W566" s="3"/>
      <c r="X566" s="3"/>
      <c r="Y566" s="3"/>
      <c r="Z566" s="3"/>
    </row>
    <row r="567" spans="1:26" ht="12.75" x14ac:dyDescent="0.2">
      <c r="A567" s="246"/>
      <c r="B567" s="3"/>
      <c r="C567" s="604">
        <v>26</v>
      </c>
      <c r="D567" s="613">
        <v>691.16273512776502</v>
      </c>
      <c r="E567" s="614">
        <v>11923693.301210638</v>
      </c>
      <c r="F567" s="614">
        <v>205.2856735842449</v>
      </c>
      <c r="G567" s="3"/>
      <c r="H567" s="604">
        <v>90000</v>
      </c>
      <c r="I567" s="613">
        <v>537.84773402996802</v>
      </c>
      <c r="J567" s="614">
        <v>8450586.2873185501</v>
      </c>
      <c r="K567" s="614">
        <v>128.89825642035004</v>
      </c>
      <c r="L567" s="3"/>
      <c r="M567" s="3"/>
      <c r="N567" s="3"/>
      <c r="O567" s="3"/>
      <c r="P567" s="3"/>
      <c r="Q567" s="3"/>
      <c r="R567" s="3"/>
      <c r="S567" s="3"/>
      <c r="T567" s="3"/>
      <c r="U567" s="3"/>
      <c r="V567" s="3"/>
      <c r="W567" s="3"/>
      <c r="X567" s="3"/>
      <c r="Y567" s="3"/>
      <c r="Z567" s="3"/>
    </row>
    <row r="568" spans="1:26" ht="12.75" x14ac:dyDescent="0.2">
      <c r="A568" s="246"/>
      <c r="B568" s="3"/>
      <c r="C568" s="607">
        <v>28</v>
      </c>
      <c r="D568" s="619">
        <v>991.26679885052215</v>
      </c>
      <c r="E568" s="620">
        <v>19012308.756409548</v>
      </c>
      <c r="F568" s="620">
        <v>285.6934811251873</v>
      </c>
      <c r="G568" s="3"/>
      <c r="H568" s="607">
        <v>110000</v>
      </c>
      <c r="I568" s="619">
        <v>792.84629971005404</v>
      </c>
      <c r="J568" s="620">
        <v>14760692.332109639</v>
      </c>
      <c r="K568" s="620">
        <v>128.89825642035004</v>
      </c>
      <c r="L568" s="3"/>
      <c r="M568" s="3"/>
      <c r="N568" s="3"/>
      <c r="O568" s="3"/>
      <c r="P568" s="3"/>
      <c r="Q568" s="3"/>
      <c r="R568" s="3"/>
      <c r="S568" s="3"/>
      <c r="T568" s="3"/>
      <c r="U568" s="3"/>
      <c r="V568" s="3"/>
      <c r="W568" s="3"/>
      <c r="X568" s="3"/>
      <c r="Y568" s="3"/>
      <c r="Z568" s="3"/>
    </row>
    <row r="569" spans="1:26" ht="12.75" x14ac:dyDescent="0.2">
      <c r="A569" s="246"/>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51" x14ac:dyDescent="0.2">
      <c r="A570" s="246"/>
      <c r="B570" s="3"/>
      <c r="C570" s="359" t="s">
        <v>948</v>
      </c>
      <c r="D570" s="662" t="s">
        <v>812</v>
      </c>
      <c r="E570" s="361" t="s">
        <v>813</v>
      </c>
      <c r="F570" s="657" t="s">
        <v>814</v>
      </c>
      <c r="G570" s="3"/>
      <c r="H570" s="359" t="s">
        <v>171</v>
      </c>
      <c r="I570" s="662" t="s">
        <v>812</v>
      </c>
      <c r="J570" s="361" t="s">
        <v>813</v>
      </c>
      <c r="K570" s="657" t="s">
        <v>814</v>
      </c>
      <c r="L570" s="3"/>
      <c r="M570" s="3"/>
      <c r="N570" s="3"/>
      <c r="O570" s="3"/>
      <c r="P570" s="3"/>
      <c r="Q570" s="3"/>
      <c r="R570" s="3"/>
      <c r="S570" s="3"/>
      <c r="T570" s="3"/>
      <c r="U570" s="3"/>
      <c r="V570" s="3"/>
      <c r="W570" s="3"/>
      <c r="X570" s="3"/>
      <c r="Y570" s="3"/>
      <c r="Z570" s="3"/>
    </row>
    <row r="571" spans="1:26" ht="12.75" x14ac:dyDescent="0.2">
      <c r="A571" s="246"/>
      <c r="B571" s="3"/>
      <c r="C571" s="362"/>
      <c r="D571" s="669">
        <f>$F$372</f>
        <v>406.06387459114677</v>
      </c>
      <c r="E571" s="670">
        <f>$F$495</f>
        <v>5189508.6187717067</v>
      </c>
      <c r="F571" s="670">
        <f>$H$369*1000/$F$10</f>
        <v>128.89825642035004</v>
      </c>
      <c r="G571" s="3"/>
      <c r="H571" s="362"/>
      <c r="I571" s="669">
        <f>$F$372</f>
        <v>406.06387459114677</v>
      </c>
      <c r="J571" s="670">
        <f>$F$495</f>
        <v>5189508.6187717067</v>
      </c>
      <c r="K571" s="670">
        <f>$H$369*1000/$F$10</f>
        <v>128.89825642035004</v>
      </c>
      <c r="L571" s="3"/>
      <c r="M571" s="3"/>
      <c r="N571" s="3"/>
      <c r="O571" s="3"/>
      <c r="P571" s="3"/>
      <c r="Q571" s="3"/>
      <c r="R571" s="3"/>
      <c r="S571" s="3"/>
      <c r="T571" s="3"/>
      <c r="U571" s="3"/>
      <c r="V571" s="3"/>
      <c r="W571" s="3"/>
      <c r="X571" s="3"/>
      <c r="Y571" s="3"/>
      <c r="Z571" s="3"/>
    </row>
    <row r="572" spans="1:26" ht="12.75" x14ac:dyDescent="0.2">
      <c r="A572" s="246"/>
      <c r="B572" s="3"/>
      <c r="C572" s="383">
        <v>-0.3</v>
      </c>
      <c r="D572" s="663">
        <f t="dataTable" ref="D572:F577" dt2D="0" dtr="0" r1="I108" ca="1"/>
        <v>406.06387459114677</v>
      </c>
      <c r="E572" s="614">
        <v>2965011.4968707371</v>
      </c>
      <c r="F572" s="658">
        <v>128.89825642035004</v>
      </c>
      <c r="G572" s="3"/>
      <c r="H572" s="383">
        <v>0.5</v>
      </c>
      <c r="I572" s="663">
        <f t="dataTable" ref="I572:K577" dt2D="0" dtr="0" r1="I101" ca="1"/>
        <v>406.06387459114677</v>
      </c>
      <c r="J572" s="614">
        <v>1893957.3270665663</v>
      </c>
      <c r="K572" s="658">
        <v>128.89825642035004</v>
      </c>
      <c r="L572" s="3"/>
      <c r="M572" s="3"/>
      <c r="N572" s="3"/>
      <c r="O572" s="3"/>
      <c r="P572" s="3"/>
      <c r="Q572" s="3"/>
      <c r="R572" s="3"/>
      <c r="S572" s="3"/>
      <c r="T572" s="3"/>
      <c r="U572" s="3"/>
      <c r="V572" s="3"/>
      <c r="W572" s="3"/>
      <c r="X572" s="3"/>
      <c r="Y572" s="3"/>
      <c r="Z572" s="3"/>
    </row>
    <row r="573" spans="1:26" ht="12.75" x14ac:dyDescent="0.2">
      <c r="A573" s="246"/>
      <c r="B573" s="3"/>
      <c r="C573" s="383">
        <v>-0.2</v>
      </c>
      <c r="D573" s="663">
        <v>406.06387459114677</v>
      </c>
      <c r="E573" s="614">
        <v>3706510.5375043931</v>
      </c>
      <c r="F573" s="658">
        <v>128.89825642035004</v>
      </c>
      <c r="G573" s="3"/>
      <c r="H573" s="383">
        <v>0.6</v>
      </c>
      <c r="I573" s="663">
        <v>406.06387459114677</v>
      </c>
      <c r="J573" s="614">
        <v>2717845.1499928515</v>
      </c>
      <c r="K573" s="658">
        <v>128.89825642035004</v>
      </c>
      <c r="L573" s="3"/>
      <c r="M573" s="3"/>
      <c r="N573" s="3"/>
      <c r="O573" s="3"/>
      <c r="P573" s="3"/>
      <c r="Q573" s="3"/>
      <c r="R573" s="3"/>
      <c r="S573" s="3"/>
      <c r="T573" s="3"/>
      <c r="U573" s="3"/>
      <c r="V573" s="3"/>
      <c r="W573" s="3"/>
      <c r="X573" s="3"/>
      <c r="Y573" s="3"/>
      <c r="Z573" s="3"/>
    </row>
    <row r="574" spans="1:26" ht="12.75" x14ac:dyDescent="0.2">
      <c r="A574" s="246"/>
      <c r="B574" s="3"/>
      <c r="C574" s="384">
        <v>-0.1</v>
      </c>
      <c r="D574" s="664">
        <v>406.06387459114677</v>
      </c>
      <c r="E574" s="616">
        <v>4448009.5781380497</v>
      </c>
      <c r="F574" s="659">
        <v>128.89825642035004</v>
      </c>
      <c r="G574" s="3"/>
      <c r="H574" s="383">
        <v>0.7</v>
      </c>
      <c r="I574" s="664">
        <v>406.06387459114677</v>
      </c>
      <c r="J574" s="616">
        <v>3541732.9729191368</v>
      </c>
      <c r="K574" s="659">
        <v>128.89825642035004</v>
      </c>
      <c r="L574" s="3"/>
      <c r="M574" s="3"/>
      <c r="N574" s="3"/>
      <c r="O574" s="3"/>
      <c r="P574" s="3"/>
      <c r="Q574" s="3"/>
      <c r="R574" s="3"/>
      <c r="S574" s="3"/>
      <c r="T574" s="3"/>
      <c r="U574" s="3"/>
      <c r="V574" s="3"/>
      <c r="W574" s="3"/>
      <c r="X574" s="3"/>
      <c r="Y574" s="3"/>
      <c r="Z574" s="3"/>
    </row>
    <row r="575" spans="1:26" ht="12.75" x14ac:dyDescent="0.2">
      <c r="A575" s="246"/>
      <c r="B575" s="3"/>
      <c r="C575" s="608">
        <v>0</v>
      </c>
      <c r="D575" s="665">
        <v>406.06387459114677</v>
      </c>
      <c r="E575" s="618">
        <v>5189508.6187717067</v>
      </c>
      <c r="F575" s="660">
        <v>128.89825642035004</v>
      </c>
      <c r="G575" s="3"/>
      <c r="H575" s="384">
        <v>0.8</v>
      </c>
      <c r="I575" s="664">
        <v>406.06387459114677</v>
      </c>
      <c r="J575" s="616">
        <v>4365620.7958454229</v>
      </c>
      <c r="K575" s="659">
        <v>128.89825642035004</v>
      </c>
      <c r="L575" s="3"/>
      <c r="M575" s="3"/>
      <c r="N575" s="3"/>
      <c r="O575" s="3"/>
      <c r="P575" s="3"/>
      <c r="Q575" s="3"/>
      <c r="R575" s="3"/>
      <c r="S575" s="3"/>
      <c r="T575" s="3"/>
      <c r="U575" s="3"/>
      <c r="V575" s="3"/>
      <c r="W575" s="3"/>
      <c r="X575" s="3"/>
      <c r="Y575" s="3"/>
      <c r="Z575" s="3"/>
    </row>
    <row r="576" spans="1:26" ht="12.75" x14ac:dyDescent="0.2">
      <c r="A576" s="246"/>
      <c r="B576" s="3"/>
      <c r="C576" s="383">
        <v>0.05</v>
      </c>
      <c r="D576" s="663">
        <v>406.06387459114677</v>
      </c>
      <c r="E576" s="614">
        <v>5560258.1390885357</v>
      </c>
      <c r="F576" s="658">
        <v>128.89825642035004</v>
      </c>
      <c r="G576" s="3"/>
      <c r="H576" s="608">
        <v>0.9</v>
      </c>
      <c r="I576" s="665">
        <v>406.06387459114677</v>
      </c>
      <c r="J576" s="618">
        <v>5189508.6187717067</v>
      </c>
      <c r="K576" s="660">
        <v>128.89825642035004</v>
      </c>
      <c r="L576" s="3"/>
      <c r="M576" s="3"/>
      <c r="N576" s="3"/>
      <c r="O576" s="3"/>
      <c r="P576" s="3"/>
      <c r="Q576" s="3"/>
      <c r="R576" s="3"/>
      <c r="S576" s="3"/>
      <c r="T576" s="3"/>
      <c r="U576" s="3"/>
      <c r="V576" s="3"/>
      <c r="W576" s="3"/>
      <c r="X576" s="3"/>
      <c r="Y576" s="3"/>
      <c r="Z576" s="3"/>
    </row>
    <row r="577" spans="1:26" ht="12.75" x14ac:dyDescent="0.2">
      <c r="A577" s="246"/>
      <c r="B577" s="3"/>
      <c r="C577" s="388">
        <v>0.1</v>
      </c>
      <c r="D577" s="666">
        <v>406.06387459114677</v>
      </c>
      <c r="E577" s="620">
        <v>5931007.6594053647</v>
      </c>
      <c r="F577" s="661">
        <v>128.89825642035004</v>
      </c>
      <c r="G577" s="3"/>
      <c r="H577" s="609">
        <v>0.95</v>
      </c>
      <c r="I577" s="666">
        <v>406.06387459114677</v>
      </c>
      <c r="J577" s="620">
        <v>5601452.5302348491</v>
      </c>
      <c r="K577" s="661">
        <v>128.89825642035004</v>
      </c>
      <c r="L577" s="3"/>
      <c r="M577" s="3"/>
      <c r="N577" s="3"/>
      <c r="O577" s="3"/>
      <c r="P577" s="3"/>
      <c r="Q577" s="3"/>
      <c r="R577" s="3"/>
      <c r="S577" s="3"/>
      <c r="T577" s="3"/>
      <c r="U577" s="3"/>
      <c r="V577" s="3"/>
      <c r="W577" s="3"/>
      <c r="X577" s="3"/>
      <c r="Y577" s="3"/>
      <c r="Z577" s="3"/>
    </row>
    <row r="578" spans="1:26" ht="12.75" x14ac:dyDescent="0.2">
      <c r="A578" s="246"/>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38.25" x14ac:dyDescent="0.2">
      <c r="A579" s="246"/>
      <c r="B579" s="3"/>
      <c r="C579" s="359" t="s">
        <v>939</v>
      </c>
      <c r="D579" s="662" t="s">
        <v>812</v>
      </c>
      <c r="E579" s="361" t="s">
        <v>813</v>
      </c>
      <c r="F579" s="657" t="s">
        <v>814</v>
      </c>
      <c r="G579" s="3"/>
      <c r="H579" s="3"/>
      <c r="I579" s="3"/>
      <c r="J579" s="3"/>
      <c r="K579" s="3"/>
      <c r="L579" s="3"/>
      <c r="M579" s="3"/>
      <c r="N579" s="3"/>
      <c r="O579" s="3"/>
      <c r="P579" s="3"/>
      <c r="Q579" s="3"/>
      <c r="R579" s="3"/>
      <c r="S579" s="3"/>
      <c r="T579" s="3"/>
      <c r="U579" s="3"/>
      <c r="V579" s="3"/>
      <c r="W579" s="3"/>
      <c r="X579" s="3"/>
      <c r="Y579" s="3"/>
      <c r="Z579" s="3"/>
    </row>
    <row r="580" spans="1:26" ht="12.75" x14ac:dyDescent="0.2">
      <c r="A580" s="246"/>
      <c r="B580" s="3"/>
      <c r="C580" s="362"/>
      <c r="D580" s="669">
        <f>$F$372</f>
        <v>406.06387459114677</v>
      </c>
      <c r="E580" s="670">
        <f>$F$495</f>
        <v>5189508.6187717067</v>
      </c>
      <c r="F580" s="670">
        <f>$H$369*1000/$F$10</f>
        <v>128.89825642035004</v>
      </c>
      <c r="G580" s="3"/>
      <c r="H580" s="3"/>
      <c r="I580" s="3"/>
      <c r="J580" s="3"/>
      <c r="K580" s="3"/>
      <c r="L580" s="3"/>
      <c r="M580" s="3"/>
      <c r="N580" s="3"/>
      <c r="O580" s="3"/>
      <c r="P580" s="3"/>
      <c r="Q580" s="3"/>
      <c r="R580" s="3"/>
      <c r="S580" s="3"/>
      <c r="T580" s="3"/>
      <c r="U580" s="3"/>
      <c r="V580" s="3"/>
      <c r="W580" s="3"/>
      <c r="X580" s="3"/>
      <c r="Y580" s="3"/>
      <c r="Z580" s="3"/>
    </row>
    <row r="581" spans="1:26" ht="12.75" x14ac:dyDescent="0.2">
      <c r="A581" s="246"/>
      <c r="B581" s="3"/>
      <c r="C581" s="383">
        <v>-0.3</v>
      </c>
      <c r="D581" s="663">
        <f t="dataTable" ref="D581:F587" dt2D="0" dtr="0" r1="I105" ca="1"/>
        <v>406.06387459114677</v>
      </c>
      <c r="E581" s="614">
        <v>5857153.1550411647</v>
      </c>
      <c r="F581" s="658">
        <v>128.89825642035004</v>
      </c>
      <c r="G581" s="3"/>
      <c r="H581" s="3"/>
      <c r="I581" s="3"/>
      <c r="J581" s="3"/>
      <c r="K581" s="3"/>
      <c r="L581" s="3"/>
      <c r="M581" s="3"/>
      <c r="N581" s="3"/>
      <c r="O581" s="3"/>
      <c r="P581" s="3"/>
      <c r="Q581" s="3"/>
      <c r="R581" s="3"/>
      <c r="S581" s="3"/>
      <c r="T581" s="3"/>
      <c r="U581" s="3"/>
      <c r="V581" s="3"/>
      <c r="W581" s="3"/>
      <c r="X581" s="3"/>
      <c r="Y581" s="3"/>
      <c r="Z581" s="3"/>
    </row>
    <row r="582" spans="1:26" ht="12.75" x14ac:dyDescent="0.2">
      <c r="A582" s="246"/>
      <c r="B582" s="3"/>
      <c r="C582" s="383">
        <v>-0.2</v>
      </c>
      <c r="D582" s="663">
        <v>406.06387459114677</v>
      </c>
      <c r="E582" s="614">
        <v>5634604.97628468</v>
      </c>
      <c r="F582" s="658">
        <v>128.89825642035004</v>
      </c>
      <c r="G582" s="3"/>
      <c r="H582" s="3"/>
      <c r="I582" s="3"/>
      <c r="J582" s="3"/>
      <c r="K582" s="3"/>
      <c r="L582" s="3"/>
      <c r="M582" s="3"/>
      <c r="N582" s="3"/>
      <c r="O582" s="3"/>
      <c r="P582" s="3"/>
      <c r="Q582" s="3"/>
      <c r="R582" s="3"/>
      <c r="S582" s="3"/>
      <c r="T582" s="3"/>
      <c r="U582" s="3"/>
      <c r="V582" s="3"/>
      <c r="W582" s="3"/>
      <c r="X582" s="3"/>
      <c r="Y582" s="3"/>
      <c r="Z582" s="3"/>
    </row>
    <row r="583" spans="1:26" ht="12.75" x14ac:dyDescent="0.2">
      <c r="A583" s="246"/>
      <c r="B583" s="3"/>
      <c r="C583" s="384">
        <v>-0.1</v>
      </c>
      <c r="D583" s="664">
        <v>406.06387459114677</v>
      </c>
      <c r="E583" s="616">
        <v>5412056.7975281933</v>
      </c>
      <c r="F583" s="659">
        <v>128.89825642035004</v>
      </c>
      <c r="G583" s="3"/>
      <c r="H583" s="3"/>
      <c r="I583" s="3"/>
      <c r="J583" s="3"/>
      <c r="K583" s="3"/>
      <c r="L583" s="3"/>
      <c r="M583" s="3"/>
      <c r="N583" s="3"/>
      <c r="O583" s="3"/>
      <c r="P583" s="3"/>
      <c r="Q583" s="3"/>
      <c r="R583" s="3"/>
      <c r="S583" s="3"/>
      <c r="T583" s="3"/>
      <c r="U583" s="3"/>
      <c r="V583" s="3"/>
      <c r="W583" s="3"/>
      <c r="X583" s="3"/>
      <c r="Y583" s="3"/>
      <c r="Z583" s="3"/>
    </row>
    <row r="584" spans="1:26" ht="12.75" x14ac:dyDescent="0.2">
      <c r="A584" s="246"/>
      <c r="B584" s="3"/>
      <c r="C584" s="608">
        <v>0</v>
      </c>
      <c r="D584" s="665">
        <v>406.06387459114677</v>
      </c>
      <c r="E584" s="618">
        <v>5189508.6187717067</v>
      </c>
      <c r="F584" s="660">
        <v>128.89825642035004</v>
      </c>
      <c r="G584" s="3"/>
      <c r="H584" s="3"/>
      <c r="I584" s="3"/>
      <c r="J584" s="3"/>
      <c r="K584" s="3"/>
      <c r="L584" s="3"/>
      <c r="M584" s="3"/>
      <c r="N584" s="3"/>
      <c r="O584" s="3"/>
      <c r="P584" s="3"/>
      <c r="Q584" s="3"/>
      <c r="R584" s="3"/>
      <c r="S584" s="3"/>
      <c r="T584" s="3"/>
      <c r="U584" s="3"/>
      <c r="V584" s="3"/>
      <c r="W584" s="3"/>
      <c r="X584" s="3"/>
      <c r="Y584" s="3"/>
      <c r="Z584" s="3"/>
    </row>
    <row r="585" spans="1:26" ht="12.75" x14ac:dyDescent="0.2">
      <c r="A585" s="246"/>
      <c r="B585" s="3"/>
      <c r="C585" s="383">
        <v>0.05</v>
      </c>
      <c r="D585" s="663">
        <v>406.06387459114677</v>
      </c>
      <c r="E585" s="614">
        <v>5078234.5293934634</v>
      </c>
      <c r="F585" s="658">
        <v>128.89825642035004</v>
      </c>
      <c r="G585" s="3"/>
      <c r="H585" s="3"/>
      <c r="I585" s="3"/>
      <c r="J585" s="3"/>
      <c r="K585" s="3"/>
      <c r="L585" s="3"/>
      <c r="M585" s="3"/>
      <c r="N585" s="3"/>
      <c r="O585" s="3"/>
      <c r="P585" s="3"/>
      <c r="Q585" s="3"/>
      <c r="R585" s="3"/>
      <c r="S585" s="3"/>
      <c r="T585" s="3"/>
      <c r="U585" s="3"/>
      <c r="V585" s="3"/>
      <c r="W585" s="3"/>
      <c r="X585" s="3"/>
      <c r="Y585" s="3"/>
      <c r="Z585" s="3"/>
    </row>
    <row r="586" spans="1:26" ht="12.75" x14ac:dyDescent="0.2">
      <c r="A586" s="246"/>
      <c r="B586" s="3"/>
      <c r="C586" s="383">
        <v>0.1</v>
      </c>
      <c r="D586" s="663">
        <v>406.06387459114677</v>
      </c>
      <c r="E586" s="614">
        <v>4966960.440015221</v>
      </c>
      <c r="F586" s="658">
        <v>128.89825642035004</v>
      </c>
      <c r="G586" s="3"/>
      <c r="H586" s="3"/>
      <c r="I586" s="3"/>
      <c r="J586" s="3"/>
      <c r="K586" s="3"/>
      <c r="L586" s="3"/>
      <c r="M586" s="3"/>
      <c r="N586" s="3"/>
      <c r="O586" s="3"/>
      <c r="P586" s="3"/>
      <c r="Q586" s="3"/>
      <c r="R586" s="3"/>
      <c r="S586" s="3"/>
      <c r="T586" s="3"/>
      <c r="U586" s="3"/>
      <c r="V586" s="3"/>
      <c r="W586" s="3"/>
      <c r="X586" s="3"/>
      <c r="Y586" s="3"/>
      <c r="Z586" s="3"/>
    </row>
    <row r="587" spans="1:26" ht="12.75" x14ac:dyDescent="0.2">
      <c r="A587" s="246"/>
      <c r="B587" s="3"/>
      <c r="C587" s="388">
        <v>0.2</v>
      </c>
      <c r="D587" s="666">
        <v>406.06387459114677</v>
      </c>
      <c r="E587" s="620">
        <v>4744412.2612587363</v>
      </c>
      <c r="F587" s="661">
        <v>128.89825642035004</v>
      </c>
      <c r="G587" s="3"/>
      <c r="H587" s="3"/>
      <c r="I587" s="3"/>
      <c r="J587" s="3"/>
      <c r="K587" s="3"/>
      <c r="L587" s="3"/>
      <c r="M587" s="3"/>
      <c r="N587" s="3"/>
      <c r="O587" s="3"/>
      <c r="P587" s="3"/>
      <c r="Q587" s="3"/>
      <c r="R587" s="3"/>
      <c r="S587" s="3"/>
      <c r="T587" s="3"/>
      <c r="U587" s="3"/>
      <c r="V587" s="3"/>
      <c r="W587" s="3"/>
      <c r="X587" s="3"/>
      <c r="Y587" s="3"/>
      <c r="Z587" s="3"/>
    </row>
    <row r="588" spans="1:26" ht="12.75" x14ac:dyDescent="0.2">
      <c r="A588" s="246"/>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x14ac:dyDescent="0.2">
      <c r="A589" s="246"/>
      <c r="B589" s="611" t="s">
        <v>943</v>
      </c>
      <c r="C589" s="610"/>
      <c r="D589" s="610"/>
      <c r="E589" s="610"/>
      <c r="F589" s="610"/>
      <c r="G589" s="610"/>
      <c r="H589" s="610"/>
      <c r="I589" s="610"/>
      <c r="J589" s="610"/>
      <c r="K589" s="610"/>
      <c r="L589" s="610"/>
      <c r="M589" s="610"/>
      <c r="N589" s="3"/>
      <c r="O589" s="3"/>
      <c r="P589" s="3"/>
      <c r="Q589" s="3"/>
      <c r="R589" s="3"/>
      <c r="S589" s="3"/>
      <c r="T589" s="3"/>
      <c r="U589" s="3"/>
      <c r="V589" s="3"/>
      <c r="W589" s="3"/>
      <c r="X589" s="3"/>
      <c r="Y589" s="3"/>
      <c r="Z589" s="3"/>
    </row>
    <row r="590" spans="1:26" ht="12.75" x14ac:dyDescent="0.2">
      <c r="A590" s="246"/>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25.5" x14ac:dyDescent="0.2">
      <c r="A591" s="246"/>
      <c r="B591" s="3"/>
      <c r="C591" s="359"/>
      <c r="D591" s="359" t="s">
        <v>812</v>
      </c>
      <c r="E591" s="644" t="s">
        <v>947</v>
      </c>
      <c r="F591" s="639"/>
      <c r="G591" s="640"/>
      <c r="H591" s="643"/>
      <c r="I591" s="639"/>
      <c r="J591" s="639"/>
      <c r="K591" s="639"/>
      <c r="L591" s="639"/>
      <c r="M591" s="641"/>
      <c r="N591" s="3"/>
      <c r="O591" s="3"/>
      <c r="P591" s="3"/>
      <c r="Q591" s="3"/>
      <c r="R591" s="3"/>
      <c r="S591" s="3"/>
      <c r="T591" s="3"/>
      <c r="U591" s="3"/>
      <c r="V591" s="3"/>
      <c r="W591" s="3"/>
      <c r="X591" s="3"/>
      <c r="Y591" s="3"/>
      <c r="Z591" s="3"/>
    </row>
    <row r="592" spans="1:26" ht="12.75" x14ac:dyDescent="0.2">
      <c r="A592" s="246"/>
      <c r="B592" s="3"/>
      <c r="C592" s="364"/>
      <c r="D592" s="363">
        <f>$F$372</f>
        <v>406.06387459114677</v>
      </c>
      <c r="E592" s="623">
        <v>-0.03</v>
      </c>
      <c r="F592" s="624">
        <v>-0.02</v>
      </c>
      <c r="G592" s="624">
        <v>-0.01</v>
      </c>
      <c r="H592" s="626">
        <v>0</v>
      </c>
      <c r="I592" s="624">
        <v>0.01</v>
      </c>
      <c r="J592" s="624">
        <v>0.02</v>
      </c>
      <c r="K592" s="624">
        <v>0.03</v>
      </c>
      <c r="L592" s="624">
        <v>0.04</v>
      </c>
      <c r="M592" s="625">
        <v>0.05</v>
      </c>
      <c r="N592" s="3"/>
      <c r="O592" s="3"/>
      <c r="P592" s="3"/>
      <c r="Q592" s="3"/>
      <c r="R592" s="3"/>
      <c r="S592" s="3"/>
      <c r="T592" s="3"/>
      <c r="U592" s="3"/>
      <c r="V592" s="3"/>
      <c r="W592" s="3"/>
      <c r="X592" s="3"/>
      <c r="Y592" s="3"/>
      <c r="Z592" s="3"/>
    </row>
    <row r="593" spans="1:26" ht="12.75" x14ac:dyDescent="0.2">
      <c r="A593" s="246"/>
      <c r="B593" s="3"/>
      <c r="C593" s="857"/>
      <c r="D593" s="382">
        <v>-0.03</v>
      </c>
      <c r="E593" s="627">
        <f t="dataTable" ref="E593:M601" dt2D="1" dtr="1" r1="F75" r2="F53" ca="1"/>
        <v>453.16643456644346</v>
      </c>
      <c r="F593" s="628">
        <v>442.29624308180991</v>
      </c>
      <c r="G593" s="628">
        <v>431.42605159717618</v>
      </c>
      <c r="H593" s="629">
        <v>420.55586011254218</v>
      </c>
      <c r="I593" s="628">
        <v>409.68566862790834</v>
      </c>
      <c r="J593" s="628">
        <v>398.81547714327445</v>
      </c>
      <c r="K593" s="628">
        <v>387.94528565864067</v>
      </c>
      <c r="L593" s="628">
        <v>377.07509417400695</v>
      </c>
      <c r="M593" s="621">
        <v>366.20490268937306</v>
      </c>
      <c r="N593" s="3"/>
      <c r="O593" s="3"/>
      <c r="P593" s="3"/>
      <c r="Q593" s="3"/>
      <c r="R593" s="3"/>
      <c r="S593" s="3"/>
      <c r="T593" s="3"/>
      <c r="U593" s="3"/>
      <c r="V593" s="3"/>
      <c r="W593" s="3"/>
      <c r="X593" s="3"/>
      <c r="Y593" s="3"/>
      <c r="Z593" s="3"/>
    </row>
    <row r="594" spans="1:26" ht="12.75" x14ac:dyDescent="0.2">
      <c r="A594" s="246"/>
      <c r="B594" s="3"/>
      <c r="C594" s="802"/>
      <c r="D594" s="383">
        <v>-0.02</v>
      </c>
      <c r="E594" s="630">
        <v>448.3980439814822</v>
      </c>
      <c r="F594" s="631">
        <v>437.52785249684842</v>
      </c>
      <c r="G594" s="631">
        <v>426.65766101221487</v>
      </c>
      <c r="H594" s="632">
        <v>415.78746952758081</v>
      </c>
      <c r="I594" s="631">
        <v>404.91727804294669</v>
      </c>
      <c r="J594" s="631">
        <v>394.04708655831314</v>
      </c>
      <c r="K594" s="631">
        <v>383.17689507367913</v>
      </c>
      <c r="L594" s="631">
        <v>372.30670358904581</v>
      </c>
      <c r="M594" s="613">
        <v>361.43651210441141</v>
      </c>
      <c r="N594" s="3"/>
      <c r="O594" s="3"/>
      <c r="P594" s="3"/>
      <c r="Q594" s="3"/>
      <c r="R594" s="3"/>
      <c r="S594" s="3"/>
      <c r="T594" s="3"/>
      <c r="U594" s="3"/>
      <c r="V594" s="3"/>
      <c r="W594" s="3"/>
      <c r="X594" s="3"/>
      <c r="Y594" s="3"/>
      <c r="Z594" s="3"/>
    </row>
    <row r="595" spans="1:26" ht="12.75" x14ac:dyDescent="0.2">
      <c r="A595" s="246"/>
      <c r="B595" s="3"/>
      <c r="C595" s="802"/>
      <c r="D595" s="384">
        <v>-0.01</v>
      </c>
      <c r="E595" s="633">
        <v>443.56791078155635</v>
      </c>
      <c r="F595" s="634">
        <v>432.6977192969224</v>
      </c>
      <c r="G595" s="634">
        <v>421.82752781228868</v>
      </c>
      <c r="H595" s="632">
        <v>410.95733632765456</v>
      </c>
      <c r="I595" s="634">
        <v>400.08714484302055</v>
      </c>
      <c r="J595" s="634">
        <v>389.21695335838729</v>
      </c>
      <c r="K595" s="634">
        <v>378.34676187375328</v>
      </c>
      <c r="L595" s="634">
        <v>367.4765703891195</v>
      </c>
      <c r="M595" s="615">
        <v>356.60637890448572</v>
      </c>
      <c r="N595" s="3"/>
      <c r="O595" s="3"/>
      <c r="P595" s="3"/>
      <c r="Q595" s="3"/>
      <c r="R595" s="3"/>
      <c r="S595" s="3"/>
      <c r="T595" s="3"/>
      <c r="U595" s="3"/>
      <c r="V595" s="3"/>
      <c r="W595" s="3"/>
      <c r="X595" s="3"/>
      <c r="Y595" s="3"/>
      <c r="Z595" s="3"/>
    </row>
    <row r="596" spans="1:26" ht="12.75" x14ac:dyDescent="0.2">
      <c r="A596" s="246"/>
      <c r="B596" s="3"/>
      <c r="C596" s="802"/>
      <c r="D596" s="608">
        <v>0</v>
      </c>
      <c r="E596" s="635">
        <v>438.67444904504805</v>
      </c>
      <c r="F596" s="632">
        <v>427.80425756041433</v>
      </c>
      <c r="G596" s="632">
        <v>416.93406607578072</v>
      </c>
      <c r="H596" s="632">
        <v>406.06387459114677</v>
      </c>
      <c r="I596" s="632">
        <v>395.19368310651294</v>
      </c>
      <c r="J596" s="632">
        <v>384.32349162187899</v>
      </c>
      <c r="K596" s="632">
        <v>373.45330013724515</v>
      </c>
      <c r="L596" s="632">
        <v>362.58310865261126</v>
      </c>
      <c r="M596" s="617">
        <v>351.71291716797754</v>
      </c>
      <c r="N596" s="3"/>
      <c r="O596" s="3"/>
      <c r="P596" s="3"/>
      <c r="Q596" s="3"/>
      <c r="R596" s="3"/>
      <c r="S596" s="3"/>
      <c r="T596" s="3"/>
      <c r="U596" s="3"/>
      <c r="V596" s="3"/>
      <c r="W596" s="3"/>
      <c r="X596" s="3"/>
      <c r="Y596" s="3"/>
      <c r="Z596" s="3"/>
    </row>
    <row r="597" spans="1:26" ht="25.5" x14ac:dyDescent="0.2">
      <c r="A597" s="246"/>
      <c r="B597" s="3"/>
      <c r="C597" s="858" t="s">
        <v>945</v>
      </c>
      <c r="D597" s="383">
        <v>0.01</v>
      </c>
      <c r="E597" s="630">
        <v>433.71597186480278</v>
      </c>
      <c r="F597" s="631">
        <v>422.845780380169</v>
      </c>
      <c r="G597" s="631">
        <v>411.97558889553528</v>
      </c>
      <c r="H597" s="632">
        <v>401.10539741090139</v>
      </c>
      <c r="I597" s="631">
        <v>390.2352059262675</v>
      </c>
      <c r="J597" s="631">
        <v>379.36501444163378</v>
      </c>
      <c r="K597" s="631">
        <v>368.49482295699988</v>
      </c>
      <c r="L597" s="631">
        <v>357.62463147236627</v>
      </c>
      <c r="M597" s="613">
        <v>346.7544399877325</v>
      </c>
      <c r="N597" s="3"/>
      <c r="O597" s="3"/>
      <c r="P597" s="3"/>
      <c r="Q597" s="3"/>
      <c r="R597" s="3"/>
      <c r="S597" s="3"/>
      <c r="T597" s="3"/>
      <c r="U597" s="3"/>
      <c r="V597" s="3"/>
      <c r="W597" s="3"/>
      <c r="X597" s="3"/>
      <c r="Y597" s="3"/>
      <c r="Z597" s="3"/>
    </row>
    <row r="598" spans="1:26" ht="12.75" x14ac:dyDescent="0.2">
      <c r="A598" s="246"/>
      <c r="B598" s="3"/>
      <c r="C598" s="859" t="s">
        <v>944</v>
      </c>
      <c r="D598" s="383">
        <v>0.02</v>
      </c>
      <c r="E598" s="630">
        <v>428.69068389960501</v>
      </c>
      <c r="F598" s="631">
        <v>417.82049241497128</v>
      </c>
      <c r="G598" s="631">
        <v>406.95030093033762</v>
      </c>
      <c r="H598" s="632">
        <v>396.08010944570378</v>
      </c>
      <c r="I598" s="631">
        <v>385.20991796106972</v>
      </c>
      <c r="J598" s="631">
        <v>374.339726476436</v>
      </c>
      <c r="K598" s="631">
        <v>363.46953499180188</v>
      </c>
      <c r="L598" s="631">
        <v>352.59934350716827</v>
      </c>
      <c r="M598" s="613">
        <v>341.72915202253438</v>
      </c>
      <c r="N598" s="3"/>
      <c r="O598" s="3"/>
      <c r="P598" s="3"/>
      <c r="Q598" s="3"/>
      <c r="R598" s="3"/>
      <c r="S598" s="3"/>
      <c r="T598" s="3"/>
      <c r="U598" s="3"/>
      <c r="V598" s="3"/>
      <c r="W598" s="3"/>
      <c r="X598" s="3"/>
      <c r="Y598" s="3"/>
      <c r="Z598" s="3"/>
    </row>
    <row r="599" spans="1:26" ht="12.75" x14ac:dyDescent="0.2">
      <c r="A599" s="246"/>
      <c r="B599" s="3"/>
      <c r="C599" s="802"/>
      <c r="D599" s="383">
        <v>0.03</v>
      </c>
      <c r="E599" s="630">
        <v>423.59667347495031</v>
      </c>
      <c r="F599" s="631">
        <v>412.72648199031653</v>
      </c>
      <c r="G599" s="631">
        <v>401.85629050568275</v>
      </c>
      <c r="H599" s="632">
        <v>390.98609902104903</v>
      </c>
      <c r="I599" s="631">
        <v>380.11590753641508</v>
      </c>
      <c r="J599" s="631">
        <v>369.24571605178141</v>
      </c>
      <c r="K599" s="631">
        <v>358.37552456714729</v>
      </c>
      <c r="L599" s="631">
        <v>347.50533308251363</v>
      </c>
      <c r="M599" s="613">
        <v>336.63514159787979</v>
      </c>
      <c r="N599" s="3"/>
      <c r="O599" s="3"/>
      <c r="P599" s="3"/>
      <c r="Q599" s="3"/>
      <c r="R599" s="3"/>
      <c r="S599" s="3"/>
      <c r="T599" s="3"/>
      <c r="U599" s="3"/>
      <c r="V599" s="3"/>
      <c r="W599" s="3"/>
      <c r="X599" s="3"/>
      <c r="Y599" s="3"/>
      <c r="Z599" s="3"/>
    </row>
    <row r="600" spans="1:26" ht="12.75" x14ac:dyDescent="0.2">
      <c r="A600" s="246"/>
      <c r="B600" s="3"/>
      <c r="C600" s="802"/>
      <c r="D600" s="383">
        <v>0.04</v>
      </c>
      <c r="E600" s="630">
        <v>418.43190421419985</v>
      </c>
      <c r="F600" s="631">
        <v>407.56171272956601</v>
      </c>
      <c r="G600" s="631">
        <v>396.69152124493229</v>
      </c>
      <c r="H600" s="632">
        <v>385.82132976029845</v>
      </c>
      <c r="I600" s="631">
        <v>374.95113827566428</v>
      </c>
      <c r="J600" s="631">
        <v>364.08094679103107</v>
      </c>
      <c r="K600" s="631">
        <v>353.21075530639678</v>
      </c>
      <c r="L600" s="631">
        <v>342.34056382176306</v>
      </c>
      <c r="M600" s="613">
        <v>331.47037233712928</v>
      </c>
      <c r="N600" s="3"/>
      <c r="O600" s="3"/>
      <c r="P600" s="3"/>
      <c r="Q600" s="3"/>
      <c r="R600" s="3"/>
      <c r="S600" s="3"/>
      <c r="T600" s="3"/>
      <c r="U600" s="3"/>
      <c r="V600" s="3"/>
      <c r="W600" s="3"/>
      <c r="X600" s="3"/>
      <c r="Y600" s="3"/>
      <c r="Z600" s="3"/>
    </row>
    <row r="601" spans="1:26" ht="12.75" x14ac:dyDescent="0.2">
      <c r="A601" s="246"/>
      <c r="B601" s="3"/>
      <c r="C601" s="860"/>
      <c r="D601" s="388">
        <v>0.05</v>
      </c>
      <c r="E601" s="636">
        <v>413.19420618072661</v>
      </c>
      <c r="F601" s="637">
        <v>402.32401469609289</v>
      </c>
      <c r="G601" s="637">
        <v>391.45382321145894</v>
      </c>
      <c r="H601" s="638">
        <v>380.58363172682516</v>
      </c>
      <c r="I601" s="637">
        <v>369.71344024219104</v>
      </c>
      <c r="J601" s="637">
        <v>358.84324875755749</v>
      </c>
      <c r="K601" s="637">
        <v>347.97305727292343</v>
      </c>
      <c r="L601" s="637">
        <v>337.10286578828953</v>
      </c>
      <c r="M601" s="619">
        <v>326.23267430365564</v>
      </c>
      <c r="N601" s="3"/>
      <c r="O601" s="3"/>
      <c r="P601" s="3"/>
      <c r="Q601" s="3"/>
      <c r="R601" s="3"/>
      <c r="S601" s="3"/>
      <c r="T601" s="3"/>
      <c r="U601" s="3"/>
      <c r="V601" s="3"/>
      <c r="W601" s="3"/>
      <c r="X601" s="3"/>
      <c r="Y601" s="3"/>
      <c r="Z601" s="3"/>
    </row>
    <row r="602" spans="1:26" ht="12.75" x14ac:dyDescent="0.2">
      <c r="A602" s="246"/>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25.5" x14ac:dyDescent="0.2">
      <c r="A603" s="246"/>
      <c r="B603" s="3"/>
      <c r="C603" s="359"/>
      <c r="D603" s="359" t="s">
        <v>812</v>
      </c>
      <c r="E603" s="644" t="s">
        <v>947</v>
      </c>
      <c r="F603" s="639"/>
      <c r="G603" s="640"/>
      <c r="H603" s="643"/>
      <c r="I603" s="639"/>
      <c r="J603" s="639"/>
      <c r="K603" s="639"/>
      <c r="L603" s="639"/>
      <c r="M603" s="641"/>
      <c r="N603" s="3"/>
      <c r="O603" s="3"/>
      <c r="P603" s="3"/>
      <c r="Q603" s="3"/>
      <c r="R603" s="3"/>
      <c r="S603" s="3"/>
      <c r="T603" s="3"/>
      <c r="U603" s="3"/>
      <c r="V603" s="3"/>
      <c r="W603" s="3"/>
      <c r="X603" s="3"/>
      <c r="Y603" s="3"/>
      <c r="Z603" s="3"/>
    </row>
    <row r="604" spans="1:26" ht="12.75" x14ac:dyDescent="0.2">
      <c r="A604" s="246"/>
      <c r="B604" s="3"/>
      <c r="C604" s="364"/>
      <c r="D604" s="363">
        <f>$F$372</f>
        <v>406.06387459114677</v>
      </c>
      <c r="E604" s="623">
        <v>-0.03</v>
      </c>
      <c r="F604" s="624">
        <v>-0.02</v>
      </c>
      <c r="G604" s="624">
        <v>-0.01</v>
      </c>
      <c r="H604" s="626">
        <v>0</v>
      </c>
      <c r="I604" s="624">
        <v>0.01</v>
      </c>
      <c r="J604" s="624">
        <v>0.02</v>
      </c>
      <c r="K604" s="624">
        <v>0.03</v>
      </c>
      <c r="L604" s="624">
        <v>0.04</v>
      </c>
      <c r="M604" s="625">
        <v>0.05</v>
      </c>
      <c r="N604" s="3"/>
      <c r="O604" s="3"/>
      <c r="P604" s="3"/>
      <c r="Q604" s="3"/>
      <c r="R604" s="3"/>
      <c r="S604" s="3"/>
      <c r="T604" s="3"/>
      <c r="U604" s="3"/>
      <c r="V604" s="3"/>
      <c r="W604" s="3"/>
      <c r="X604" s="3"/>
      <c r="Y604" s="3"/>
      <c r="Z604" s="3"/>
    </row>
    <row r="605" spans="1:26" ht="12.75" x14ac:dyDescent="0.2">
      <c r="A605" s="246"/>
      <c r="B605" s="3"/>
      <c r="C605" s="857"/>
      <c r="D605" s="382">
        <v>-0.03</v>
      </c>
      <c r="E605" s="627">
        <f t="dataTable" ref="E605:M613" dt2D="1" dtr="1" r1="F75" r2="F85" ca="1"/>
        <v>409.57642468762214</v>
      </c>
      <c r="F605" s="628">
        <v>398.70623320298853</v>
      </c>
      <c r="G605" s="628">
        <v>387.83604171835498</v>
      </c>
      <c r="H605" s="629">
        <v>376.96585023372091</v>
      </c>
      <c r="I605" s="628">
        <v>366.09565874908719</v>
      </c>
      <c r="J605" s="628">
        <v>355.22546726445324</v>
      </c>
      <c r="K605" s="628">
        <v>344.35527577981935</v>
      </c>
      <c r="L605" s="628">
        <v>333.48508429518557</v>
      </c>
      <c r="M605" s="621">
        <v>322.61489281055162</v>
      </c>
      <c r="N605" s="3"/>
      <c r="O605" s="3"/>
      <c r="P605" s="3"/>
      <c r="Q605" s="3"/>
      <c r="R605" s="3"/>
      <c r="S605" s="3"/>
      <c r="T605" s="3"/>
      <c r="U605" s="3"/>
      <c r="V605" s="3"/>
      <c r="W605" s="3"/>
      <c r="X605" s="3"/>
      <c r="Y605" s="3"/>
      <c r="Z605" s="3"/>
    </row>
    <row r="606" spans="1:26" ht="12.75" x14ac:dyDescent="0.2">
      <c r="A606" s="246"/>
      <c r="B606" s="3"/>
      <c r="C606" s="802"/>
      <c r="D606" s="383">
        <v>-0.02</v>
      </c>
      <c r="E606" s="630">
        <v>419.27576614009706</v>
      </c>
      <c r="F606" s="631">
        <v>408.40557465546328</v>
      </c>
      <c r="G606" s="631">
        <v>397.53538317082962</v>
      </c>
      <c r="H606" s="632">
        <v>386.66519168619578</v>
      </c>
      <c r="I606" s="631">
        <v>375.79500020156183</v>
      </c>
      <c r="J606" s="631">
        <v>364.924808716928</v>
      </c>
      <c r="K606" s="631">
        <v>354.05461723229416</v>
      </c>
      <c r="L606" s="631">
        <v>343.18442574766027</v>
      </c>
      <c r="M606" s="613">
        <v>332.31423426302649</v>
      </c>
      <c r="N606" s="3"/>
      <c r="O606" s="3"/>
      <c r="P606" s="3"/>
      <c r="Q606" s="3"/>
      <c r="R606" s="3"/>
      <c r="S606" s="3"/>
      <c r="T606" s="3"/>
      <c r="U606" s="3"/>
      <c r="V606" s="3"/>
      <c r="W606" s="3"/>
      <c r="X606" s="3"/>
      <c r="Y606" s="3"/>
      <c r="Z606" s="3"/>
    </row>
    <row r="607" spans="1:26" ht="12.75" x14ac:dyDescent="0.2">
      <c r="A607" s="246"/>
      <c r="B607" s="3"/>
      <c r="C607" s="802"/>
      <c r="D607" s="384">
        <v>-0.01</v>
      </c>
      <c r="E607" s="633">
        <v>428.97510759257273</v>
      </c>
      <c r="F607" s="634">
        <v>418.104916107939</v>
      </c>
      <c r="G607" s="634">
        <v>407.2347246233054</v>
      </c>
      <c r="H607" s="632">
        <v>396.3645331386715</v>
      </c>
      <c r="I607" s="634">
        <v>385.49434165403756</v>
      </c>
      <c r="J607" s="634">
        <v>374.62415016940355</v>
      </c>
      <c r="K607" s="634">
        <v>363.75395868476988</v>
      </c>
      <c r="L607" s="634">
        <v>352.88376720013605</v>
      </c>
      <c r="M607" s="615">
        <v>342.0135757155021</v>
      </c>
      <c r="N607" s="3"/>
      <c r="O607" s="3"/>
      <c r="P607" s="3"/>
      <c r="Q607" s="3"/>
      <c r="R607" s="3"/>
      <c r="S607" s="3"/>
      <c r="T607" s="3"/>
      <c r="U607" s="3"/>
      <c r="V607" s="3"/>
      <c r="W607" s="3"/>
      <c r="X607" s="3"/>
      <c r="Y607" s="3"/>
      <c r="Z607" s="3"/>
    </row>
    <row r="608" spans="1:26" ht="12.75" x14ac:dyDescent="0.2">
      <c r="A608" s="246"/>
      <c r="B608" s="3"/>
      <c r="C608" s="802"/>
      <c r="D608" s="608">
        <v>0</v>
      </c>
      <c r="E608" s="635">
        <v>438.67444904504805</v>
      </c>
      <c r="F608" s="632">
        <v>427.80425756041433</v>
      </c>
      <c r="G608" s="632">
        <v>416.93406607578072</v>
      </c>
      <c r="H608" s="632">
        <v>406.06387459114677</v>
      </c>
      <c r="I608" s="632">
        <v>395.19368310651294</v>
      </c>
      <c r="J608" s="632">
        <v>384.32349162187899</v>
      </c>
      <c r="K608" s="632">
        <v>373.45330013724515</v>
      </c>
      <c r="L608" s="632">
        <v>362.58310865261126</v>
      </c>
      <c r="M608" s="617">
        <v>351.71291716797754</v>
      </c>
      <c r="N608" s="3"/>
      <c r="O608" s="3"/>
      <c r="P608" s="3"/>
      <c r="Q608" s="3"/>
      <c r="R608" s="3"/>
      <c r="S608" s="3"/>
      <c r="T608" s="3"/>
      <c r="U608" s="3"/>
      <c r="V608" s="3"/>
      <c r="W608" s="3"/>
      <c r="X608" s="3"/>
      <c r="Y608" s="3"/>
      <c r="Z608" s="3"/>
    </row>
    <row r="609" spans="1:26" ht="25.5" x14ac:dyDescent="0.2">
      <c r="A609" s="246"/>
      <c r="B609" s="3"/>
      <c r="C609" s="858" t="s">
        <v>946</v>
      </c>
      <c r="D609" s="383">
        <v>0.01</v>
      </c>
      <c r="E609" s="630">
        <v>448.3737904975236</v>
      </c>
      <c r="F609" s="631">
        <v>437.50359901288982</v>
      </c>
      <c r="G609" s="631">
        <v>426.63340752825604</v>
      </c>
      <c r="H609" s="632">
        <v>415.76321604362232</v>
      </c>
      <c r="I609" s="631">
        <v>404.89302455898843</v>
      </c>
      <c r="J609" s="631">
        <v>394.02283307435454</v>
      </c>
      <c r="K609" s="631">
        <v>383.15264158972064</v>
      </c>
      <c r="L609" s="631">
        <v>372.28245010508692</v>
      </c>
      <c r="M609" s="613">
        <v>361.41225862045292</v>
      </c>
      <c r="N609" s="3"/>
      <c r="O609" s="3"/>
      <c r="P609" s="3"/>
      <c r="Q609" s="3"/>
      <c r="R609" s="3"/>
      <c r="S609" s="3"/>
      <c r="T609" s="3"/>
      <c r="U609" s="3"/>
      <c r="V609" s="3"/>
      <c r="W609" s="3"/>
      <c r="X609" s="3"/>
      <c r="Y609" s="3"/>
      <c r="Z609" s="3"/>
    </row>
    <row r="610" spans="1:26" ht="12.75" x14ac:dyDescent="0.2">
      <c r="A610" s="246"/>
      <c r="B610" s="3"/>
      <c r="C610" s="859" t="s">
        <v>944</v>
      </c>
      <c r="D610" s="383">
        <v>0.02</v>
      </c>
      <c r="E610" s="630">
        <v>458.07313194999887</v>
      </c>
      <c r="F610" s="631">
        <v>447.20294046536515</v>
      </c>
      <c r="G610" s="631">
        <v>436.33274898073154</v>
      </c>
      <c r="H610" s="632">
        <v>425.46255749609753</v>
      </c>
      <c r="I610" s="631">
        <v>414.59236601146381</v>
      </c>
      <c r="J610" s="631">
        <v>403.72217452682986</v>
      </c>
      <c r="K610" s="631">
        <v>392.85198304219597</v>
      </c>
      <c r="L610" s="631">
        <v>381.98179155756213</v>
      </c>
      <c r="M610" s="613">
        <v>371.1116000729283</v>
      </c>
      <c r="N610" s="3"/>
      <c r="O610" s="3"/>
      <c r="P610" s="3"/>
      <c r="Q610" s="3"/>
      <c r="R610" s="3"/>
      <c r="S610" s="3"/>
      <c r="T610" s="3"/>
      <c r="U610" s="3"/>
      <c r="V610" s="3"/>
      <c r="W610" s="3"/>
      <c r="X610" s="3"/>
      <c r="Y610" s="3"/>
      <c r="Z610" s="3"/>
    </row>
    <row r="611" spans="1:26" ht="12.75" x14ac:dyDescent="0.2">
      <c r="A611" s="246"/>
      <c r="B611" s="3"/>
      <c r="C611" s="802"/>
      <c r="D611" s="383">
        <v>0.03</v>
      </c>
      <c r="E611" s="630">
        <v>467.7724734024747</v>
      </c>
      <c r="F611" s="631">
        <v>456.9022819178407</v>
      </c>
      <c r="G611" s="631">
        <v>446.0320904332072</v>
      </c>
      <c r="H611" s="632">
        <v>435.16189894857331</v>
      </c>
      <c r="I611" s="631">
        <v>424.29170746393947</v>
      </c>
      <c r="J611" s="631">
        <v>413.42151597930552</v>
      </c>
      <c r="K611" s="631">
        <v>402.55132449467163</v>
      </c>
      <c r="L611" s="631">
        <v>391.68113301003785</v>
      </c>
      <c r="M611" s="613">
        <v>380.81094152540396</v>
      </c>
      <c r="N611" s="3"/>
      <c r="O611" s="3"/>
      <c r="P611" s="3"/>
      <c r="Q611" s="3"/>
      <c r="R611" s="3"/>
      <c r="S611" s="3"/>
      <c r="T611" s="3"/>
      <c r="U611" s="3"/>
      <c r="V611" s="3"/>
      <c r="W611" s="3"/>
      <c r="X611" s="3"/>
      <c r="Y611" s="3"/>
      <c r="Z611" s="3"/>
    </row>
    <row r="612" spans="1:26" ht="12.75" x14ac:dyDescent="0.2">
      <c r="A612" s="246"/>
      <c r="B612" s="3"/>
      <c r="C612" s="802"/>
      <c r="D612" s="383">
        <v>0.04</v>
      </c>
      <c r="E612" s="630">
        <v>477.4718148549498</v>
      </c>
      <c r="F612" s="631">
        <v>466.60162337031591</v>
      </c>
      <c r="G612" s="631">
        <v>455.73143188568235</v>
      </c>
      <c r="H612" s="632">
        <v>444.86124040104852</v>
      </c>
      <c r="I612" s="631">
        <v>433.99104891641463</v>
      </c>
      <c r="J612" s="631">
        <v>423.12085743178073</v>
      </c>
      <c r="K612" s="631">
        <v>412.25066594714684</v>
      </c>
      <c r="L612" s="631">
        <v>401.38047446251306</v>
      </c>
      <c r="M612" s="613">
        <v>390.51028297787911</v>
      </c>
      <c r="N612" s="3"/>
      <c r="O612" s="3"/>
      <c r="P612" s="3"/>
      <c r="Q612" s="3"/>
      <c r="R612" s="3"/>
      <c r="S612" s="3"/>
      <c r="T612" s="3"/>
      <c r="U612" s="3"/>
      <c r="V612" s="3"/>
      <c r="W612" s="3"/>
      <c r="X612" s="3"/>
      <c r="Y612" s="3"/>
      <c r="Z612" s="3"/>
    </row>
    <row r="613" spans="1:26" ht="12.75" x14ac:dyDescent="0.2">
      <c r="A613" s="246"/>
      <c r="B613" s="3"/>
      <c r="C613" s="860"/>
      <c r="D613" s="388">
        <v>0.05</v>
      </c>
      <c r="E613" s="636">
        <v>487.17115630742495</v>
      </c>
      <c r="F613" s="637">
        <v>476.30096482279129</v>
      </c>
      <c r="G613" s="637">
        <v>465.43077333815751</v>
      </c>
      <c r="H613" s="638">
        <v>454.56058185352356</v>
      </c>
      <c r="I613" s="637">
        <v>443.69039036888984</v>
      </c>
      <c r="J613" s="637">
        <v>432.820198884256</v>
      </c>
      <c r="K613" s="637">
        <v>421.95000739962205</v>
      </c>
      <c r="L613" s="637">
        <v>411.07981591498833</v>
      </c>
      <c r="M613" s="619">
        <v>400.20962443035438</v>
      </c>
      <c r="N613" s="3"/>
      <c r="O613" s="3"/>
      <c r="P613" s="3"/>
      <c r="Q613" s="3"/>
      <c r="R613" s="3"/>
      <c r="S613" s="3"/>
      <c r="T613" s="3"/>
      <c r="U613" s="3"/>
      <c r="V613" s="3"/>
      <c r="W613" s="3"/>
      <c r="X613" s="3"/>
      <c r="Y613" s="3"/>
      <c r="Z613" s="3"/>
    </row>
    <row r="614" spans="1:26" ht="12.75" x14ac:dyDescent="0.2">
      <c r="A614" s="246"/>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25.5" x14ac:dyDescent="0.2">
      <c r="A615" s="246"/>
      <c r="B615" s="3"/>
      <c r="C615" s="359"/>
      <c r="D615" s="359" t="s">
        <v>812</v>
      </c>
      <c r="E615" s="644" t="s">
        <v>949</v>
      </c>
      <c r="F615" s="639"/>
      <c r="G615" s="640"/>
      <c r="H615" s="643"/>
      <c r="I615" s="639"/>
      <c r="J615" s="639"/>
      <c r="K615" s="639"/>
      <c r="L615" s="639"/>
      <c r="M615" s="641"/>
      <c r="N615" s="3"/>
      <c r="O615" s="3"/>
      <c r="P615" s="3"/>
      <c r="Q615" s="3"/>
      <c r="R615" s="3"/>
      <c r="S615" s="3"/>
      <c r="T615" s="3"/>
      <c r="U615" s="3"/>
      <c r="V615" s="3"/>
      <c r="W615" s="3"/>
      <c r="X615" s="3"/>
      <c r="Y615" s="3"/>
      <c r="Z615" s="3"/>
    </row>
    <row r="616" spans="1:26" ht="12.75" x14ac:dyDescent="0.2">
      <c r="A616" s="246"/>
      <c r="B616" s="3"/>
      <c r="C616" s="364"/>
      <c r="D616" s="363">
        <f>$F$372</f>
        <v>406.06387459114677</v>
      </c>
      <c r="E616" s="655">
        <v>18</v>
      </c>
      <c r="F616" s="652">
        <v>20</v>
      </c>
      <c r="G616" s="851">
        <v>22</v>
      </c>
      <c r="H616" s="654">
        <v>24.1</v>
      </c>
      <c r="I616" s="652">
        <v>26</v>
      </c>
      <c r="J616" s="652">
        <v>28</v>
      </c>
      <c r="K616" s="650">
        <v>30</v>
      </c>
      <c r="L616" s="650">
        <v>32</v>
      </c>
      <c r="M616" s="651">
        <v>34</v>
      </c>
      <c r="N616" s="3"/>
      <c r="O616" s="3"/>
      <c r="P616" s="3"/>
      <c r="Q616" s="3"/>
      <c r="R616" s="3"/>
      <c r="S616" s="3"/>
      <c r="T616" s="3"/>
      <c r="U616" s="3"/>
      <c r="V616" s="3"/>
      <c r="W616" s="3"/>
      <c r="X616" s="3"/>
      <c r="Y616" s="3"/>
      <c r="Z616" s="3"/>
    </row>
    <row r="617" spans="1:26" ht="12.75" x14ac:dyDescent="0.2">
      <c r="A617" s="246"/>
      <c r="B617" s="3"/>
      <c r="C617" s="857"/>
      <c r="D617" s="382">
        <v>-0.03</v>
      </c>
      <c r="E617" s="627">
        <f t="dataTable" ref="E617:M625" dt2D="1" dtr="1" r1="I30" r2="F85" ca="1"/>
        <v>-504.52556110378879</v>
      </c>
      <c r="F617" s="628">
        <v>-215.51198361608135</v>
      </c>
      <c r="G617" s="628">
        <v>73.50159387162708</v>
      </c>
      <c r="H617" s="629">
        <v>376.96585023372091</v>
      </c>
      <c r="I617" s="628">
        <v>651.52874884704249</v>
      </c>
      <c r="J617" s="628">
        <v>940.54232633475158</v>
      </c>
      <c r="K617" s="628">
        <v>1229.5559038224578</v>
      </c>
      <c r="L617" s="628">
        <v>1518.5694813101663</v>
      </c>
      <c r="M617" s="621">
        <v>1807.5830587978744</v>
      </c>
      <c r="N617" s="3"/>
      <c r="O617" s="3"/>
      <c r="P617" s="3"/>
      <c r="Q617" s="3"/>
      <c r="R617" s="3"/>
      <c r="S617" s="3"/>
      <c r="T617" s="3"/>
      <c r="U617" s="3"/>
      <c r="V617" s="3"/>
      <c r="W617" s="3"/>
      <c r="X617" s="3"/>
      <c r="Y617" s="3"/>
      <c r="Z617" s="3"/>
    </row>
    <row r="618" spans="1:26" ht="12.75" x14ac:dyDescent="0.2">
      <c r="A618" s="246"/>
      <c r="B618" s="3"/>
      <c r="C618" s="802"/>
      <c r="D618" s="383">
        <v>-0.02</v>
      </c>
      <c r="E618" s="630">
        <v>-506.10154732361377</v>
      </c>
      <c r="F618" s="631">
        <v>-213.39114109088939</v>
      </c>
      <c r="G618" s="631">
        <v>79.319265141835217</v>
      </c>
      <c r="H618" s="632">
        <v>386.66519168619578</v>
      </c>
      <c r="I618" s="631">
        <v>664.74007760728239</v>
      </c>
      <c r="J618" s="631">
        <v>957.45048384000734</v>
      </c>
      <c r="K618" s="631">
        <v>1250.1608900727313</v>
      </c>
      <c r="L618" s="631">
        <v>1542.8712963054561</v>
      </c>
      <c r="M618" s="613">
        <v>1835.5817025381812</v>
      </c>
      <c r="N618" s="3"/>
      <c r="O618" s="3"/>
      <c r="P618" s="3"/>
      <c r="Q618" s="3"/>
      <c r="R618" s="3"/>
      <c r="S618" s="3"/>
      <c r="T618" s="3"/>
      <c r="U618" s="3"/>
      <c r="V618" s="3"/>
      <c r="W618" s="3"/>
      <c r="X618" s="3"/>
      <c r="Y618" s="3"/>
      <c r="Z618" s="3"/>
    </row>
    <row r="619" spans="1:26" ht="12.75" x14ac:dyDescent="0.2">
      <c r="A619" s="246"/>
      <c r="B619" s="3"/>
      <c r="C619" s="802"/>
      <c r="D619" s="384">
        <v>-0.01</v>
      </c>
      <c r="E619" s="633">
        <v>-507.67753354343768</v>
      </c>
      <c r="F619" s="798">
        <v>-211.27029856569723</v>
      </c>
      <c r="G619" s="798">
        <v>85.136936412043568</v>
      </c>
      <c r="H619" s="632">
        <v>396.3645331386715</v>
      </c>
      <c r="I619" s="634">
        <v>677.95140636752376</v>
      </c>
      <c r="J619" s="634">
        <v>974.35864134526491</v>
      </c>
      <c r="K619" s="634">
        <v>1270.7658763230045</v>
      </c>
      <c r="L619" s="634">
        <v>1567.1731113007454</v>
      </c>
      <c r="M619" s="615">
        <v>1863.5803462784863</v>
      </c>
      <c r="N619" s="3"/>
      <c r="O619" s="3"/>
      <c r="P619" s="3"/>
      <c r="Q619" s="3"/>
      <c r="R619" s="3"/>
      <c r="S619" s="3"/>
      <c r="T619" s="3"/>
      <c r="U619" s="3"/>
      <c r="V619" s="3"/>
      <c r="W619" s="3"/>
      <c r="X619" s="3"/>
      <c r="Y619" s="3"/>
      <c r="Z619" s="3"/>
    </row>
    <row r="620" spans="1:26" ht="12.75" x14ac:dyDescent="0.2">
      <c r="A620" s="246"/>
      <c r="B620" s="3"/>
      <c r="C620" s="802"/>
      <c r="D620" s="608">
        <v>0</v>
      </c>
      <c r="E620" s="635">
        <v>-509.25351976326192</v>
      </c>
      <c r="F620" s="632">
        <v>-209.14945604050538</v>
      </c>
      <c r="G620" s="632">
        <v>90.95460768225179</v>
      </c>
      <c r="H620" s="632">
        <v>406.06387459114677</v>
      </c>
      <c r="I620" s="632">
        <v>691.16273512776502</v>
      </c>
      <c r="J620" s="632">
        <v>991.26679885052215</v>
      </c>
      <c r="K620" s="632">
        <v>1291.3708625732777</v>
      </c>
      <c r="L620" s="632">
        <v>1591.4749262960356</v>
      </c>
      <c r="M620" s="617">
        <v>1891.5789900187922</v>
      </c>
      <c r="N620" s="3"/>
      <c r="O620" s="3"/>
      <c r="P620" s="3"/>
      <c r="Q620" s="3"/>
      <c r="R620" s="3"/>
      <c r="S620" s="3"/>
      <c r="T620" s="3"/>
      <c r="U620" s="3"/>
      <c r="V620" s="3"/>
      <c r="W620" s="3"/>
      <c r="X620" s="3"/>
      <c r="Y620" s="3"/>
      <c r="Z620" s="3"/>
    </row>
    <row r="621" spans="1:26" ht="25.5" x14ac:dyDescent="0.2">
      <c r="A621" s="246"/>
      <c r="B621" s="3"/>
      <c r="C621" s="858" t="s">
        <v>946</v>
      </c>
      <c r="D621" s="383">
        <v>0.01</v>
      </c>
      <c r="E621" s="630">
        <v>-510.82950598308565</v>
      </c>
      <c r="F621" s="631">
        <v>-207.02861351531331</v>
      </c>
      <c r="G621" s="631">
        <v>96.772278952460482</v>
      </c>
      <c r="H621" s="632">
        <v>415.76321604362232</v>
      </c>
      <c r="I621" s="631">
        <v>704.37406388800559</v>
      </c>
      <c r="J621" s="631">
        <v>1008.1749563557792</v>
      </c>
      <c r="K621" s="631">
        <v>1311.9758488235505</v>
      </c>
      <c r="L621" s="631">
        <v>1615.7767412913247</v>
      </c>
      <c r="M621" s="613">
        <v>1919.5776337590983</v>
      </c>
      <c r="N621" s="3"/>
      <c r="O621" s="3"/>
      <c r="P621" s="3"/>
      <c r="Q621" s="3"/>
      <c r="R621" s="3"/>
      <c r="S621" s="3"/>
      <c r="T621" s="3"/>
      <c r="U621" s="3"/>
      <c r="V621" s="3"/>
      <c r="W621" s="3"/>
      <c r="X621" s="3"/>
      <c r="Y621" s="3"/>
      <c r="Z621" s="3"/>
    </row>
    <row r="622" spans="1:26" ht="12.75" x14ac:dyDescent="0.2">
      <c r="A622" s="246"/>
      <c r="B622" s="3"/>
      <c r="C622" s="859" t="s">
        <v>944</v>
      </c>
      <c r="D622" s="383">
        <v>0.02</v>
      </c>
      <c r="E622" s="630">
        <v>-512.4054922029103</v>
      </c>
      <c r="F622" s="631">
        <v>-204.90777099012132</v>
      </c>
      <c r="G622" s="631">
        <v>102.58995022266853</v>
      </c>
      <c r="H622" s="632">
        <v>425.46255749609753</v>
      </c>
      <c r="I622" s="631">
        <v>717.5853926482464</v>
      </c>
      <c r="J622" s="631">
        <v>1025.0831138610358</v>
      </c>
      <c r="K622" s="631">
        <v>1332.5808350738243</v>
      </c>
      <c r="L622" s="631">
        <v>1640.0785562866142</v>
      </c>
      <c r="M622" s="613">
        <v>1947.5762774994032</v>
      </c>
      <c r="N622" s="3"/>
      <c r="O622" s="3"/>
      <c r="P622" s="3"/>
      <c r="Q622" s="3"/>
      <c r="R622" s="3"/>
      <c r="S622" s="3"/>
      <c r="T622" s="3"/>
      <c r="U622" s="3"/>
      <c r="V622" s="3"/>
      <c r="W622" s="3"/>
      <c r="X622" s="3"/>
      <c r="Y622" s="3"/>
      <c r="Z622" s="3"/>
    </row>
    <row r="623" spans="1:26" ht="12.75" x14ac:dyDescent="0.2">
      <c r="A623" s="246"/>
      <c r="B623" s="3"/>
      <c r="C623" s="802"/>
      <c r="D623" s="383">
        <v>0.03</v>
      </c>
      <c r="E623" s="630">
        <v>-513.98147842273431</v>
      </c>
      <c r="F623" s="631">
        <v>-202.78692846492919</v>
      </c>
      <c r="G623" s="631">
        <v>108.40762149287656</v>
      </c>
      <c r="H623" s="632">
        <v>435.16189894857331</v>
      </c>
      <c r="I623" s="631">
        <v>730.79672140848686</v>
      </c>
      <c r="J623" s="631">
        <v>1041.9912713662929</v>
      </c>
      <c r="K623" s="631">
        <v>1353.1858213240985</v>
      </c>
      <c r="L623" s="631">
        <v>1664.380371281904</v>
      </c>
      <c r="M623" s="613">
        <v>1975.5749212397109</v>
      </c>
      <c r="N623" s="3"/>
      <c r="O623" s="3"/>
      <c r="P623" s="3"/>
      <c r="Q623" s="3"/>
      <c r="R623" s="3"/>
      <c r="S623" s="3"/>
      <c r="T623" s="3"/>
      <c r="U623" s="3"/>
      <c r="V623" s="3"/>
      <c r="W623" s="3"/>
      <c r="X623" s="3"/>
      <c r="Y623" s="3"/>
      <c r="Z623" s="3"/>
    </row>
    <row r="624" spans="1:26" ht="12.75" x14ac:dyDescent="0.2">
      <c r="A624" s="246"/>
      <c r="B624" s="3"/>
      <c r="C624" s="802"/>
      <c r="D624" s="383">
        <v>0.04</v>
      </c>
      <c r="E624" s="630">
        <v>-515.55746464255856</v>
      </c>
      <c r="F624" s="631">
        <v>-200.66608593973683</v>
      </c>
      <c r="G624" s="631">
        <v>114.22529276308519</v>
      </c>
      <c r="H624" s="632">
        <v>444.86124040104852</v>
      </c>
      <c r="I624" s="631">
        <v>744.00805016872812</v>
      </c>
      <c r="J624" s="631">
        <v>1058.8994288715505</v>
      </c>
      <c r="K624" s="631">
        <v>1373.7908075743708</v>
      </c>
      <c r="L624" s="631">
        <v>1688.6821862771931</v>
      </c>
      <c r="M624" s="613">
        <v>2003.5735649800158</v>
      </c>
      <c r="N624" s="3"/>
      <c r="O624" s="3"/>
      <c r="P624" s="3"/>
      <c r="Q624" s="3"/>
      <c r="R624" s="3"/>
      <c r="S624" s="3"/>
      <c r="T624" s="3"/>
      <c r="U624" s="3"/>
      <c r="V624" s="3"/>
      <c r="W624" s="3"/>
      <c r="X624" s="3"/>
      <c r="Y624" s="3"/>
      <c r="Z624" s="3"/>
    </row>
    <row r="625" spans="1:26" ht="12.75" x14ac:dyDescent="0.2">
      <c r="A625" s="246"/>
      <c r="B625" s="3"/>
      <c r="C625" s="860"/>
      <c r="D625" s="388">
        <v>0.05</v>
      </c>
      <c r="E625" s="636">
        <v>-517.13345086238223</v>
      </c>
      <c r="F625" s="637">
        <v>-198.54524341454481</v>
      </c>
      <c r="G625" s="637">
        <v>120.04296403329384</v>
      </c>
      <c r="H625" s="638">
        <v>454.56058185352356</v>
      </c>
      <c r="I625" s="637">
        <v>757.21937892896915</v>
      </c>
      <c r="J625" s="637">
        <v>1075.8075863768081</v>
      </c>
      <c r="K625" s="637">
        <v>1394.3957938246447</v>
      </c>
      <c r="L625" s="637">
        <v>1712.9840012724828</v>
      </c>
      <c r="M625" s="619">
        <v>2031.5722087203226</v>
      </c>
      <c r="N625" s="3"/>
      <c r="O625" s="3"/>
      <c r="P625" s="3"/>
      <c r="Q625" s="3"/>
      <c r="R625" s="3"/>
      <c r="S625" s="3"/>
      <c r="T625" s="3"/>
      <c r="U625" s="3"/>
      <c r="V625" s="3"/>
      <c r="W625" s="3"/>
      <c r="X625" s="3"/>
      <c r="Y625" s="3"/>
      <c r="Z625" s="3"/>
    </row>
    <row r="626" spans="1:26" ht="12.75" x14ac:dyDescent="0.2">
      <c r="A626" s="246"/>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x14ac:dyDescent="0.2">
      <c r="A627" s="246"/>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x14ac:dyDescent="0.2">
      <c r="A628" s="246"/>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x14ac:dyDescent="0.2">
      <c r="A629" s="246"/>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x14ac:dyDescent="0.2">
      <c r="A630" s="246"/>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x14ac:dyDescent="0.2">
      <c r="A631" s="246"/>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x14ac:dyDescent="0.2">
      <c r="A632" s="246"/>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x14ac:dyDescent="0.2">
      <c r="A633" s="246"/>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x14ac:dyDescent="0.2">
      <c r="A634" s="246"/>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x14ac:dyDescent="0.2">
      <c r="A635" s="246"/>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x14ac:dyDescent="0.2">
      <c r="A636" s="246"/>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x14ac:dyDescent="0.2">
      <c r="A637" s="246"/>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x14ac:dyDescent="0.2">
      <c r="A638" s="246"/>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x14ac:dyDescent="0.2">
      <c r="A639" s="246"/>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x14ac:dyDescent="0.2">
      <c r="A640" s="246"/>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x14ac:dyDescent="0.2">
      <c r="A641" s="246"/>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x14ac:dyDescent="0.2">
      <c r="A642" s="246"/>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x14ac:dyDescent="0.2">
      <c r="A643" s="246"/>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x14ac:dyDescent="0.2">
      <c r="A644" s="246"/>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x14ac:dyDescent="0.2">
      <c r="A645" s="246"/>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x14ac:dyDescent="0.2">
      <c r="A646" s="246"/>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x14ac:dyDescent="0.2">
      <c r="A647" s="246"/>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x14ac:dyDescent="0.2">
      <c r="A648" s="246"/>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x14ac:dyDescent="0.2">
      <c r="A649" s="246"/>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x14ac:dyDescent="0.2">
      <c r="A650" s="246"/>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x14ac:dyDescent="0.2">
      <c r="A651" s="246"/>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x14ac:dyDescent="0.2">
      <c r="A652" s="246"/>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x14ac:dyDescent="0.2">
      <c r="A653" s="246"/>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x14ac:dyDescent="0.2">
      <c r="A654" s="246"/>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x14ac:dyDescent="0.2">
      <c r="A655" s="246"/>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x14ac:dyDescent="0.2">
      <c r="A656" s="246"/>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x14ac:dyDescent="0.2">
      <c r="A657" s="246"/>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x14ac:dyDescent="0.2">
      <c r="A658" s="246"/>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x14ac:dyDescent="0.2">
      <c r="A659" s="246"/>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x14ac:dyDescent="0.2">
      <c r="A660" s="246"/>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x14ac:dyDescent="0.2">
      <c r="A661" s="246"/>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x14ac:dyDescent="0.2">
      <c r="A662" s="246"/>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x14ac:dyDescent="0.2">
      <c r="A663" s="246"/>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x14ac:dyDescent="0.2">
      <c r="A664" s="246"/>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x14ac:dyDescent="0.2">
      <c r="A665" s="246"/>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x14ac:dyDescent="0.2">
      <c r="A666" s="246"/>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x14ac:dyDescent="0.2">
      <c r="A667" s="246"/>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x14ac:dyDescent="0.2">
      <c r="A668" s="246"/>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x14ac:dyDescent="0.2">
      <c r="A669" s="246"/>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x14ac:dyDescent="0.2">
      <c r="A670" s="246"/>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x14ac:dyDescent="0.2">
      <c r="A671" s="246"/>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x14ac:dyDescent="0.2">
      <c r="A672" s="246"/>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x14ac:dyDescent="0.2">
      <c r="A673" s="246"/>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x14ac:dyDescent="0.2">
      <c r="A674" s="246"/>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x14ac:dyDescent="0.2">
      <c r="A675" s="246"/>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x14ac:dyDescent="0.2">
      <c r="A676" s="246"/>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x14ac:dyDescent="0.2">
      <c r="A677" s="246"/>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x14ac:dyDescent="0.2">
      <c r="A678" s="246"/>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x14ac:dyDescent="0.2">
      <c r="A679" s="246"/>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x14ac:dyDescent="0.2">
      <c r="A680" s="246"/>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x14ac:dyDescent="0.2">
      <c r="A681" s="246"/>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x14ac:dyDescent="0.2">
      <c r="A682" s="246"/>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x14ac:dyDescent="0.2">
      <c r="A683" s="246"/>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x14ac:dyDescent="0.2">
      <c r="A684" s="246"/>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x14ac:dyDescent="0.2">
      <c r="A685" s="246"/>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x14ac:dyDescent="0.2">
      <c r="A686" s="246"/>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x14ac:dyDescent="0.2">
      <c r="A687" s="246"/>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x14ac:dyDescent="0.2">
      <c r="A688" s="246"/>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x14ac:dyDescent="0.2">
      <c r="A689" s="246"/>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x14ac:dyDescent="0.2">
      <c r="A690" s="246"/>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x14ac:dyDescent="0.2">
      <c r="A691" s="246"/>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x14ac:dyDescent="0.2">
      <c r="A692" s="246"/>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x14ac:dyDescent="0.2">
      <c r="A693" s="246"/>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x14ac:dyDescent="0.2">
      <c r="A694" s="246"/>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x14ac:dyDescent="0.2">
      <c r="A695" s="246"/>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x14ac:dyDescent="0.2">
      <c r="A696" s="246"/>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x14ac:dyDescent="0.2">
      <c r="A697" s="246"/>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x14ac:dyDescent="0.2">
      <c r="A698" s="246"/>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x14ac:dyDescent="0.2">
      <c r="A699" s="246"/>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x14ac:dyDescent="0.2">
      <c r="A700" s="246"/>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x14ac:dyDescent="0.2">
      <c r="A701" s="246"/>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x14ac:dyDescent="0.2">
      <c r="A702" s="246"/>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x14ac:dyDescent="0.2">
      <c r="A703" s="246"/>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x14ac:dyDescent="0.2">
      <c r="A704" s="246"/>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x14ac:dyDescent="0.2">
      <c r="A705" s="246"/>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x14ac:dyDescent="0.2">
      <c r="A706" s="246"/>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x14ac:dyDescent="0.2">
      <c r="A707" s="246"/>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x14ac:dyDescent="0.2">
      <c r="A708" s="246"/>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x14ac:dyDescent="0.2">
      <c r="A709" s="246"/>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x14ac:dyDescent="0.2">
      <c r="A710" s="246"/>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x14ac:dyDescent="0.2">
      <c r="A711" s="246"/>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x14ac:dyDescent="0.2">
      <c r="A712" s="246"/>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x14ac:dyDescent="0.2">
      <c r="A713" s="246"/>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x14ac:dyDescent="0.2">
      <c r="A714" s="246"/>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x14ac:dyDescent="0.2">
      <c r="A715" s="246"/>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x14ac:dyDescent="0.2">
      <c r="A716" s="246"/>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x14ac:dyDescent="0.2">
      <c r="A717" s="246"/>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x14ac:dyDescent="0.2">
      <c r="A718" s="246"/>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x14ac:dyDescent="0.2">
      <c r="A719" s="246"/>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x14ac:dyDescent="0.2">
      <c r="A720" s="246"/>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x14ac:dyDescent="0.2">
      <c r="A721" s="246"/>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x14ac:dyDescent="0.2">
      <c r="A722" s="246"/>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x14ac:dyDescent="0.2">
      <c r="A723" s="246"/>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x14ac:dyDescent="0.2">
      <c r="A724" s="246"/>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x14ac:dyDescent="0.2">
      <c r="A725" s="246"/>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x14ac:dyDescent="0.2">
      <c r="A726" s="246"/>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x14ac:dyDescent="0.2">
      <c r="A727" s="246"/>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x14ac:dyDescent="0.2">
      <c r="A728" s="246"/>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x14ac:dyDescent="0.2">
      <c r="A729" s="246"/>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x14ac:dyDescent="0.2">
      <c r="A730" s="246"/>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x14ac:dyDescent="0.2">
      <c r="A731" s="246"/>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x14ac:dyDescent="0.2">
      <c r="A732" s="246"/>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x14ac:dyDescent="0.2">
      <c r="A733" s="246"/>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x14ac:dyDescent="0.2">
      <c r="A734" s="246"/>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x14ac:dyDescent="0.2">
      <c r="A735" s="246"/>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x14ac:dyDescent="0.2">
      <c r="A736" s="246"/>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x14ac:dyDescent="0.2">
      <c r="A737" s="246"/>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x14ac:dyDescent="0.2">
      <c r="A738" s="246"/>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x14ac:dyDescent="0.2">
      <c r="A739" s="246"/>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x14ac:dyDescent="0.2">
      <c r="A740" s="246"/>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x14ac:dyDescent="0.2">
      <c r="A741" s="246"/>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x14ac:dyDescent="0.2">
      <c r="A742" s="246"/>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x14ac:dyDescent="0.2">
      <c r="A743" s="246"/>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x14ac:dyDescent="0.2">
      <c r="A744" s="246"/>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x14ac:dyDescent="0.2">
      <c r="A745" s="246"/>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x14ac:dyDescent="0.2">
      <c r="A746" s="246"/>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x14ac:dyDescent="0.2">
      <c r="A747" s="246"/>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x14ac:dyDescent="0.2">
      <c r="A748" s="246"/>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x14ac:dyDescent="0.2">
      <c r="A749" s="246"/>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x14ac:dyDescent="0.2">
      <c r="A750" s="246"/>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x14ac:dyDescent="0.2">
      <c r="A751" s="246"/>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x14ac:dyDescent="0.2">
      <c r="A752" s="246"/>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x14ac:dyDescent="0.2">
      <c r="A753" s="246"/>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x14ac:dyDescent="0.2">
      <c r="A754" s="246"/>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x14ac:dyDescent="0.2">
      <c r="A755" s="246"/>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x14ac:dyDescent="0.2">
      <c r="A756" s="246"/>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x14ac:dyDescent="0.2">
      <c r="A757" s="246"/>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x14ac:dyDescent="0.2">
      <c r="A758" s="246"/>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x14ac:dyDescent="0.2">
      <c r="A759" s="246"/>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x14ac:dyDescent="0.2">
      <c r="A760" s="246"/>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x14ac:dyDescent="0.2">
      <c r="A761" s="246"/>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x14ac:dyDescent="0.2">
      <c r="A762" s="246"/>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x14ac:dyDescent="0.2">
      <c r="A763" s="246"/>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x14ac:dyDescent="0.2">
      <c r="A764" s="246"/>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x14ac:dyDescent="0.2">
      <c r="A765" s="246"/>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x14ac:dyDescent="0.2">
      <c r="A766" s="246"/>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x14ac:dyDescent="0.2">
      <c r="A767" s="246"/>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x14ac:dyDescent="0.2">
      <c r="A768" s="246"/>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x14ac:dyDescent="0.2">
      <c r="A769" s="246"/>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x14ac:dyDescent="0.2">
      <c r="A770" s="246"/>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x14ac:dyDescent="0.2">
      <c r="A771" s="246"/>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x14ac:dyDescent="0.2">
      <c r="A772" s="246"/>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x14ac:dyDescent="0.2">
      <c r="A773" s="246"/>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x14ac:dyDescent="0.2">
      <c r="A774" s="246"/>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x14ac:dyDescent="0.2">
      <c r="A775" s="246"/>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x14ac:dyDescent="0.2">
      <c r="A776" s="246"/>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x14ac:dyDescent="0.2">
      <c r="A777" s="246"/>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x14ac:dyDescent="0.2">
      <c r="A778" s="246"/>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x14ac:dyDescent="0.2">
      <c r="A779" s="246"/>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x14ac:dyDescent="0.2">
      <c r="A780" s="246"/>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x14ac:dyDescent="0.2">
      <c r="A781" s="246"/>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x14ac:dyDescent="0.2">
      <c r="A782" s="246"/>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x14ac:dyDescent="0.2">
      <c r="A783" s="246"/>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x14ac:dyDescent="0.2">
      <c r="A784" s="246"/>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x14ac:dyDescent="0.2">
      <c r="A785" s="246"/>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x14ac:dyDescent="0.2">
      <c r="A786" s="246"/>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x14ac:dyDescent="0.2">
      <c r="A787" s="246"/>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x14ac:dyDescent="0.2">
      <c r="A788" s="246"/>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x14ac:dyDescent="0.2">
      <c r="A789" s="246"/>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x14ac:dyDescent="0.2">
      <c r="A790" s="246"/>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x14ac:dyDescent="0.2">
      <c r="A791" s="246"/>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x14ac:dyDescent="0.2">
      <c r="A792" s="246"/>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x14ac:dyDescent="0.2">
      <c r="A793" s="246"/>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x14ac:dyDescent="0.2">
      <c r="A794" s="246"/>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x14ac:dyDescent="0.2">
      <c r="A795" s="246"/>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x14ac:dyDescent="0.2">
      <c r="A796" s="246"/>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x14ac:dyDescent="0.2">
      <c r="A797" s="246"/>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x14ac:dyDescent="0.2">
      <c r="A798" s="246"/>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x14ac:dyDescent="0.2">
      <c r="A799" s="246"/>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x14ac:dyDescent="0.2">
      <c r="A800" s="246"/>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x14ac:dyDescent="0.2">
      <c r="A801" s="246"/>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x14ac:dyDescent="0.2">
      <c r="A802" s="246"/>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x14ac:dyDescent="0.2">
      <c r="A803" s="246"/>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x14ac:dyDescent="0.2">
      <c r="A804" s="246"/>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x14ac:dyDescent="0.2">
      <c r="A805" s="246"/>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x14ac:dyDescent="0.2">
      <c r="A806" s="246"/>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x14ac:dyDescent="0.2">
      <c r="A807" s="246"/>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x14ac:dyDescent="0.2">
      <c r="A808" s="246"/>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x14ac:dyDescent="0.2">
      <c r="A809" s="246"/>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x14ac:dyDescent="0.2">
      <c r="A810" s="246"/>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x14ac:dyDescent="0.2">
      <c r="A811" s="246"/>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x14ac:dyDescent="0.2">
      <c r="A812" s="246"/>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x14ac:dyDescent="0.2">
      <c r="A813" s="246"/>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x14ac:dyDescent="0.2">
      <c r="A814" s="246"/>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x14ac:dyDescent="0.2">
      <c r="A815" s="246"/>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x14ac:dyDescent="0.2">
      <c r="A816" s="246"/>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x14ac:dyDescent="0.2">
      <c r="A817" s="246"/>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x14ac:dyDescent="0.2">
      <c r="A818" s="246"/>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x14ac:dyDescent="0.2">
      <c r="A819" s="246"/>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x14ac:dyDescent="0.2">
      <c r="A820" s="246"/>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x14ac:dyDescent="0.2">
      <c r="A821" s="246"/>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x14ac:dyDescent="0.2">
      <c r="A822" s="246"/>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x14ac:dyDescent="0.2">
      <c r="A823" s="246"/>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x14ac:dyDescent="0.2">
      <c r="A824" s="246"/>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x14ac:dyDescent="0.2">
      <c r="A825" s="246"/>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x14ac:dyDescent="0.2">
      <c r="A826" s="246"/>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x14ac:dyDescent="0.2">
      <c r="A827" s="246"/>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x14ac:dyDescent="0.2">
      <c r="A828" s="246"/>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x14ac:dyDescent="0.2">
      <c r="A829" s="246"/>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x14ac:dyDescent="0.2">
      <c r="A830" s="246"/>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x14ac:dyDescent="0.2">
      <c r="A831" s="246"/>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x14ac:dyDescent="0.2">
      <c r="A832" s="246"/>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x14ac:dyDescent="0.2">
      <c r="A833" s="246"/>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x14ac:dyDescent="0.2">
      <c r="A834" s="246"/>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x14ac:dyDescent="0.2">
      <c r="A835" s="246"/>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x14ac:dyDescent="0.2">
      <c r="A836" s="246"/>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x14ac:dyDescent="0.2">
      <c r="A837" s="246"/>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x14ac:dyDescent="0.2">
      <c r="A838" s="246"/>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x14ac:dyDescent="0.2">
      <c r="A839" s="246"/>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x14ac:dyDescent="0.2">
      <c r="A840" s="246"/>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x14ac:dyDescent="0.2">
      <c r="A841" s="246"/>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x14ac:dyDescent="0.2">
      <c r="A842" s="246"/>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x14ac:dyDescent="0.2">
      <c r="A843" s="246"/>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x14ac:dyDescent="0.2">
      <c r="A844" s="246"/>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x14ac:dyDescent="0.2">
      <c r="A845" s="246"/>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x14ac:dyDescent="0.2">
      <c r="A846" s="246"/>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x14ac:dyDescent="0.2">
      <c r="A847" s="246"/>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x14ac:dyDescent="0.2">
      <c r="A848" s="246"/>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x14ac:dyDescent="0.2">
      <c r="A849" s="246"/>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x14ac:dyDescent="0.2">
      <c r="A850" s="246"/>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x14ac:dyDescent="0.2">
      <c r="A851" s="246"/>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x14ac:dyDescent="0.2">
      <c r="A852" s="246"/>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x14ac:dyDescent="0.2">
      <c r="A853" s="246"/>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x14ac:dyDescent="0.2">
      <c r="A854" s="246"/>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x14ac:dyDescent="0.2">
      <c r="A855" s="246"/>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x14ac:dyDescent="0.2">
      <c r="A856" s="246"/>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x14ac:dyDescent="0.2">
      <c r="A857" s="246"/>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x14ac:dyDescent="0.2">
      <c r="A858" s="246"/>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x14ac:dyDescent="0.2">
      <c r="A859" s="246"/>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x14ac:dyDescent="0.2">
      <c r="A860" s="246"/>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x14ac:dyDescent="0.2">
      <c r="A861" s="246"/>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x14ac:dyDescent="0.2">
      <c r="A862" s="246"/>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x14ac:dyDescent="0.2">
      <c r="A863" s="246"/>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x14ac:dyDescent="0.2">
      <c r="A864" s="246"/>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x14ac:dyDescent="0.2">
      <c r="A865" s="246"/>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x14ac:dyDescent="0.2">
      <c r="A866" s="246"/>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x14ac:dyDescent="0.2">
      <c r="A867" s="246"/>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x14ac:dyDescent="0.2">
      <c r="A868" s="246"/>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x14ac:dyDescent="0.2">
      <c r="A869" s="246"/>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x14ac:dyDescent="0.2">
      <c r="A870" s="246"/>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x14ac:dyDescent="0.2">
      <c r="A871" s="246"/>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x14ac:dyDescent="0.2">
      <c r="A872" s="246"/>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x14ac:dyDescent="0.2">
      <c r="A873" s="246"/>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x14ac:dyDescent="0.2">
      <c r="A874" s="246"/>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x14ac:dyDescent="0.2">
      <c r="A875" s="246"/>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x14ac:dyDescent="0.2">
      <c r="A876" s="246"/>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x14ac:dyDescent="0.2">
      <c r="A877" s="246"/>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x14ac:dyDescent="0.2">
      <c r="A878" s="246"/>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x14ac:dyDescent="0.2">
      <c r="A879" s="246"/>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x14ac:dyDescent="0.2">
      <c r="A880" s="246"/>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x14ac:dyDescent="0.2">
      <c r="A881" s="246"/>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x14ac:dyDescent="0.2">
      <c r="A882" s="246"/>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x14ac:dyDescent="0.2">
      <c r="A883" s="246"/>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x14ac:dyDescent="0.2">
      <c r="A884" s="246"/>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x14ac:dyDescent="0.2">
      <c r="A885" s="246"/>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x14ac:dyDescent="0.2">
      <c r="A886" s="246"/>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x14ac:dyDescent="0.2">
      <c r="A887" s="246"/>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x14ac:dyDescent="0.2">
      <c r="A888" s="246"/>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x14ac:dyDescent="0.2">
      <c r="A889" s="246"/>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x14ac:dyDescent="0.2">
      <c r="A890" s="246"/>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x14ac:dyDescent="0.2">
      <c r="A891" s="246"/>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x14ac:dyDescent="0.2">
      <c r="A892" s="246"/>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x14ac:dyDescent="0.2">
      <c r="A893" s="246"/>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x14ac:dyDescent="0.2">
      <c r="A894" s="246"/>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x14ac:dyDescent="0.2">
      <c r="A895" s="246"/>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x14ac:dyDescent="0.2">
      <c r="A896" s="246"/>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x14ac:dyDescent="0.2">
      <c r="A897" s="246"/>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x14ac:dyDescent="0.2">
      <c r="A898" s="246"/>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x14ac:dyDescent="0.2">
      <c r="A899" s="246"/>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x14ac:dyDescent="0.2">
      <c r="A900" s="246"/>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x14ac:dyDescent="0.2">
      <c r="A901" s="246"/>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x14ac:dyDescent="0.2">
      <c r="A902" s="246"/>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x14ac:dyDescent="0.2">
      <c r="A903" s="246"/>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x14ac:dyDescent="0.2">
      <c r="A904" s="246"/>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x14ac:dyDescent="0.2">
      <c r="A905" s="246"/>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x14ac:dyDescent="0.2">
      <c r="A906" s="246"/>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x14ac:dyDescent="0.2">
      <c r="A907" s="246"/>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x14ac:dyDescent="0.2">
      <c r="A908" s="246"/>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x14ac:dyDescent="0.2">
      <c r="A909" s="246"/>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x14ac:dyDescent="0.2">
      <c r="A910" s="246"/>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x14ac:dyDescent="0.2">
      <c r="A911" s="246"/>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x14ac:dyDescent="0.2">
      <c r="A912" s="246"/>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x14ac:dyDescent="0.2">
      <c r="A913" s="246"/>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x14ac:dyDescent="0.2">
      <c r="A914" s="246"/>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x14ac:dyDescent="0.2">
      <c r="A915" s="246"/>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x14ac:dyDescent="0.2">
      <c r="A916" s="246"/>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x14ac:dyDescent="0.2">
      <c r="A917" s="246"/>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x14ac:dyDescent="0.2">
      <c r="A918" s="246"/>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x14ac:dyDescent="0.2">
      <c r="A919" s="246"/>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x14ac:dyDescent="0.2">
      <c r="A920" s="246"/>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x14ac:dyDescent="0.2">
      <c r="A921" s="246"/>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x14ac:dyDescent="0.2">
      <c r="A922" s="246"/>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x14ac:dyDescent="0.2">
      <c r="A923" s="246"/>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x14ac:dyDescent="0.2">
      <c r="A924" s="246"/>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x14ac:dyDescent="0.2">
      <c r="A925" s="246"/>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x14ac:dyDescent="0.2">
      <c r="A926" s="246"/>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x14ac:dyDescent="0.2">
      <c r="A927" s="246"/>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x14ac:dyDescent="0.2">
      <c r="A928" s="246"/>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x14ac:dyDescent="0.2">
      <c r="A929" s="246"/>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x14ac:dyDescent="0.2">
      <c r="A930" s="246"/>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x14ac:dyDescent="0.2">
      <c r="A931" s="246"/>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x14ac:dyDescent="0.2">
      <c r="A932" s="246"/>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x14ac:dyDescent="0.2">
      <c r="A933" s="246"/>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x14ac:dyDescent="0.2">
      <c r="A934" s="246"/>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x14ac:dyDescent="0.2">
      <c r="A935" s="246"/>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x14ac:dyDescent="0.2">
      <c r="A936" s="246"/>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x14ac:dyDescent="0.2">
      <c r="A937" s="246"/>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x14ac:dyDescent="0.2">
      <c r="A938" s="246"/>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x14ac:dyDescent="0.2">
      <c r="A939" s="246"/>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x14ac:dyDescent="0.2">
      <c r="A940" s="246"/>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x14ac:dyDescent="0.2">
      <c r="A941" s="246"/>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x14ac:dyDescent="0.2">
      <c r="A942" s="246"/>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x14ac:dyDescent="0.2">
      <c r="A943" s="246"/>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x14ac:dyDescent="0.2">
      <c r="A944" s="246"/>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x14ac:dyDescent="0.2">
      <c r="A945" s="246"/>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x14ac:dyDescent="0.2">
      <c r="A946" s="246"/>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x14ac:dyDescent="0.2">
      <c r="A947" s="246"/>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x14ac:dyDescent="0.2">
      <c r="A948" s="246"/>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x14ac:dyDescent="0.2">
      <c r="A949" s="246"/>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x14ac:dyDescent="0.2">
      <c r="A950" s="246"/>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x14ac:dyDescent="0.2">
      <c r="A951" s="246"/>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sheetData>
  <customSheetViews>
    <customSheetView guid="{1474D8E2-8801-474F-99A3-0D3DFA4B5FB3}" scale="85" fitToPage="1" hiddenRows="1" topLeftCell="A90">
      <pane ySplit="22.071428571428573" topLeftCell="A617"/>
      <selection activeCell="I101" sqref="I101:I102"/>
      <pageMargins left="0.7" right="0.7" top="0.75" bottom="0.75" header="0.3" footer="0.3"/>
      <pageSetup scale="62" fitToHeight="0" orientation="landscape" r:id="rId1"/>
    </customSheetView>
    <customSheetView guid="{0270675F-18D5-4C83-B813-43237B4A5065}" scale="85" fitToPage="1" hiddenRows="1" topLeftCell="A121">
      <selection activeCell="A3" sqref="A3"/>
      <pageMargins left="0.7" right="0.7" top="0.75" bottom="0.75" header="0.3" footer="0.3"/>
      <pageSetup scale="62" fitToHeight="0" orientation="landscape" r:id="rId2"/>
    </customSheetView>
    <customSheetView guid="{68E4D3DD-37C5-4451-9CB1-FD36A6953DAF}" scale="85" showPageBreaks="1" fitToPage="1" printArea="1" hiddenRows="1" topLeftCell="A440">
      <pane ySplit="32.785714285714285" topLeftCell="A617" activePane="bottomLeft"/>
      <selection pane="bottomLeft" activeCell="R630" sqref="R630"/>
      <pageMargins left="0.7" right="0.7" top="0.75" bottom="0.75" header="0.3" footer="0.3"/>
      <pageSetup scale="62" fitToHeight="0" orientation="landscape" r:id="rId3"/>
    </customSheetView>
  </customSheetViews>
  <pageMargins left="0.7" right="0.7" top="0.75" bottom="0.75" header="0.3" footer="0.3"/>
  <pageSetup scale="62" fitToHeight="0" orientation="landscape"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898"/>
  <sheetViews>
    <sheetView zoomScale="85" zoomScaleNormal="85" workbookViewId="0">
      <selection activeCell="D26" sqref="D26"/>
    </sheetView>
  </sheetViews>
  <sheetFormatPr defaultColWidth="14.42578125" defaultRowHeight="15.75" customHeight="1" x14ac:dyDescent="0.2"/>
  <cols>
    <col min="1" max="1" width="3.85546875" customWidth="1"/>
    <col min="2" max="2" width="4.7109375" customWidth="1"/>
    <col min="3" max="3" width="15.28515625" customWidth="1"/>
    <col min="6" max="6" width="16.7109375" bestFit="1" customWidth="1"/>
  </cols>
  <sheetData>
    <row r="1" spans="1:26" ht="45" customHeight="1" x14ac:dyDescent="0.3">
      <c r="A1" s="1"/>
      <c r="B1" s="2"/>
      <c r="C1" s="2"/>
      <c r="D1" s="2"/>
      <c r="E1" s="2"/>
      <c r="F1" s="2"/>
      <c r="G1" s="2"/>
      <c r="H1" s="2"/>
      <c r="I1" s="2"/>
      <c r="J1" s="2"/>
      <c r="K1" s="2"/>
      <c r="L1" s="2"/>
      <c r="M1" s="2"/>
      <c r="N1" s="2"/>
      <c r="O1" s="2"/>
      <c r="P1" s="2"/>
      <c r="Q1" s="2"/>
      <c r="R1" s="2"/>
      <c r="S1" s="2"/>
      <c r="T1" s="2"/>
      <c r="U1" s="2"/>
      <c r="V1" s="2"/>
      <c r="W1" s="2"/>
      <c r="X1" s="2"/>
      <c r="Y1" s="2"/>
      <c r="Z1" s="2"/>
    </row>
    <row r="2" spans="1:26" ht="28.5" customHeight="1" x14ac:dyDescent="0.2">
      <c r="A2" s="225" t="s">
        <v>507</v>
      </c>
      <c r="B2" s="2"/>
      <c r="C2" s="2"/>
      <c r="D2" s="2"/>
      <c r="E2" s="2"/>
      <c r="F2" s="2"/>
      <c r="G2" s="2"/>
      <c r="H2" s="2"/>
      <c r="I2" s="2"/>
      <c r="J2" s="2"/>
      <c r="K2" s="2"/>
      <c r="L2" s="2"/>
      <c r="M2" s="2"/>
      <c r="N2" s="2"/>
      <c r="O2" s="2"/>
      <c r="P2" s="2"/>
      <c r="Q2" s="2"/>
      <c r="R2" s="2"/>
      <c r="S2" s="2"/>
      <c r="T2" s="2"/>
      <c r="U2" s="2"/>
      <c r="V2" s="2"/>
      <c r="W2" s="2"/>
      <c r="X2" s="2"/>
      <c r="Y2" s="2"/>
      <c r="Z2" s="2"/>
    </row>
    <row r="3" spans="1:26" ht="15.75" customHeight="1" x14ac:dyDescent="0.2">
      <c r="A3" s="3"/>
      <c r="B3" s="3"/>
      <c r="C3" s="3"/>
      <c r="D3" s="3"/>
      <c r="E3" s="3"/>
      <c r="F3" s="3"/>
      <c r="G3" s="3"/>
      <c r="H3" s="3"/>
      <c r="I3" s="3"/>
      <c r="J3" s="3"/>
      <c r="K3" s="3"/>
      <c r="L3" s="3"/>
      <c r="M3" s="3"/>
      <c r="N3" s="3"/>
      <c r="O3" s="3"/>
      <c r="P3" s="3"/>
      <c r="Q3" s="3"/>
      <c r="R3" s="3"/>
      <c r="S3" s="3"/>
      <c r="T3" s="3"/>
      <c r="U3" s="3"/>
      <c r="V3" s="3"/>
      <c r="W3" s="3"/>
      <c r="X3" s="3"/>
      <c r="Y3" s="3"/>
      <c r="Z3" s="3"/>
    </row>
    <row r="4" spans="1:26" ht="15.75" customHeight="1" x14ac:dyDescent="0.2">
      <c r="A4" s="29" t="s">
        <v>355</v>
      </c>
      <c r="B4" s="2"/>
      <c r="C4" s="2"/>
      <c r="D4" s="2"/>
      <c r="F4" s="111" t="s">
        <v>483</v>
      </c>
      <c r="G4" s="5"/>
      <c r="H4" s="5"/>
      <c r="I4" s="5"/>
      <c r="J4" s="5"/>
      <c r="K4" s="2"/>
      <c r="L4" s="2"/>
      <c r="M4" s="2"/>
      <c r="N4" s="2"/>
      <c r="O4" s="2"/>
      <c r="P4" s="2"/>
      <c r="Q4" s="2"/>
      <c r="R4" s="2"/>
      <c r="S4" s="2"/>
      <c r="T4" s="2"/>
      <c r="U4" s="2"/>
      <c r="V4" s="2"/>
      <c r="W4" s="2"/>
      <c r="X4" s="2"/>
      <c r="Y4" s="2"/>
      <c r="Z4" s="2"/>
    </row>
    <row r="5" spans="1:26" ht="15.75" customHeight="1" x14ac:dyDescent="0.2">
      <c r="A5" s="11"/>
      <c r="B5" s="3"/>
      <c r="C5" s="3"/>
      <c r="D5" s="3"/>
      <c r="E5" s="3"/>
      <c r="F5" s="13"/>
      <c r="G5" s="13"/>
      <c r="H5" s="13"/>
      <c r="I5" s="13"/>
      <c r="J5" s="13"/>
      <c r="K5" s="3"/>
      <c r="L5" s="3"/>
      <c r="M5" s="3"/>
      <c r="N5" s="3"/>
      <c r="O5" s="3"/>
      <c r="P5" s="3"/>
      <c r="Q5" s="3"/>
      <c r="R5" s="3"/>
      <c r="S5" s="3"/>
      <c r="T5" s="3"/>
      <c r="U5" s="3"/>
      <c r="V5" s="3"/>
      <c r="W5" s="3"/>
      <c r="X5" s="3"/>
      <c r="Y5" s="3"/>
      <c r="Z5" s="3"/>
    </row>
    <row r="6" spans="1:26" ht="15.75" customHeight="1" x14ac:dyDescent="0.2">
      <c r="A6" s="4" t="s">
        <v>25</v>
      </c>
      <c r="B6" s="2"/>
      <c r="C6" s="2"/>
      <c r="D6" s="2"/>
      <c r="E6" s="2"/>
      <c r="F6" s="5" t="s">
        <v>0</v>
      </c>
      <c r="G6" s="5" t="s">
        <v>1</v>
      </c>
      <c r="H6" s="5" t="s">
        <v>2</v>
      </c>
      <c r="I6" s="5"/>
      <c r="J6" s="5"/>
      <c r="L6" s="2"/>
      <c r="M6" s="2"/>
      <c r="N6" s="2"/>
      <c r="O6" s="2"/>
      <c r="P6" s="2"/>
      <c r="Q6" s="2"/>
      <c r="R6" s="2"/>
      <c r="S6" s="2"/>
      <c r="T6" s="2"/>
      <c r="U6" s="2"/>
      <c r="V6" s="2"/>
      <c r="W6" s="2"/>
      <c r="X6" s="2"/>
      <c r="Y6" s="2"/>
      <c r="Z6" s="2"/>
    </row>
    <row r="7" spans="1:26" ht="15.75" customHeight="1" x14ac:dyDescent="0.2">
      <c r="A7" s="3"/>
      <c r="B7" s="392" t="s">
        <v>3</v>
      </c>
      <c r="C7" s="2"/>
      <c r="D7" s="2"/>
      <c r="E7" s="2"/>
      <c r="F7" s="2"/>
      <c r="G7" s="2"/>
      <c r="H7" s="2"/>
      <c r="I7" s="447"/>
      <c r="J7" s="447"/>
      <c r="K7" s="447"/>
      <c r="L7" s="3"/>
      <c r="M7" s="3"/>
      <c r="N7" s="3"/>
      <c r="O7" s="3"/>
      <c r="P7" s="3"/>
      <c r="Q7" s="3"/>
      <c r="R7" s="3"/>
      <c r="S7" s="3"/>
      <c r="T7" s="3"/>
      <c r="U7" s="3"/>
      <c r="V7" s="3"/>
      <c r="W7" s="3"/>
      <c r="X7" s="3"/>
      <c r="Y7" s="3"/>
      <c r="Z7" s="3"/>
    </row>
    <row r="8" spans="1:26" ht="15.75" customHeight="1" x14ac:dyDescent="0.2">
      <c r="A8" s="3"/>
      <c r="B8" s="2"/>
      <c r="C8" s="393" t="s">
        <v>4</v>
      </c>
      <c r="D8" s="2"/>
      <c r="E8" s="2"/>
      <c r="F8" s="448">
        <v>7.9000000000000001E-2</v>
      </c>
      <c r="G8" s="2" t="s">
        <v>5</v>
      </c>
      <c r="H8" s="2" t="s">
        <v>6</v>
      </c>
      <c r="I8" s="447"/>
      <c r="J8" s="447"/>
      <c r="K8" s="447"/>
      <c r="L8" s="3"/>
      <c r="M8" s="3"/>
      <c r="N8" s="3"/>
      <c r="O8" s="3"/>
      <c r="P8" s="3"/>
      <c r="Q8" s="3"/>
      <c r="R8" s="3"/>
      <c r="S8" s="3"/>
      <c r="T8" s="3"/>
      <c r="U8" s="3"/>
      <c r="V8" s="3"/>
      <c r="W8" s="3"/>
      <c r="X8" s="3"/>
      <c r="Y8" s="3"/>
      <c r="Z8" s="3"/>
    </row>
    <row r="9" spans="1:26" ht="15.75" customHeight="1" x14ac:dyDescent="0.2">
      <c r="A9" s="3"/>
      <c r="B9" s="2"/>
      <c r="C9" s="393" t="s">
        <v>7</v>
      </c>
      <c r="D9" s="2"/>
      <c r="E9" s="2"/>
      <c r="F9" s="448">
        <v>2.5000000000000001E-2</v>
      </c>
      <c r="G9" s="2" t="s">
        <v>5</v>
      </c>
      <c r="H9" s="2"/>
      <c r="I9" s="447"/>
      <c r="J9" s="447"/>
      <c r="K9" s="447"/>
      <c r="L9" s="3"/>
      <c r="M9" s="3"/>
      <c r="N9" s="3"/>
      <c r="O9" s="3"/>
      <c r="P9" s="3"/>
      <c r="Q9" s="3"/>
      <c r="R9" s="3"/>
      <c r="S9" s="3"/>
      <c r="T9" s="3"/>
      <c r="U9" s="3"/>
      <c r="V9" s="3"/>
      <c r="W9" s="3"/>
      <c r="X9" s="3"/>
      <c r="Y9" s="3"/>
      <c r="Z9" s="3"/>
    </row>
    <row r="10" spans="1:26" ht="15.75" customHeight="1" x14ac:dyDescent="0.2">
      <c r="A10" s="3"/>
      <c r="B10" s="2"/>
      <c r="C10" s="393" t="s">
        <v>8</v>
      </c>
      <c r="D10" s="2"/>
      <c r="E10" s="2"/>
      <c r="F10" s="531">
        <v>157.54</v>
      </c>
      <c r="G10" s="2" t="s">
        <v>9</v>
      </c>
      <c r="H10" s="2" t="s">
        <v>10</v>
      </c>
      <c r="I10" s="447"/>
      <c r="J10" s="447"/>
      <c r="K10" s="447"/>
      <c r="L10" s="3"/>
      <c r="M10" s="3"/>
      <c r="N10" s="3"/>
      <c r="O10" s="3"/>
      <c r="P10" s="3"/>
      <c r="Q10" s="3"/>
      <c r="R10" s="3"/>
      <c r="S10" s="3"/>
      <c r="T10" s="3"/>
      <c r="U10" s="3"/>
      <c r="V10" s="3"/>
      <c r="W10" s="3"/>
      <c r="X10" s="3"/>
      <c r="Y10" s="3"/>
      <c r="Z10" s="3"/>
    </row>
    <row r="11" spans="1:26" ht="15.75" customHeight="1" x14ac:dyDescent="0.2">
      <c r="A11" s="3"/>
      <c r="B11" s="2"/>
      <c r="C11" s="393" t="s">
        <v>11</v>
      </c>
      <c r="D11" s="2"/>
      <c r="E11" s="2"/>
      <c r="F11" s="450">
        <v>0</v>
      </c>
      <c r="G11" s="2" t="s">
        <v>5</v>
      </c>
      <c r="H11" s="2" t="s">
        <v>12</v>
      </c>
      <c r="I11" s="447"/>
      <c r="J11" s="447"/>
      <c r="K11" s="447"/>
      <c r="L11" s="3"/>
      <c r="M11" s="3"/>
      <c r="N11" s="3"/>
      <c r="O11" s="3"/>
      <c r="P11" s="3"/>
      <c r="Q11" s="3"/>
      <c r="R11" s="3"/>
      <c r="S11" s="3"/>
      <c r="T11" s="3"/>
      <c r="U11" s="3"/>
      <c r="V11" s="3"/>
      <c r="W11" s="3"/>
      <c r="X11" s="3"/>
      <c r="Y11" s="3"/>
      <c r="Z11" s="3"/>
    </row>
    <row r="12" spans="1:26" ht="15.75" customHeight="1" x14ac:dyDescent="0.2">
      <c r="A12" s="3"/>
      <c r="B12" s="2"/>
      <c r="C12" s="393" t="s">
        <v>13</v>
      </c>
      <c r="D12" s="2"/>
      <c r="E12" s="2"/>
      <c r="F12" s="448">
        <v>0.10199999999999999</v>
      </c>
      <c r="G12" s="2" t="s">
        <v>5</v>
      </c>
      <c r="H12" s="2" t="s">
        <v>14</v>
      </c>
      <c r="I12" s="447"/>
      <c r="J12" s="447"/>
      <c r="K12" s="447"/>
      <c r="L12" s="3"/>
      <c r="M12" s="3"/>
      <c r="N12" s="3"/>
      <c r="O12" s="3"/>
      <c r="P12" s="3"/>
      <c r="Q12" s="3"/>
      <c r="R12" s="3"/>
      <c r="S12" s="3"/>
      <c r="T12" s="3"/>
      <c r="U12" s="3"/>
      <c r="V12" s="3"/>
      <c r="W12" s="3"/>
      <c r="X12" s="3"/>
      <c r="Y12" s="3"/>
      <c r="Z12" s="3"/>
    </row>
    <row r="13" spans="1:26" ht="15.75" customHeight="1" x14ac:dyDescent="0.2">
      <c r="A13" s="3"/>
      <c r="B13" s="2"/>
      <c r="C13" s="393" t="s">
        <v>15</v>
      </c>
      <c r="D13" s="2"/>
      <c r="E13" s="2"/>
      <c r="F13" s="451">
        <v>173.60908000000001</v>
      </c>
      <c r="G13" s="2" t="s">
        <v>9</v>
      </c>
      <c r="H13" s="2"/>
      <c r="I13" s="447"/>
      <c r="J13" s="447"/>
      <c r="K13" s="447"/>
      <c r="L13" s="3"/>
      <c r="M13" s="3"/>
      <c r="N13" s="3"/>
      <c r="O13" s="3"/>
      <c r="P13" s="3"/>
      <c r="Q13" s="3"/>
      <c r="R13" s="3"/>
      <c r="S13" s="3"/>
      <c r="T13" s="3"/>
      <c r="U13" s="3"/>
      <c r="V13" s="3"/>
      <c r="W13" s="3"/>
      <c r="X13" s="3"/>
      <c r="Y13" s="3"/>
      <c r="Z13" s="3"/>
    </row>
    <row r="14" spans="1:26" ht="15.75" customHeight="1" x14ac:dyDescent="0.2">
      <c r="A14" s="3"/>
      <c r="B14" s="2"/>
      <c r="C14" s="393" t="s">
        <v>16</v>
      </c>
      <c r="D14" s="2"/>
      <c r="E14" s="2"/>
      <c r="F14" s="448">
        <v>8.4000000000000005E-2</v>
      </c>
      <c r="G14" s="2" t="s">
        <v>5</v>
      </c>
      <c r="H14" s="405" t="s">
        <v>1073</v>
      </c>
      <c r="I14" s="447"/>
      <c r="J14" s="447"/>
      <c r="K14" s="447"/>
      <c r="L14" s="3"/>
      <c r="M14" s="3"/>
      <c r="N14" s="3"/>
      <c r="O14" s="3"/>
      <c r="P14" s="3"/>
      <c r="Q14" s="3"/>
      <c r="R14" s="3"/>
      <c r="S14" s="3"/>
      <c r="T14" s="3"/>
      <c r="U14" s="3"/>
      <c r="V14" s="3"/>
      <c r="W14" s="3"/>
      <c r="X14" s="3"/>
      <c r="Y14" s="3"/>
      <c r="Z14" s="3"/>
    </row>
    <row r="15" spans="1:26" ht="15.75" customHeight="1" x14ac:dyDescent="0.2">
      <c r="A15" s="3"/>
      <c r="B15" s="2"/>
      <c r="C15" s="393" t="s">
        <v>17</v>
      </c>
      <c r="D15" s="2"/>
      <c r="E15" s="2"/>
      <c r="F15" s="448">
        <v>0.23977099999999996</v>
      </c>
      <c r="G15" s="2" t="s">
        <v>5</v>
      </c>
      <c r="H15" s="2"/>
      <c r="I15" s="447"/>
      <c r="J15" s="447"/>
      <c r="K15" s="447"/>
      <c r="L15" s="3"/>
      <c r="M15" s="3"/>
      <c r="N15" s="3"/>
      <c r="O15" s="3"/>
      <c r="P15" s="3"/>
      <c r="Q15" s="3"/>
      <c r="R15" s="3"/>
      <c r="S15" s="3"/>
      <c r="T15" s="3"/>
      <c r="U15" s="3"/>
      <c r="V15" s="3"/>
      <c r="W15" s="3"/>
      <c r="X15" s="3"/>
      <c r="Y15" s="3"/>
      <c r="Z15" s="3"/>
    </row>
    <row r="16" spans="1:26" ht="15.75" customHeight="1" x14ac:dyDescent="0.2">
      <c r="A16" s="3"/>
      <c r="B16" s="2"/>
      <c r="C16" s="393" t="s">
        <v>18</v>
      </c>
      <c r="D16" s="2"/>
      <c r="E16" s="2"/>
      <c r="F16" s="448">
        <v>0.14899999999999999</v>
      </c>
      <c r="G16" s="2" t="s">
        <v>5</v>
      </c>
      <c r="H16" s="2" t="s">
        <v>19</v>
      </c>
      <c r="I16" s="447"/>
      <c r="J16" s="447"/>
      <c r="K16" s="447"/>
      <c r="L16" s="3"/>
      <c r="M16" s="3"/>
      <c r="N16" s="3"/>
      <c r="O16" s="3"/>
      <c r="P16" s="3"/>
      <c r="Q16" s="3"/>
      <c r="R16" s="3"/>
      <c r="S16" s="3"/>
      <c r="T16" s="3"/>
      <c r="U16" s="3"/>
      <c r="V16" s="3"/>
      <c r="W16" s="3"/>
      <c r="X16" s="3"/>
      <c r="Y16" s="3"/>
      <c r="Z16" s="3"/>
    </row>
    <row r="17" spans="1:26" ht="15.75" customHeight="1" x14ac:dyDescent="0.2">
      <c r="A17" s="3"/>
      <c r="B17" s="452"/>
      <c r="C17" s="453"/>
      <c r="D17" s="447"/>
      <c r="E17" s="447"/>
      <c r="F17" s="447"/>
      <c r="G17" s="447"/>
      <c r="H17" s="447"/>
      <c r="I17" s="447"/>
      <c r="J17" s="447"/>
      <c r="K17" s="447"/>
      <c r="L17" s="3"/>
      <c r="M17" s="3"/>
      <c r="N17" s="3"/>
      <c r="O17" s="3"/>
      <c r="P17" s="3"/>
      <c r="Q17" s="3"/>
      <c r="R17" s="3"/>
      <c r="S17" s="3"/>
      <c r="T17" s="3"/>
      <c r="U17" s="3"/>
      <c r="V17" s="3"/>
      <c r="W17" s="3"/>
      <c r="X17" s="3"/>
      <c r="Y17" s="3"/>
      <c r="Z17" s="3"/>
    </row>
    <row r="18" spans="1:26" ht="15.75" customHeight="1" x14ac:dyDescent="0.2">
      <c r="A18" s="3"/>
      <c r="B18" s="392" t="s">
        <v>20</v>
      </c>
      <c r="C18" s="393"/>
      <c r="D18" s="2"/>
      <c r="E18" s="2"/>
      <c r="F18" s="2"/>
      <c r="G18" s="2"/>
      <c r="H18" s="2"/>
      <c r="I18" s="447"/>
      <c r="J18" s="447"/>
      <c r="K18" s="447"/>
      <c r="L18" s="3"/>
      <c r="M18" s="3"/>
      <c r="N18" s="3"/>
      <c r="O18" s="3"/>
      <c r="P18" s="3"/>
      <c r="Q18" s="3"/>
      <c r="R18" s="3"/>
      <c r="S18" s="3"/>
      <c r="T18" s="3"/>
      <c r="U18" s="3"/>
      <c r="V18" s="3"/>
      <c r="W18" s="3"/>
      <c r="X18" s="3"/>
      <c r="Y18" s="3"/>
      <c r="Z18" s="3"/>
    </row>
    <row r="19" spans="1:26" ht="15.75" customHeight="1" x14ac:dyDescent="0.2">
      <c r="A19" s="3"/>
      <c r="B19" s="2"/>
      <c r="C19" s="393" t="s">
        <v>21</v>
      </c>
      <c r="D19" s="2"/>
      <c r="E19" s="2"/>
      <c r="F19" s="448">
        <v>0.16800000000000001</v>
      </c>
      <c r="G19" s="393" t="s">
        <v>5</v>
      </c>
      <c r="H19" s="2" t="s">
        <v>22</v>
      </c>
      <c r="I19" s="447"/>
      <c r="J19" s="447"/>
      <c r="K19" s="447"/>
      <c r="L19" s="3"/>
      <c r="M19" s="3"/>
      <c r="N19" s="3"/>
      <c r="O19" s="3"/>
      <c r="P19" s="3"/>
      <c r="Q19" s="3"/>
      <c r="R19" s="3"/>
      <c r="S19" s="3"/>
      <c r="T19" s="3"/>
      <c r="U19" s="3"/>
      <c r="V19" s="3"/>
      <c r="W19" s="3"/>
      <c r="X19" s="3"/>
      <c r="Y19" s="3"/>
      <c r="Z19" s="3"/>
    </row>
    <row r="20" spans="1:26" ht="15.75" customHeight="1" x14ac:dyDescent="0.2">
      <c r="A20" s="3"/>
      <c r="B20" s="2"/>
      <c r="C20" s="393" t="s">
        <v>23</v>
      </c>
      <c r="D20" s="2"/>
      <c r="E20" s="2"/>
      <c r="F20" s="454">
        <v>0.12</v>
      </c>
      <c r="G20" s="393" t="s">
        <v>5</v>
      </c>
      <c r="H20" s="2"/>
      <c r="I20" s="447"/>
      <c r="J20" s="447"/>
      <c r="K20" s="447"/>
      <c r="L20" s="3"/>
      <c r="M20" s="3"/>
      <c r="N20" s="3"/>
      <c r="O20" s="3"/>
      <c r="P20" s="3"/>
      <c r="Q20" s="3"/>
      <c r="R20" s="3"/>
      <c r="S20" s="3"/>
      <c r="T20" s="3"/>
      <c r="U20" s="3"/>
      <c r="V20" s="3"/>
      <c r="W20" s="3"/>
      <c r="X20" s="3"/>
      <c r="Y20" s="3"/>
      <c r="Z20" s="3"/>
    </row>
    <row r="21" spans="1:26" ht="15.75" customHeight="1" x14ac:dyDescent="0.2">
      <c r="A21" s="3"/>
      <c r="B21" s="447"/>
      <c r="C21" s="447"/>
      <c r="D21" s="447"/>
      <c r="E21" s="447"/>
      <c r="F21" s="447"/>
      <c r="G21" s="447"/>
      <c r="H21" s="447"/>
      <c r="I21" s="447"/>
      <c r="J21" s="447"/>
      <c r="K21" s="447"/>
      <c r="L21" s="447"/>
      <c r="M21" s="447"/>
      <c r="N21" s="447"/>
      <c r="O21" s="3"/>
      <c r="P21" s="3"/>
      <c r="Q21" s="3"/>
      <c r="R21" s="3"/>
      <c r="S21" s="3"/>
      <c r="T21" s="3"/>
      <c r="U21" s="3"/>
      <c r="V21" s="3"/>
      <c r="W21" s="3"/>
      <c r="X21" s="3"/>
      <c r="Y21" s="3"/>
      <c r="Z21" s="3"/>
    </row>
    <row r="22" spans="1:26" ht="15.75" customHeight="1" x14ac:dyDescent="0.2">
      <c r="A22" s="3"/>
      <c r="B22" s="447"/>
      <c r="C22" s="447"/>
      <c r="D22" s="447"/>
      <c r="E22" s="447"/>
      <c r="F22" s="578" t="s">
        <v>44</v>
      </c>
      <c r="G22" s="579"/>
      <c r="H22" s="480"/>
      <c r="I22" s="578" t="s">
        <v>857</v>
      </c>
      <c r="J22" s="579"/>
      <c r="K22" s="579"/>
      <c r="L22" s="480"/>
      <c r="M22" s="243"/>
      <c r="N22" s="244"/>
      <c r="O22" s="245"/>
      <c r="P22" s="3"/>
      <c r="Q22" s="3"/>
      <c r="R22" s="3"/>
      <c r="S22" s="3"/>
      <c r="T22" s="3"/>
      <c r="U22" s="3"/>
      <c r="V22" s="3"/>
      <c r="W22" s="3"/>
      <c r="X22" s="3"/>
      <c r="Y22" s="3"/>
      <c r="Z22" s="3"/>
    </row>
    <row r="23" spans="1:26" ht="18" customHeight="1" x14ac:dyDescent="0.2">
      <c r="A23" s="3"/>
      <c r="B23" s="452"/>
      <c r="C23" s="447"/>
      <c r="D23" s="447"/>
      <c r="E23" s="447"/>
      <c r="F23" s="414" t="s">
        <v>0</v>
      </c>
      <c r="G23" s="5" t="s">
        <v>1</v>
      </c>
      <c r="H23" s="2"/>
      <c r="I23" s="414" t="s">
        <v>0</v>
      </c>
      <c r="J23" s="5" t="s">
        <v>1</v>
      </c>
      <c r="K23" s="5" t="s">
        <v>2</v>
      </c>
      <c r="L23" s="5"/>
      <c r="M23" s="243"/>
      <c r="N23" s="244"/>
      <c r="O23" s="245"/>
      <c r="P23" s="3"/>
      <c r="Q23" s="3"/>
      <c r="R23" s="3"/>
      <c r="S23" s="3"/>
      <c r="T23" s="3"/>
      <c r="U23" s="3"/>
      <c r="V23" s="3"/>
      <c r="W23" s="3"/>
      <c r="X23" s="3"/>
      <c r="Y23" s="3"/>
      <c r="Z23" s="3"/>
    </row>
    <row r="24" spans="1:26" ht="18" customHeight="1" x14ac:dyDescent="0.2">
      <c r="A24" s="3"/>
      <c r="B24" s="392" t="s">
        <v>46</v>
      </c>
      <c r="C24" s="392"/>
      <c r="D24" s="392"/>
      <c r="E24" s="392"/>
      <c r="F24" s="455"/>
      <c r="G24" s="5"/>
      <c r="H24" s="2"/>
      <c r="I24" s="455"/>
      <c r="J24" s="5"/>
      <c r="K24" s="5"/>
      <c r="L24" s="5"/>
      <c r="M24" s="243"/>
      <c r="N24" s="244"/>
      <c r="O24" s="245"/>
      <c r="P24" s="3"/>
      <c r="Q24" s="3"/>
      <c r="R24" s="3"/>
      <c r="S24" s="3"/>
      <c r="T24" s="3"/>
      <c r="U24" s="3"/>
      <c r="V24" s="3"/>
      <c r="W24" s="3"/>
      <c r="X24" s="3"/>
      <c r="Y24" s="3"/>
      <c r="Z24" s="3"/>
    </row>
    <row r="25" spans="1:26" ht="15.75" customHeight="1" x14ac:dyDescent="0.2">
      <c r="A25" s="3"/>
      <c r="B25" s="2"/>
      <c r="C25" s="393" t="s">
        <v>47</v>
      </c>
      <c r="D25" s="2"/>
      <c r="E25" s="2"/>
      <c r="F25" s="456">
        <v>1.5</v>
      </c>
      <c r="G25" s="393" t="s">
        <v>48</v>
      </c>
      <c r="H25" s="2"/>
      <c r="I25" s="457">
        <f>F25</f>
        <v>1.5</v>
      </c>
      <c r="J25" s="393" t="s">
        <v>48</v>
      </c>
      <c r="K25" s="393" t="s">
        <v>599</v>
      </c>
      <c r="L25" s="16" t="s">
        <v>50</v>
      </c>
      <c r="M25" s="243"/>
      <c r="N25" s="244"/>
      <c r="O25" s="245"/>
      <c r="P25" s="3"/>
      <c r="Q25" s="3"/>
      <c r="R25" s="3"/>
      <c r="S25" s="3"/>
      <c r="T25" s="3"/>
      <c r="U25" s="3"/>
      <c r="V25" s="3"/>
      <c r="W25" s="3"/>
      <c r="X25" s="3"/>
      <c r="Y25" s="3"/>
      <c r="Z25" s="3"/>
    </row>
    <row r="26" spans="1:26" ht="15.75" customHeight="1" x14ac:dyDescent="0.2">
      <c r="A26" s="3"/>
      <c r="B26" s="2"/>
      <c r="C26" s="393" t="s">
        <v>53</v>
      </c>
      <c r="D26" s="2"/>
      <c r="E26" s="2"/>
      <c r="F26" s="456">
        <v>5.6</v>
      </c>
      <c r="G26" s="393" t="s">
        <v>54</v>
      </c>
      <c r="H26" s="2"/>
      <c r="I26" s="457">
        <f>F26</f>
        <v>5.6</v>
      </c>
      <c r="J26" s="393" t="s">
        <v>54</v>
      </c>
      <c r="K26" s="393" t="s">
        <v>358</v>
      </c>
      <c r="L26" s="16" t="s">
        <v>50</v>
      </c>
      <c r="M26" s="243"/>
      <c r="N26" s="244"/>
      <c r="O26" s="245"/>
      <c r="P26" s="3"/>
      <c r="Q26" s="3"/>
      <c r="R26" s="3"/>
      <c r="S26" s="3"/>
      <c r="T26" s="3"/>
      <c r="U26" s="3"/>
      <c r="V26" s="3"/>
      <c r="W26" s="3"/>
      <c r="X26" s="3"/>
      <c r="Y26" s="3"/>
      <c r="Z26" s="3"/>
    </row>
    <row r="27" spans="1:26" ht="15.75" customHeight="1" x14ac:dyDescent="0.2">
      <c r="A27" s="3"/>
      <c r="B27" s="2"/>
      <c r="C27" s="393" t="s">
        <v>354</v>
      </c>
      <c r="D27" s="2"/>
      <c r="E27" s="2"/>
      <c r="F27" s="458">
        <v>0</v>
      </c>
      <c r="G27" s="393" t="s">
        <v>57</v>
      </c>
      <c r="H27" s="2"/>
      <c r="I27" s="459">
        <v>0</v>
      </c>
      <c r="J27" s="393" t="s">
        <v>57</v>
      </c>
      <c r="K27" s="393" t="s">
        <v>471</v>
      </c>
      <c r="L27" s="16" t="s">
        <v>50</v>
      </c>
      <c r="M27" s="243"/>
      <c r="N27" s="244"/>
      <c r="O27" s="245"/>
      <c r="P27" s="3"/>
      <c r="Q27" s="3"/>
      <c r="R27" s="3"/>
      <c r="S27" s="3"/>
      <c r="T27" s="3"/>
      <c r="U27" s="3"/>
      <c r="V27" s="3"/>
      <c r="W27" s="3"/>
      <c r="X27" s="3"/>
      <c r="Y27" s="3"/>
      <c r="Z27" s="3"/>
    </row>
    <row r="28" spans="1:26" ht="15.75" customHeight="1" x14ac:dyDescent="0.2">
      <c r="A28" s="3"/>
      <c r="B28" s="447"/>
      <c r="C28" s="447"/>
      <c r="D28" s="447"/>
      <c r="E28" s="447"/>
      <c r="F28" s="447"/>
      <c r="G28" s="447"/>
      <c r="H28" s="447"/>
      <c r="I28" s="447"/>
      <c r="J28" s="447"/>
      <c r="K28" s="447"/>
      <c r="L28" s="3"/>
      <c r="M28" s="243"/>
      <c r="N28" s="244"/>
      <c r="O28" s="245"/>
      <c r="P28" s="3"/>
      <c r="Q28" s="3"/>
      <c r="R28" s="3"/>
      <c r="S28" s="3"/>
      <c r="T28" s="3"/>
      <c r="U28" s="3"/>
      <c r="V28" s="3"/>
      <c r="W28" s="3"/>
      <c r="X28" s="3"/>
      <c r="Y28" s="3"/>
      <c r="Z28" s="3"/>
    </row>
    <row r="29" spans="1:26" ht="15.75" customHeight="1" x14ac:dyDescent="0.2">
      <c r="A29" s="3"/>
      <c r="B29" s="392" t="s">
        <v>480</v>
      </c>
      <c r="C29" s="2"/>
      <c r="D29" s="2"/>
      <c r="E29" s="2"/>
      <c r="F29" s="2"/>
      <c r="G29" s="2"/>
      <c r="H29" s="2"/>
      <c r="I29" s="2"/>
      <c r="J29" s="2"/>
      <c r="K29" s="2"/>
      <c r="L29" s="16" t="s">
        <v>50</v>
      </c>
      <c r="M29" s="243"/>
      <c r="N29" s="244"/>
      <c r="O29" s="245"/>
      <c r="P29" s="3"/>
      <c r="Q29" s="3"/>
      <c r="R29" s="3"/>
      <c r="S29" s="3"/>
      <c r="T29" s="3"/>
      <c r="U29" s="3"/>
      <c r="V29" s="3"/>
      <c r="W29" s="3"/>
      <c r="X29" s="3"/>
      <c r="Y29" s="3"/>
      <c r="Z29" s="3"/>
    </row>
    <row r="30" spans="1:26" ht="15.75" customHeight="1" x14ac:dyDescent="0.2">
      <c r="A30" s="3"/>
      <c r="B30" s="2"/>
      <c r="C30" s="393" t="s">
        <v>60</v>
      </c>
      <c r="D30" s="2"/>
      <c r="E30" s="2"/>
      <c r="F30" s="456">
        <v>0.4</v>
      </c>
      <c r="G30" s="393" t="s">
        <v>61</v>
      </c>
      <c r="H30" s="2"/>
      <c r="I30" s="496">
        <f>0.8*I31</f>
        <v>0.55999999999999994</v>
      </c>
      <c r="J30" s="460" t="s">
        <v>61</v>
      </c>
      <c r="K30" s="460" t="s">
        <v>868</v>
      </c>
      <c r="L30" s="85" t="s">
        <v>50</v>
      </c>
      <c r="M30" s="243"/>
      <c r="N30" s="244"/>
      <c r="O30" s="245"/>
      <c r="P30" s="3"/>
      <c r="Q30" s="3"/>
      <c r="R30" s="3"/>
      <c r="S30" s="3"/>
      <c r="T30" s="3"/>
      <c r="U30" s="3"/>
      <c r="V30" s="3"/>
      <c r="W30" s="3"/>
      <c r="X30" s="3"/>
      <c r="Y30" s="3"/>
      <c r="Z30" s="3"/>
    </row>
    <row r="31" spans="1:26" ht="15.75" customHeight="1" x14ac:dyDescent="0.2">
      <c r="A31" s="3"/>
      <c r="B31" s="2"/>
      <c r="C31" s="393" t="s">
        <v>63</v>
      </c>
      <c r="D31" s="2"/>
      <c r="E31" s="2"/>
      <c r="F31" s="393"/>
      <c r="G31" s="393"/>
      <c r="H31" s="2"/>
      <c r="I31" s="470">
        <v>0.7</v>
      </c>
      <c r="J31" s="460" t="s">
        <v>61</v>
      </c>
      <c r="K31" s="460" t="s">
        <v>1055</v>
      </c>
      <c r="L31" s="85" t="s">
        <v>50</v>
      </c>
      <c r="M31" s="243"/>
      <c r="N31" s="244"/>
      <c r="O31" s="245"/>
      <c r="P31" s="3"/>
      <c r="Q31" s="3"/>
      <c r="R31" s="3"/>
      <c r="S31" s="3"/>
      <c r="T31" s="3"/>
      <c r="U31" s="3"/>
      <c r="V31" s="3"/>
      <c r="W31" s="3"/>
      <c r="X31" s="3"/>
      <c r="Y31" s="3"/>
      <c r="Z31" s="3"/>
    </row>
    <row r="32" spans="1:26" ht="15.75" customHeight="1" x14ac:dyDescent="0.2">
      <c r="A32" s="3"/>
      <c r="B32" s="2"/>
      <c r="C32" s="393" t="s">
        <v>497</v>
      </c>
      <c r="D32" s="2"/>
      <c r="E32" s="2"/>
      <c r="F32" s="450">
        <v>0</v>
      </c>
      <c r="G32" s="393" t="s">
        <v>69</v>
      </c>
      <c r="H32" s="2"/>
      <c r="I32" s="465"/>
      <c r="J32" s="393"/>
      <c r="K32" s="393" t="s">
        <v>498</v>
      </c>
      <c r="L32" s="16" t="s">
        <v>50</v>
      </c>
      <c r="M32" s="243"/>
      <c r="N32" s="244"/>
      <c r="O32" s="245"/>
      <c r="P32" s="3"/>
      <c r="Q32" s="3"/>
      <c r="R32" s="3"/>
      <c r="S32" s="3"/>
      <c r="T32" s="3"/>
      <c r="U32" s="3"/>
      <c r="V32" s="3"/>
      <c r="W32" s="3"/>
      <c r="X32" s="3"/>
      <c r="Y32" s="3"/>
      <c r="Z32" s="3"/>
    </row>
    <row r="33" spans="1:26" ht="15.75" customHeight="1" x14ac:dyDescent="0.2">
      <c r="A33" s="3"/>
      <c r="B33" s="2"/>
      <c r="C33" s="393" t="s">
        <v>481</v>
      </c>
      <c r="D33" s="2"/>
      <c r="E33" s="2"/>
      <c r="F33" s="466"/>
      <c r="G33" s="393"/>
      <c r="H33" s="2"/>
      <c r="I33" s="450">
        <v>0.05</v>
      </c>
      <c r="J33" s="393" t="s">
        <v>69</v>
      </c>
      <c r="K33" s="393" t="s">
        <v>869</v>
      </c>
      <c r="L33" s="16" t="s">
        <v>50</v>
      </c>
      <c r="M33" s="243"/>
      <c r="N33" s="244"/>
      <c r="O33" s="245"/>
      <c r="P33" s="3"/>
      <c r="Q33" s="3"/>
      <c r="R33" s="3"/>
      <c r="S33" s="3"/>
      <c r="T33" s="3"/>
      <c r="U33" s="3"/>
      <c r="V33" s="3"/>
      <c r="W33" s="3"/>
      <c r="X33" s="3"/>
      <c r="Y33" s="3"/>
      <c r="Z33" s="3"/>
    </row>
    <row r="34" spans="1:26" ht="15.75" customHeight="1" x14ac:dyDescent="0.2">
      <c r="A34" s="3"/>
      <c r="B34" s="2"/>
      <c r="C34" s="393" t="s">
        <v>73</v>
      </c>
      <c r="D34" s="2"/>
      <c r="E34" s="2"/>
      <c r="F34" s="467">
        <v>0.5</v>
      </c>
      <c r="G34" s="460" t="s">
        <v>69</v>
      </c>
      <c r="H34" s="53"/>
      <c r="I34" s="467">
        <v>0.2</v>
      </c>
      <c r="J34" s="460" t="s">
        <v>69</v>
      </c>
      <c r="K34" s="460" t="s">
        <v>1056</v>
      </c>
      <c r="L34" s="85" t="s">
        <v>50</v>
      </c>
      <c r="M34" s="243"/>
      <c r="N34" s="244"/>
      <c r="O34" s="245"/>
      <c r="P34" s="3"/>
      <c r="Q34" s="3"/>
      <c r="R34" s="3"/>
      <c r="S34" s="3"/>
      <c r="T34" s="3"/>
      <c r="U34" s="3"/>
      <c r="V34" s="3"/>
      <c r="W34" s="3"/>
      <c r="X34" s="3"/>
      <c r="Y34" s="3"/>
      <c r="Z34" s="3"/>
    </row>
    <row r="35" spans="1:26" ht="15.75" customHeight="1" x14ac:dyDescent="0.2">
      <c r="A35" s="3"/>
      <c r="B35" s="2"/>
      <c r="C35" s="561" t="s">
        <v>852</v>
      </c>
      <c r="D35" s="2"/>
      <c r="E35" s="2"/>
      <c r="F35" s="564">
        <v>0</v>
      </c>
      <c r="G35" s="460" t="s">
        <v>487</v>
      </c>
      <c r="H35" s="53"/>
      <c r="I35" s="565">
        <v>3</v>
      </c>
      <c r="J35" s="460" t="s">
        <v>487</v>
      </c>
      <c r="K35" s="460" t="s">
        <v>12</v>
      </c>
      <c r="L35" s="110"/>
      <c r="M35" s="243"/>
      <c r="N35" s="244"/>
      <c r="O35" s="245"/>
      <c r="P35" s="3"/>
      <c r="Q35" s="3"/>
      <c r="R35" s="3"/>
      <c r="S35" s="3"/>
      <c r="T35" s="3"/>
      <c r="U35" s="3"/>
      <c r="V35" s="3"/>
      <c r="W35" s="3"/>
      <c r="X35" s="3"/>
      <c r="Y35" s="3"/>
      <c r="Z35" s="3"/>
    </row>
    <row r="36" spans="1:26" ht="15.75" customHeight="1" x14ac:dyDescent="0.2">
      <c r="A36" s="3"/>
      <c r="B36" s="2"/>
      <c r="C36" s="561" t="s">
        <v>850</v>
      </c>
      <c r="D36" s="2"/>
      <c r="E36" s="2"/>
      <c r="F36" s="467">
        <v>0</v>
      </c>
      <c r="G36" s="460" t="s">
        <v>851</v>
      </c>
      <c r="H36" s="53"/>
      <c r="I36" s="468">
        <f>(F34-I34)/I35</f>
        <v>9.9999999999999992E-2</v>
      </c>
      <c r="J36" s="460" t="s">
        <v>851</v>
      </c>
      <c r="K36" s="460"/>
      <c r="L36" s="110"/>
      <c r="M36" s="243"/>
      <c r="N36" s="244"/>
      <c r="O36" s="245"/>
      <c r="P36" s="3"/>
      <c r="Q36" s="3"/>
      <c r="R36" s="3"/>
      <c r="S36" s="3"/>
      <c r="T36" s="3"/>
      <c r="U36" s="3"/>
      <c r="V36" s="3"/>
      <c r="W36" s="3"/>
      <c r="X36" s="3"/>
      <c r="Y36" s="3"/>
      <c r="Z36" s="3"/>
    </row>
    <row r="37" spans="1:26" ht="15.75" customHeight="1" x14ac:dyDescent="0.2">
      <c r="A37" s="3"/>
      <c r="B37" s="447"/>
      <c r="C37" s="453"/>
      <c r="D37" s="447"/>
      <c r="E37" s="447"/>
      <c r="F37" s="447"/>
      <c r="G37" s="447"/>
      <c r="H37" s="447"/>
      <c r="I37" s="447"/>
      <c r="J37" s="447"/>
      <c r="K37" s="447"/>
      <c r="L37" s="3"/>
      <c r="M37" s="243"/>
      <c r="N37" s="244"/>
      <c r="O37" s="245"/>
      <c r="P37" s="3"/>
      <c r="Q37" s="3"/>
      <c r="R37" s="3"/>
      <c r="S37" s="3"/>
      <c r="T37" s="3"/>
      <c r="U37" s="3"/>
      <c r="V37" s="3"/>
      <c r="W37" s="3"/>
      <c r="X37" s="3"/>
      <c r="Y37" s="3"/>
      <c r="Z37" s="3"/>
    </row>
    <row r="38" spans="1:26" ht="15.75" customHeight="1" x14ac:dyDescent="0.2">
      <c r="A38" s="3"/>
      <c r="B38" s="392" t="s">
        <v>76</v>
      </c>
      <c r="C38" s="393"/>
      <c r="D38" s="2"/>
      <c r="E38" s="2"/>
      <c r="F38" s="2"/>
      <c r="G38" s="2"/>
      <c r="H38" s="2"/>
      <c r="I38" s="2"/>
      <c r="J38" s="2"/>
      <c r="K38" s="2"/>
      <c r="L38" s="16" t="s">
        <v>50</v>
      </c>
      <c r="M38" s="243"/>
      <c r="N38" s="244"/>
      <c r="O38" s="245"/>
      <c r="P38" s="3"/>
      <c r="Q38" s="3"/>
      <c r="R38" s="3"/>
      <c r="S38" s="3"/>
      <c r="T38" s="3"/>
      <c r="U38" s="3"/>
      <c r="V38" s="3"/>
      <c r="W38" s="3"/>
      <c r="X38" s="3"/>
      <c r="Y38" s="3"/>
      <c r="Z38" s="3"/>
    </row>
    <row r="39" spans="1:26" ht="15.75" customHeight="1" x14ac:dyDescent="0.2">
      <c r="A39" s="3"/>
      <c r="B39" s="2"/>
      <c r="C39" s="393" t="s">
        <v>272</v>
      </c>
      <c r="D39" s="2"/>
      <c r="E39" s="2"/>
      <c r="F39" s="497">
        <v>1</v>
      </c>
      <c r="G39" s="393" t="s">
        <v>77</v>
      </c>
      <c r="H39" s="2"/>
      <c r="I39" s="498">
        <f t="shared" ref="I39:I44" si="0">F39</f>
        <v>1</v>
      </c>
      <c r="J39" s="393" t="s">
        <v>77</v>
      </c>
      <c r="K39" s="460" t="s">
        <v>1057</v>
      </c>
      <c r="L39" s="16" t="s">
        <v>50</v>
      </c>
      <c r="M39" s="243"/>
      <c r="N39" s="244"/>
      <c r="O39" s="245"/>
      <c r="P39" s="3"/>
      <c r="Q39" s="3"/>
      <c r="R39" s="3"/>
      <c r="S39" s="3"/>
      <c r="T39" s="3"/>
      <c r="U39" s="3"/>
      <c r="V39" s="3"/>
      <c r="W39" s="3"/>
      <c r="X39" s="3"/>
      <c r="Y39" s="3"/>
      <c r="Z39" s="3"/>
    </row>
    <row r="40" spans="1:26" ht="15.75" customHeight="1" x14ac:dyDescent="0.2">
      <c r="A40" s="3"/>
      <c r="B40" s="2"/>
      <c r="C40" s="460" t="s">
        <v>273</v>
      </c>
      <c r="D40" s="2"/>
      <c r="E40" s="2"/>
      <c r="F40" s="497">
        <v>3.1</v>
      </c>
      <c r="G40" s="393" t="s">
        <v>77</v>
      </c>
      <c r="H40" s="2"/>
      <c r="I40" s="498">
        <f t="shared" si="0"/>
        <v>3.1</v>
      </c>
      <c r="J40" s="393" t="s">
        <v>77</v>
      </c>
      <c r="K40" s="460" t="s">
        <v>281</v>
      </c>
      <c r="L40" s="16" t="s">
        <v>50</v>
      </c>
      <c r="M40" s="243"/>
      <c r="N40" s="244"/>
      <c r="O40" s="245"/>
      <c r="P40" s="3"/>
      <c r="Q40" s="3"/>
      <c r="R40" s="3"/>
      <c r="S40" s="3"/>
      <c r="T40" s="3"/>
      <c r="U40" s="3"/>
      <c r="V40" s="3"/>
      <c r="W40" s="3"/>
      <c r="X40" s="3"/>
      <c r="Y40" s="3"/>
      <c r="Z40" s="3"/>
    </row>
    <row r="41" spans="1:26" ht="12.75" x14ac:dyDescent="0.2">
      <c r="A41" s="3"/>
      <c r="B41" s="2"/>
      <c r="C41" s="460" t="s">
        <v>323</v>
      </c>
      <c r="D41" s="2"/>
      <c r="E41" s="2"/>
      <c r="F41" s="497">
        <v>2.8</v>
      </c>
      <c r="G41" s="393" t="s">
        <v>77</v>
      </c>
      <c r="H41" s="2"/>
      <c r="I41" s="498">
        <f t="shared" si="0"/>
        <v>2.8</v>
      </c>
      <c r="J41" s="393" t="s">
        <v>77</v>
      </c>
      <c r="K41" s="460" t="s">
        <v>281</v>
      </c>
      <c r="L41" s="16" t="s">
        <v>50</v>
      </c>
      <c r="M41" s="243"/>
      <c r="N41" s="244"/>
      <c r="O41" s="245"/>
      <c r="P41" s="3"/>
      <c r="Q41" s="3"/>
      <c r="R41" s="3"/>
      <c r="S41" s="3"/>
      <c r="T41" s="3"/>
      <c r="U41" s="3"/>
      <c r="V41" s="3"/>
      <c r="W41" s="3"/>
      <c r="X41" s="3"/>
      <c r="Y41" s="3"/>
      <c r="Z41" s="3"/>
    </row>
    <row r="42" spans="1:26" ht="12.75" x14ac:dyDescent="0.2">
      <c r="A42" s="3"/>
      <c r="B42" s="2"/>
      <c r="C42" s="460" t="s">
        <v>492</v>
      </c>
      <c r="D42" s="2"/>
      <c r="E42" s="2"/>
      <c r="F42" s="499">
        <v>4.2</v>
      </c>
      <c r="G42" s="393" t="s">
        <v>77</v>
      </c>
      <c r="H42" s="2"/>
      <c r="I42" s="560">
        <v>6</v>
      </c>
      <c r="J42" s="393" t="s">
        <v>77</v>
      </c>
      <c r="K42" s="460" t="s">
        <v>870</v>
      </c>
      <c r="L42" s="16" t="s">
        <v>50</v>
      </c>
      <c r="M42" s="243"/>
      <c r="N42" s="244"/>
      <c r="O42" s="245"/>
      <c r="P42" s="3"/>
      <c r="Q42" s="3"/>
      <c r="R42" s="3"/>
      <c r="S42" s="3"/>
      <c r="T42" s="3"/>
      <c r="U42" s="3"/>
      <c r="V42" s="3"/>
      <c r="W42" s="3"/>
      <c r="X42" s="3"/>
      <c r="Y42" s="3"/>
      <c r="Z42" s="3"/>
    </row>
    <row r="43" spans="1:26" ht="12.75" x14ac:dyDescent="0.2">
      <c r="A43" s="3"/>
      <c r="B43" s="2"/>
      <c r="C43" s="460" t="s">
        <v>290</v>
      </c>
      <c r="D43" s="2"/>
      <c r="E43" s="2"/>
      <c r="F43" s="499">
        <v>9.6999999999999993</v>
      </c>
      <c r="G43" s="393" t="s">
        <v>77</v>
      </c>
      <c r="H43" s="2"/>
      <c r="I43" s="498">
        <f t="shared" si="0"/>
        <v>9.6999999999999993</v>
      </c>
      <c r="J43" s="460" t="s">
        <v>77</v>
      </c>
      <c r="K43" s="460" t="s">
        <v>281</v>
      </c>
      <c r="L43" s="85"/>
      <c r="M43" s="243"/>
      <c r="N43" s="244"/>
      <c r="O43" s="245"/>
      <c r="P43" s="3"/>
      <c r="Q43" s="3"/>
      <c r="R43" s="3"/>
      <c r="S43" s="3"/>
      <c r="T43" s="3"/>
      <c r="U43" s="3"/>
      <c r="V43" s="3"/>
      <c r="W43" s="3"/>
      <c r="X43" s="3"/>
      <c r="Y43" s="3"/>
      <c r="Z43" s="3"/>
    </row>
    <row r="44" spans="1:26" ht="12.75" x14ac:dyDescent="0.2">
      <c r="A44" s="3"/>
      <c r="B44" s="2"/>
      <c r="C44" s="460" t="s">
        <v>277</v>
      </c>
      <c r="D44" s="2"/>
      <c r="E44" s="2"/>
      <c r="F44" s="497">
        <v>11.8</v>
      </c>
      <c r="G44" s="393" t="s">
        <v>77</v>
      </c>
      <c r="H44" s="2"/>
      <c r="I44" s="498">
        <f t="shared" si="0"/>
        <v>11.8</v>
      </c>
      <c r="J44" s="460" t="s">
        <v>77</v>
      </c>
      <c r="K44" s="460"/>
      <c r="L44" s="85"/>
      <c r="M44" s="243"/>
      <c r="N44" s="244"/>
      <c r="O44" s="245"/>
      <c r="P44" s="3"/>
      <c r="Q44" s="3"/>
      <c r="R44" s="3"/>
      <c r="S44" s="3"/>
      <c r="T44" s="3"/>
      <c r="U44" s="3"/>
      <c r="V44" s="3"/>
      <c r="W44" s="3"/>
      <c r="X44" s="3"/>
      <c r="Y44" s="3"/>
      <c r="Z44" s="3"/>
    </row>
    <row r="45" spans="1:26" ht="12.75" x14ac:dyDescent="0.2">
      <c r="A45" s="3"/>
      <c r="B45" s="2"/>
      <c r="C45" s="460" t="s">
        <v>276</v>
      </c>
      <c r="D45" s="2"/>
      <c r="E45" s="2"/>
      <c r="F45" s="459">
        <v>0</v>
      </c>
      <c r="G45" s="393" t="s">
        <v>86</v>
      </c>
      <c r="H45" s="2"/>
      <c r="I45" s="459">
        <v>20</v>
      </c>
      <c r="J45" s="393" t="s">
        <v>86</v>
      </c>
      <c r="K45" s="393"/>
      <c r="L45" s="16" t="s">
        <v>50</v>
      </c>
      <c r="M45" s="243"/>
      <c r="N45" s="244"/>
      <c r="O45" s="245"/>
      <c r="P45" s="3"/>
      <c r="Q45" s="3"/>
      <c r="R45" s="3"/>
      <c r="S45" s="3"/>
      <c r="T45" s="3"/>
      <c r="U45" s="3"/>
      <c r="V45" s="3"/>
      <c r="W45" s="3"/>
      <c r="X45" s="3"/>
      <c r="Y45" s="3"/>
      <c r="Z45" s="3"/>
    </row>
    <row r="46" spans="1:26" ht="12.75" x14ac:dyDescent="0.2">
      <c r="A46" s="3"/>
      <c r="B46" s="2"/>
      <c r="C46" s="391" t="s">
        <v>757</v>
      </c>
      <c r="D46" s="2"/>
      <c r="E46" s="2"/>
      <c r="F46" s="393"/>
      <c r="G46" s="393"/>
      <c r="H46" s="2"/>
      <c r="I46" s="459">
        <v>4</v>
      </c>
      <c r="J46" s="393" t="s">
        <v>487</v>
      </c>
      <c r="K46" s="393"/>
      <c r="L46" s="16"/>
      <c r="M46" s="243"/>
      <c r="N46" s="244"/>
      <c r="O46" s="245"/>
      <c r="P46" s="3"/>
      <c r="Q46" s="3"/>
      <c r="R46" s="3"/>
      <c r="S46" s="3"/>
      <c r="T46" s="3"/>
      <c r="U46" s="3"/>
      <c r="V46" s="3"/>
      <c r="W46" s="3"/>
      <c r="X46" s="3"/>
      <c r="Y46" s="3"/>
      <c r="Z46" s="3"/>
    </row>
    <row r="47" spans="1:26" ht="12.75" x14ac:dyDescent="0.2">
      <c r="A47" s="3"/>
      <c r="B47" s="2"/>
      <c r="C47" s="460" t="s">
        <v>206</v>
      </c>
      <c r="D47" s="2"/>
      <c r="E47" s="2"/>
      <c r="F47" s="484">
        <v>1060</v>
      </c>
      <c r="G47" s="393" t="s">
        <v>87</v>
      </c>
      <c r="H47" s="473"/>
      <c r="I47" s="474">
        <f t="shared" ref="I47:I52" si="1">F47</f>
        <v>1060</v>
      </c>
      <c r="J47" s="393" t="s">
        <v>87</v>
      </c>
      <c r="K47" s="393" t="s">
        <v>309</v>
      </c>
      <c r="L47" s="19"/>
      <c r="M47" s="243"/>
      <c r="N47" s="244"/>
      <c r="O47" s="245"/>
      <c r="P47" s="3"/>
      <c r="Q47" s="3"/>
      <c r="R47" s="3"/>
      <c r="S47" s="3"/>
      <c r="T47" s="3"/>
      <c r="U47" s="3"/>
      <c r="V47" s="3"/>
      <c r="W47" s="3"/>
      <c r="X47" s="3"/>
      <c r="Y47" s="3"/>
      <c r="Z47" s="3"/>
    </row>
    <row r="48" spans="1:26" ht="12.75" x14ac:dyDescent="0.2">
      <c r="A48" s="3"/>
      <c r="B48" s="2"/>
      <c r="C48" s="460" t="s">
        <v>205</v>
      </c>
      <c r="D48" s="2"/>
      <c r="E48" s="2"/>
      <c r="F48" s="484">
        <v>714</v>
      </c>
      <c r="G48" s="393" t="s">
        <v>87</v>
      </c>
      <c r="H48" s="2"/>
      <c r="I48" s="474">
        <f t="shared" si="1"/>
        <v>714</v>
      </c>
      <c r="J48" s="393" t="s">
        <v>87</v>
      </c>
      <c r="K48" s="393" t="s">
        <v>309</v>
      </c>
      <c r="L48" s="16" t="s">
        <v>50</v>
      </c>
      <c r="M48" s="243"/>
      <c r="N48" s="244"/>
      <c r="O48" s="245"/>
      <c r="P48" s="3"/>
      <c r="Q48" s="3"/>
      <c r="R48" s="3"/>
      <c r="S48" s="3"/>
      <c r="T48" s="3"/>
      <c r="U48" s="3"/>
      <c r="V48" s="3"/>
      <c r="W48" s="3"/>
      <c r="X48" s="3"/>
      <c r="Y48" s="3"/>
      <c r="Z48" s="3"/>
    </row>
    <row r="49" spans="1:26" ht="12.75" x14ac:dyDescent="0.2">
      <c r="A49" s="3"/>
      <c r="B49" s="2"/>
      <c r="C49" s="460" t="s">
        <v>493</v>
      </c>
      <c r="D49" s="2"/>
      <c r="E49" s="2"/>
      <c r="F49" s="484">
        <v>1347</v>
      </c>
      <c r="G49" s="460" t="s">
        <v>87</v>
      </c>
      <c r="H49" s="53"/>
      <c r="I49" s="476">
        <f t="shared" si="1"/>
        <v>1347</v>
      </c>
      <c r="J49" s="460" t="s">
        <v>87</v>
      </c>
      <c r="K49" s="393" t="s">
        <v>309</v>
      </c>
      <c r="L49" s="85"/>
      <c r="M49" s="243"/>
      <c r="N49" s="244"/>
      <c r="O49" s="245"/>
      <c r="P49" s="3"/>
      <c r="Q49" s="3"/>
      <c r="R49" s="3"/>
      <c r="S49" s="3"/>
      <c r="T49" s="3"/>
      <c r="U49" s="3"/>
      <c r="V49" s="3"/>
      <c r="W49" s="3"/>
      <c r="X49" s="3"/>
      <c r="Y49" s="3"/>
      <c r="Z49" s="3"/>
    </row>
    <row r="50" spans="1:26" ht="12.75" x14ac:dyDescent="0.2">
      <c r="A50" s="3"/>
      <c r="B50" s="2"/>
      <c r="C50" s="460" t="s">
        <v>494</v>
      </c>
      <c r="D50" s="2"/>
      <c r="E50" s="2"/>
      <c r="F50" s="484">
        <v>1352</v>
      </c>
      <c r="G50" s="393" t="s">
        <v>87</v>
      </c>
      <c r="H50" s="2"/>
      <c r="I50" s="474">
        <f t="shared" si="1"/>
        <v>1352</v>
      </c>
      <c r="J50" s="393" t="s">
        <v>87</v>
      </c>
      <c r="K50" s="393" t="s">
        <v>309</v>
      </c>
      <c r="L50" s="16"/>
      <c r="M50" s="243"/>
      <c r="N50" s="244"/>
      <c r="O50" s="245"/>
      <c r="P50" s="3"/>
      <c r="Q50" s="3"/>
      <c r="R50" s="3"/>
      <c r="S50" s="3"/>
      <c r="T50" s="3"/>
      <c r="U50" s="3"/>
      <c r="V50" s="3"/>
      <c r="W50" s="3"/>
      <c r="X50" s="3"/>
      <c r="Y50" s="3"/>
      <c r="Z50" s="3"/>
    </row>
    <row r="51" spans="1:26" ht="12.75" x14ac:dyDescent="0.2">
      <c r="A51" s="3"/>
      <c r="B51" s="2"/>
      <c r="C51" s="460" t="s">
        <v>291</v>
      </c>
      <c r="D51" s="2"/>
      <c r="E51" s="2"/>
      <c r="F51" s="484">
        <v>2259</v>
      </c>
      <c r="G51" s="393" t="s">
        <v>87</v>
      </c>
      <c r="H51" s="2"/>
      <c r="I51" s="474">
        <f t="shared" si="1"/>
        <v>2259</v>
      </c>
      <c r="J51" s="393" t="s">
        <v>87</v>
      </c>
      <c r="K51" s="393" t="s">
        <v>309</v>
      </c>
      <c r="L51" s="16"/>
      <c r="M51" s="243"/>
      <c r="N51" s="244"/>
      <c r="O51" s="245"/>
      <c r="P51" s="3"/>
      <c r="Q51" s="3"/>
      <c r="R51" s="3"/>
      <c r="S51" s="3"/>
      <c r="T51" s="3"/>
      <c r="U51" s="3"/>
      <c r="V51" s="3"/>
      <c r="W51" s="3"/>
      <c r="X51" s="3"/>
      <c r="Y51" s="3"/>
      <c r="Z51" s="3"/>
    </row>
    <row r="52" spans="1:26" ht="12.75" x14ac:dyDescent="0.2">
      <c r="A52" s="3"/>
      <c r="B52" s="2"/>
      <c r="C52" s="460" t="s">
        <v>271</v>
      </c>
      <c r="D52" s="2"/>
      <c r="E52" s="2"/>
      <c r="F52" s="500">
        <v>683</v>
      </c>
      <c r="G52" s="460" t="s">
        <v>87</v>
      </c>
      <c r="H52" s="53"/>
      <c r="I52" s="476">
        <f t="shared" si="1"/>
        <v>683</v>
      </c>
      <c r="J52" s="460" t="s">
        <v>87</v>
      </c>
      <c r="K52" s="393" t="s">
        <v>309</v>
      </c>
      <c r="L52" s="85"/>
      <c r="M52" s="243"/>
      <c r="N52" s="244"/>
      <c r="O52" s="245"/>
      <c r="P52" s="3"/>
      <c r="Q52" s="3"/>
      <c r="R52" s="3"/>
      <c r="S52" s="3"/>
      <c r="T52" s="3"/>
      <c r="U52" s="3"/>
      <c r="V52" s="3"/>
      <c r="W52" s="3"/>
      <c r="X52" s="3"/>
      <c r="Y52" s="3"/>
      <c r="Z52" s="3"/>
    </row>
    <row r="53" spans="1:26" ht="12.75" x14ac:dyDescent="0.2">
      <c r="A53" s="3"/>
      <c r="B53" s="2"/>
      <c r="C53" s="460" t="s">
        <v>89</v>
      </c>
      <c r="D53" s="2"/>
      <c r="E53" s="2"/>
      <c r="F53" s="478">
        <v>0</v>
      </c>
      <c r="G53" s="475" t="s">
        <v>69</v>
      </c>
      <c r="H53" s="473"/>
      <c r="I53" s="475"/>
      <c r="J53" s="475"/>
      <c r="K53" s="473"/>
      <c r="L53" s="19"/>
      <c r="M53" s="243"/>
      <c r="N53" s="244"/>
      <c r="O53" s="245"/>
      <c r="P53" s="3"/>
      <c r="Q53" s="3"/>
      <c r="R53" s="3"/>
      <c r="S53" s="3"/>
      <c r="T53" s="3"/>
      <c r="U53" s="3"/>
      <c r="V53" s="3"/>
      <c r="W53" s="3"/>
      <c r="X53" s="3"/>
      <c r="Y53" s="3"/>
      <c r="Z53" s="3"/>
    </row>
    <row r="54" spans="1:26" ht="12.75" x14ac:dyDescent="0.2">
      <c r="A54" s="3"/>
      <c r="B54" s="447"/>
      <c r="C54" s="447"/>
      <c r="D54" s="447"/>
      <c r="E54" s="447"/>
      <c r="F54" s="447"/>
      <c r="G54" s="447"/>
      <c r="H54" s="447"/>
      <c r="I54" s="447"/>
      <c r="J54" s="447"/>
      <c r="K54" s="447"/>
      <c r="L54" s="3"/>
      <c r="M54" s="243"/>
      <c r="N54" s="244"/>
      <c r="O54" s="245"/>
      <c r="P54" s="3"/>
      <c r="Q54" s="3"/>
      <c r="R54" s="3"/>
      <c r="S54" s="3"/>
      <c r="T54" s="3"/>
      <c r="U54" s="3"/>
      <c r="V54" s="3"/>
      <c r="W54" s="3"/>
      <c r="X54" s="3"/>
      <c r="Y54" s="3"/>
      <c r="Z54" s="3"/>
    </row>
    <row r="55" spans="1:26" ht="12.75" x14ac:dyDescent="0.2">
      <c r="A55" s="3"/>
      <c r="B55" s="479" t="s">
        <v>215</v>
      </c>
      <c r="C55" s="480"/>
      <c r="D55" s="480"/>
      <c r="E55" s="480"/>
      <c r="F55" s="480"/>
      <c r="G55" s="480"/>
      <c r="H55" s="480"/>
      <c r="I55" s="480"/>
      <c r="J55" s="480"/>
      <c r="K55" s="480"/>
      <c r="L55" s="43"/>
      <c r="M55" s="243"/>
      <c r="N55" s="244"/>
      <c r="O55" s="245"/>
      <c r="P55" s="3"/>
      <c r="Q55" s="3"/>
      <c r="R55" s="3"/>
      <c r="S55" s="3"/>
      <c r="T55" s="3"/>
      <c r="U55" s="3"/>
      <c r="V55" s="3"/>
      <c r="W55" s="3"/>
      <c r="X55" s="3"/>
      <c r="Y55" s="3"/>
      <c r="Z55" s="3"/>
    </row>
    <row r="56" spans="1:26" ht="12.75" x14ac:dyDescent="0.2">
      <c r="A56" s="3"/>
      <c r="B56" s="2"/>
      <c r="C56" s="393" t="s">
        <v>608</v>
      </c>
      <c r="D56" s="2"/>
      <c r="E56" s="2"/>
      <c r="F56" s="484">
        <v>7265</v>
      </c>
      <c r="G56" s="460" t="s">
        <v>111</v>
      </c>
      <c r="H56" s="53"/>
      <c r="I56" s="482">
        <f>F56</f>
        <v>7265</v>
      </c>
      <c r="J56" s="460" t="s">
        <v>111</v>
      </c>
      <c r="K56" s="53" t="s">
        <v>609</v>
      </c>
      <c r="L56" s="85" t="s">
        <v>50</v>
      </c>
      <c r="M56" s="243"/>
      <c r="N56" s="244"/>
      <c r="O56" s="245"/>
      <c r="P56" s="3"/>
      <c r="Q56" s="3"/>
      <c r="R56" s="3"/>
      <c r="S56" s="3"/>
      <c r="T56" s="3"/>
      <c r="U56" s="3"/>
      <c r="V56" s="3"/>
      <c r="W56" s="3"/>
      <c r="X56" s="3"/>
      <c r="Y56" s="3"/>
      <c r="Z56" s="3"/>
    </row>
    <row r="57" spans="1:26" ht="12.75" x14ac:dyDescent="0.2">
      <c r="A57" s="3"/>
      <c r="B57" s="2"/>
      <c r="C57" s="460" t="s">
        <v>286</v>
      </c>
      <c r="D57" s="571"/>
      <c r="E57" s="571"/>
      <c r="F57" s="572">
        <v>0.5</v>
      </c>
      <c r="G57" s="333" t="s">
        <v>759</v>
      </c>
      <c r="H57" s="333" t="s">
        <v>760</v>
      </c>
      <c r="I57" s="483"/>
      <c r="J57" s="460"/>
      <c r="K57" s="53"/>
      <c r="L57" s="85"/>
      <c r="M57" s="243"/>
      <c r="N57" s="244"/>
      <c r="O57" s="245"/>
      <c r="P57" s="3"/>
      <c r="Q57" s="3"/>
      <c r="R57" s="3"/>
      <c r="S57" s="3"/>
      <c r="T57" s="3"/>
      <c r="U57" s="3"/>
      <c r="V57" s="3"/>
      <c r="W57" s="3"/>
      <c r="X57" s="3"/>
      <c r="Y57" s="3"/>
      <c r="Z57" s="3"/>
    </row>
    <row r="58" spans="1:26" ht="12.75" x14ac:dyDescent="0.2">
      <c r="A58" s="3"/>
      <c r="B58" s="2"/>
      <c r="C58" s="393" t="s">
        <v>283</v>
      </c>
      <c r="D58" s="2"/>
      <c r="E58" s="2"/>
      <c r="F58" s="484">
        <v>4622.5384615384619</v>
      </c>
      <c r="G58" s="390" t="s">
        <v>758</v>
      </c>
      <c r="H58" s="405" t="s">
        <v>357</v>
      </c>
      <c r="I58" s="483"/>
      <c r="J58" s="460"/>
      <c r="K58" s="53"/>
      <c r="L58" s="85"/>
      <c r="M58" s="243"/>
      <c r="N58" s="244"/>
      <c r="O58" s="245"/>
      <c r="P58" s="3"/>
      <c r="Q58" s="3"/>
      <c r="R58" s="3"/>
      <c r="S58" s="3"/>
      <c r="T58" s="3"/>
      <c r="U58" s="3"/>
      <c r="V58" s="3"/>
      <c r="W58" s="3"/>
      <c r="X58" s="3"/>
      <c r="Y58" s="3"/>
      <c r="Z58" s="3"/>
    </row>
    <row r="59" spans="1:26" ht="12.75" x14ac:dyDescent="0.2">
      <c r="A59" s="3"/>
      <c r="B59" s="2"/>
      <c r="C59" s="393" t="s">
        <v>615</v>
      </c>
      <c r="D59" s="2"/>
      <c r="E59" s="2"/>
      <c r="F59" s="116"/>
      <c r="G59" s="460"/>
      <c r="H59" s="53"/>
      <c r="I59" s="481">
        <v>4</v>
      </c>
      <c r="J59" s="460" t="s">
        <v>616</v>
      </c>
      <c r="K59" s="53" t="s">
        <v>1074</v>
      </c>
      <c r="L59" s="85"/>
      <c r="M59" s="243"/>
      <c r="N59" s="244"/>
      <c r="O59" s="245"/>
      <c r="P59" s="3"/>
      <c r="Q59" s="3"/>
      <c r="R59" s="3"/>
      <c r="S59" s="3"/>
      <c r="T59" s="3"/>
      <c r="U59" s="3"/>
      <c r="V59" s="3"/>
      <c r="W59" s="3"/>
      <c r="X59" s="3"/>
      <c r="Y59" s="3"/>
      <c r="Z59" s="3"/>
    </row>
    <row r="60" spans="1:26" ht="12.75" x14ac:dyDescent="0.2">
      <c r="A60" s="3"/>
      <c r="B60" s="2"/>
      <c r="C60" s="393" t="s">
        <v>614</v>
      </c>
      <c r="D60" s="2"/>
      <c r="E60" s="2"/>
      <c r="F60" s="116"/>
      <c r="G60" s="460"/>
      <c r="H60" s="53"/>
      <c r="I60" s="481">
        <v>14000</v>
      </c>
      <c r="J60" s="460" t="s">
        <v>617</v>
      </c>
      <c r="K60" s="53" t="s">
        <v>1057</v>
      </c>
      <c r="L60" s="85"/>
      <c r="M60" s="243"/>
      <c r="N60" s="244"/>
      <c r="O60" s="245"/>
      <c r="P60" s="3"/>
      <c r="Q60" s="3"/>
      <c r="R60" s="3"/>
      <c r="S60" s="3"/>
      <c r="T60" s="3"/>
      <c r="U60" s="3"/>
      <c r="V60" s="3"/>
      <c r="W60" s="3"/>
      <c r="X60" s="3"/>
      <c r="Y60" s="3"/>
      <c r="Z60" s="3"/>
    </row>
    <row r="61" spans="1:26" ht="12.75" x14ac:dyDescent="0.2">
      <c r="A61" s="3"/>
      <c r="B61" s="2"/>
      <c r="C61" s="393" t="s">
        <v>619</v>
      </c>
      <c r="D61" s="2"/>
      <c r="E61" s="2"/>
      <c r="F61" s="116"/>
      <c r="G61" s="460"/>
      <c r="H61" s="53"/>
      <c r="I61" s="481">
        <v>10</v>
      </c>
      <c r="J61" s="460" t="s">
        <v>487</v>
      </c>
      <c r="K61" s="53" t="s">
        <v>12</v>
      </c>
      <c r="L61" s="85"/>
      <c r="M61" s="243"/>
      <c r="N61" s="244"/>
      <c r="O61" s="245"/>
      <c r="P61" s="3"/>
      <c r="Q61" s="3"/>
      <c r="R61" s="3"/>
      <c r="S61" s="3"/>
      <c r="T61" s="3"/>
      <c r="U61" s="3"/>
      <c r="V61" s="3"/>
      <c r="W61" s="3"/>
      <c r="X61" s="3"/>
      <c r="Y61" s="3"/>
      <c r="Z61" s="3"/>
    </row>
    <row r="62" spans="1:26" ht="12.75" x14ac:dyDescent="0.2">
      <c r="A62" s="3"/>
      <c r="B62" s="447"/>
      <c r="C62" s="447"/>
      <c r="D62" s="447"/>
      <c r="E62" s="447"/>
      <c r="F62" s="447"/>
      <c r="G62" s="447"/>
      <c r="H62" s="447"/>
      <c r="I62" s="447"/>
      <c r="J62" s="447"/>
      <c r="K62" s="447"/>
      <c r="L62" s="3"/>
      <c r="M62" s="243"/>
      <c r="N62" s="244"/>
      <c r="O62" s="245"/>
      <c r="P62" s="3"/>
      <c r="Q62" s="3"/>
      <c r="R62" s="3"/>
      <c r="S62" s="3"/>
      <c r="T62" s="3"/>
      <c r="U62" s="3"/>
      <c r="V62" s="3"/>
      <c r="W62" s="3"/>
      <c r="X62" s="3"/>
      <c r="Y62" s="3"/>
      <c r="Z62" s="3"/>
    </row>
    <row r="63" spans="1:26" ht="12.75" x14ac:dyDescent="0.2">
      <c r="A63" s="3"/>
      <c r="B63" s="392" t="s">
        <v>91</v>
      </c>
      <c r="C63" s="2"/>
      <c r="D63" s="2"/>
      <c r="E63" s="2"/>
      <c r="F63" s="2"/>
      <c r="G63" s="2"/>
      <c r="H63" s="2"/>
      <c r="I63" s="2"/>
      <c r="J63" s="2"/>
      <c r="K63" s="2"/>
      <c r="L63" s="16" t="s">
        <v>50</v>
      </c>
      <c r="M63" s="243"/>
      <c r="N63" s="244"/>
      <c r="O63" s="245"/>
      <c r="P63" s="3"/>
      <c r="Q63" s="3"/>
      <c r="R63" s="3"/>
      <c r="S63" s="3"/>
      <c r="T63" s="3"/>
      <c r="U63" s="3"/>
      <c r="V63" s="3"/>
      <c r="W63" s="3"/>
      <c r="X63" s="3"/>
      <c r="Y63" s="3"/>
      <c r="Z63" s="3"/>
    </row>
    <row r="64" spans="1:26" ht="12.75" x14ac:dyDescent="0.2">
      <c r="A64" s="3"/>
      <c r="B64" s="2"/>
      <c r="C64" s="393" t="s">
        <v>871</v>
      </c>
      <c r="D64" s="2"/>
      <c r="E64" s="2"/>
      <c r="F64" s="456">
        <v>1111</v>
      </c>
      <c r="G64" s="393" t="s">
        <v>606</v>
      </c>
      <c r="H64" s="2"/>
      <c r="I64" s="486">
        <f>F64</f>
        <v>1111</v>
      </c>
      <c r="J64" s="393" t="s">
        <v>606</v>
      </c>
      <c r="K64" s="393" t="s">
        <v>485</v>
      </c>
      <c r="L64" s="16" t="s">
        <v>50</v>
      </c>
      <c r="M64" s="243"/>
      <c r="N64" s="244"/>
      <c r="O64" s="245"/>
      <c r="P64" s="3"/>
      <c r="Q64" s="3"/>
      <c r="R64" s="3"/>
      <c r="S64" s="3"/>
      <c r="T64" s="3"/>
      <c r="U64" s="3"/>
      <c r="V64" s="3"/>
      <c r="W64" s="3"/>
      <c r="X64" s="3"/>
      <c r="Y64" s="3"/>
      <c r="Z64" s="3"/>
    </row>
    <row r="65" spans="1:26" ht="12.75" x14ac:dyDescent="0.2">
      <c r="A65" s="3"/>
      <c r="B65" s="2"/>
      <c r="C65" s="393" t="s">
        <v>486</v>
      </c>
      <c r="D65" s="2"/>
      <c r="E65" s="2"/>
      <c r="F65" s="470">
        <v>30</v>
      </c>
      <c r="G65" s="393" t="s">
        <v>873</v>
      </c>
      <c r="H65" s="2"/>
      <c r="I65" s="456">
        <v>30</v>
      </c>
      <c r="J65" s="393" t="s">
        <v>873</v>
      </c>
      <c r="K65" s="393"/>
      <c r="L65" s="16"/>
      <c r="M65" s="243"/>
      <c r="N65" s="244"/>
      <c r="O65" s="245"/>
      <c r="P65" s="3"/>
      <c r="Q65" s="3"/>
      <c r="R65" s="3"/>
      <c r="S65" s="3"/>
      <c r="T65" s="3"/>
      <c r="U65" s="3"/>
      <c r="V65" s="3"/>
      <c r="W65" s="3"/>
      <c r="X65" s="3"/>
      <c r="Y65" s="3"/>
      <c r="Z65" s="3"/>
    </row>
    <row r="66" spans="1:26" ht="12.75" x14ac:dyDescent="0.2">
      <c r="A66" s="3"/>
      <c r="B66" s="2"/>
      <c r="C66" s="393" t="s">
        <v>495</v>
      </c>
      <c r="D66" s="2"/>
      <c r="E66" s="2"/>
      <c r="F66" s="470">
        <v>0</v>
      </c>
      <c r="G66" s="460" t="s">
        <v>496</v>
      </c>
      <c r="H66" s="53"/>
      <c r="I66" s="459">
        <v>200</v>
      </c>
      <c r="J66" s="460" t="s">
        <v>496</v>
      </c>
      <c r="K66" s="393"/>
      <c r="L66" s="16"/>
      <c r="M66" s="243"/>
      <c r="N66" s="244"/>
      <c r="O66" s="245"/>
      <c r="P66" s="3"/>
      <c r="Q66" s="3"/>
      <c r="R66" s="3"/>
      <c r="S66" s="3"/>
      <c r="T66" s="3"/>
      <c r="U66" s="3"/>
      <c r="V66" s="3"/>
      <c r="W66" s="3"/>
      <c r="X66" s="3"/>
      <c r="Y66" s="3"/>
      <c r="Z66" s="3"/>
    </row>
    <row r="67" spans="1:26" ht="12.75" x14ac:dyDescent="0.2">
      <c r="A67" s="3"/>
      <c r="B67" s="2"/>
      <c r="C67" s="393" t="s">
        <v>353</v>
      </c>
      <c r="D67" s="2"/>
      <c r="E67" s="2"/>
      <c r="F67" s="497">
        <v>5</v>
      </c>
      <c r="G67" s="393" t="s">
        <v>106</v>
      </c>
      <c r="H67" s="2"/>
      <c r="I67" s="501">
        <f>F67</f>
        <v>5</v>
      </c>
      <c r="J67" s="393" t="s">
        <v>106</v>
      </c>
      <c r="K67" s="393" t="s">
        <v>484</v>
      </c>
      <c r="L67" s="16" t="s">
        <v>50</v>
      </c>
      <c r="M67" s="243"/>
      <c r="N67" s="244"/>
      <c r="O67" s="245"/>
      <c r="P67" s="3"/>
      <c r="Q67" s="3"/>
      <c r="R67" s="3"/>
      <c r="S67" s="3"/>
      <c r="T67" s="3"/>
      <c r="U67" s="3"/>
      <c r="V67" s="3"/>
      <c r="W67" s="3"/>
      <c r="X67" s="3"/>
      <c r="Y67" s="3"/>
      <c r="Z67" s="3"/>
    </row>
    <row r="68" spans="1:26" ht="12.75" x14ac:dyDescent="0.2">
      <c r="A68" s="3"/>
      <c r="B68" s="2"/>
      <c r="C68" s="393" t="s">
        <v>334</v>
      </c>
      <c r="D68" s="2"/>
      <c r="E68" s="2"/>
      <c r="F68" s="497">
        <v>4</v>
      </c>
      <c r="G68" s="393" t="s">
        <v>106</v>
      </c>
      <c r="H68" s="2"/>
      <c r="I68" s="501">
        <f>F68</f>
        <v>4</v>
      </c>
      <c r="J68" s="393" t="s">
        <v>106</v>
      </c>
      <c r="K68" s="393" t="s">
        <v>484</v>
      </c>
      <c r="L68" s="16"/>
      <c r="M68" s="243"/>
      <c r="N68" s="244"/>
      <c r="O68" s="245"/>
      <c r="P68" s="3"/>
      <c r="Q68" s="3"/>
      <c r="R68" s="3"/>
      <c r="S68" s="3"/>
      <c r="T68" s="3"/>
      <c r="U68" s="3"/>
      <c r="V68" s="3"/>
      <c r="W68" s="3"/>
      <c r="X68" s="3"/>
      <c r="Y68" s="3"/>
      <c r="Z68" s="3"/>
    </row>
    <row r="69" spans="1:26" ht="12.75" x14ac:dyDescent="0.2">
      <c r="A69" s="3"/>
      <c r="B69" s="2"/>
      <c r="C69" s="393" t="s">
        <v>105</v>
      </c>
      <c r="D69" s="2"/>
      <c r="E69" s="2"/>
      <c r="F69" s="497">
        <v>2</v>
      </c>
      <c r="G69" s="393" t="s">
        <v>106</v>
      </c>
      <c r="H69" s="2"/>
      <c r="I69" s="501">
        <f>F69</f>
        <v>2</v>
      </c>
      <c r="J69" s="393" t="s">
        <v>106</v>
      </c>
      <c r="K69" s="393" t="s">
        <v>484</v>
      </c>
      <c r="L69" s="16" t="s">
        <v>50</v>
      </c>
      <c r="M69" s="243"/>
      <c r="N69" s="244"/>
      <c r="O69" s="245"/>
      <c r="P69" s="3"/>
      <c r="Q69" s="3"/>
      <c r="R69" s="3"/>
      <c r="S69" s="3"/>
      <c r="T69" s="3"/>
      <c r="U69" s="3"/>
      <c r="V69" s="3"/>
      <c r="W69" s="3"/>
      <c r="X69" s="3"/>
      <c r="Y69" s="3"/>
      <c r="Z69" s="3"/>
    </row>
    <row r="70" spans="1:26" ht="12.75" x14ac:dyDescent="0.2">
      <c r="A70" s="3"/>
      <c r="B70" s="2"/>
      <c r="C70" s="393" t="s">
        <v>108</v>
      </c>
      <c r="D70" s="2"/>
      <c r="E70" s="2"/>
      <c r="F70" s="459">
        <v>50</v>
      </c>
      <c r="G70" s="393" t="s">
        <v>311</v>
      </c>
      <c r="H70" s="2"/>
      <c r="I70" s="485"/>
      <c r="J70" s="393"/>
      <c r="K70" s="2"/>
      <c r="L70" s="16"/>
      <c r="M70" s="243"/>
      <c r="N70" s="244"/>
      <c r="O70" s="245"/>
      <c r="P70" s="3"/>
      <c r="Q70" s="3"/>
      <c r="R70" s="3"/>
      <c r="S70" s="3"/>
      <c r="T70" s="3"/>
      <c r="U70" s="3"/>
      <c r="V70" s="3"/>
      <c r="W70" s="3"/>
      <c r="X70" s="3"/>
      <c r="Y70" s="3"/>
      <c r="Z70" s="3"/>
    </row>
    <row r="71" spans="1:26" ht="12.75" x14ac:dyDescent="0.2">
      <c r="A71" s="3"/>
      <c r="B71" s="447"/>
      <c r="C71" s="447"/>
      <c r="D71" s="447"/>
      <c r="E71" s="447"/>
      <c r="F71" s="447"/>
      <c r="G71" s="447"/>
      <c r="H71" s="447"/>
      <c r="I71" s="447"/>
      <c r="J71" s="447"/>
      <c r="K71" s="447"/>
      <c r="L71" s="3"/>
      <c r="M71" s="243"/>
      <c r="N71" s="244"/>
      <c r="O71" s="245"/>
      <c r="P71" s="3"/>
      <c r="Q71" s="3"/>
      <c r="R71" s="3"/>
      <c r="S71" s="3"/>
      <c r="T71" s="3"/>
      <c r="U71" s="3"/>
      <c r="V71" s="3"/>
      <c r="W71" s="3"/>
      <c r="X71" s="3"/>
      <c r="Y71" s="3"/>
      <c r="Z71" s="3"/>
    </row>
    <row r="72" spans="1:26" ht="12.75" x14ac:dyDescent="0.2">
      <c r="A72" s="3"/>
      <c r="B72" s="392" t="s">
        <v>109</v>
      </c>
      <c r="C72" s="2"/>
      <c r="D72" s="2"/>
      <c r="E72" s="2"/>
      <c r="F72" s="2"/>
      <c r="G72" s="2"/>
      <c r="H72" s="2"/>
      <c r="I72" s="2"/>
      <c r="J72" s="2"/>
      <c r="K72" s="2"/>
      <c r="L72" s="16" t="s">
        <v>50</v>
      </c>
      <c r="M72" s="243"/>
      <c r="N72" s="244"/>
      <c r="O72" s="245"/>
      <c r="P72" s="3"/>
      <c r="Q72" s="3"/>
      <c r="R72" s="3"/>
      <c r="S72" s="3"/>
      <c r="T72" s="3"/>
      <c r="U72" s="3"/>
      <c r="V72" s="3"/>
      <c r="W72" s="3"/>
      <c r="X72" s="3"/>
      <c r="Y72" s="3"/>
      <c r="Z72" s="3"/>
    </row>
    <row r="73" spans="1:26" ht="12.75" x14ac:dyDescent="0.2">
      <c r="A73" s="3"/>
      <c r="B73" s="2"/>
      <c r="C73" s="393" t="s">
        <v>872</v>
      </c>
      <c r="D73" s="2"/>
      <c r="E73" s="2"/>
      <c r="F73" s="459">
        <v>30</v>
      </c>
      <c r="G73" s="393" t="s">
        <v>488</v>
      </c>
      <c r="H73" s="2"/>
      <c r="I73" s="502">
        <f t="shared" ref="I73:I78" si="2">F73</f>
        <v>30</v>
      </c>
      <c r="J73" s="393" t="s">
        <v>113</v>
      </c>
      <c r="K73" s="2" t="s">
        <v>607</v>
      </c>
      <c r="L73" s="16" t="s">
        <v>50</v>
      </c>
      <c r="M73" s="243"/>
      <c r="N73" s="244"/>
      <c r="O73" s="245"/>
      <c r="P73" s="3"/>
      <c r="Q73" s="3"/>
      <c r="R73" s="3"/>
      <c r="S73" s="3"/>
      <c r="T73" s="3"/>
      <c r="U73" s="3"/>
      <c r="V73" s="3"/>
      <c r="W73" s="3"/>
      <c r="X73" s="3"/>
      <c r="Y73" s="3"/>
      <c r="Z73" s="3"/>
    </row>
    <row r="74" spans="1:26" ht="12.75" x14ac:dyDescent="0.2">
      <c r="A74" s="3"/>
      <c r="B74" s="2"/>
      <c r="C74" s="393" t="s">
        <v>495</v>
      </c>
      <c r="D74" s="2"/>
      <c r="E74" s="2"/>
      <c r="F74" s="826">
        <v>0.60898819347467315</v>
      </c>
      <c r="G74" s="781" t="s">
        <v>1038</v>
      </c>
      <c r="H74" s="749"/>
      <c r="I74" s="486">
        <f t="shared" si="2"/>
        <v>0.60898819347467315</v>
      </c>
      <c r="J74" s="781" t="s">
        <v>1038</v>
      </c>
      <c r="K74" s="749" t="s">
        <v>208</v>
      </c>
      <c r="L74" s="16"/>
      <c r="M74" s="243"/>
      <c r="N74" s="244"/>
      <c r="O74" s="245"/>
      <c r="P74" s="3"/>
      <c r="Q74" s="3"/>
      <c r="R74" s="3"/>
      <c r="S74" s="3"/>
      <c r="T74" s="3"/>
      <c r="U74" s="3"/>
      <c r="V74" s="3"/>
      <c r="W74" s="3"/>
      <c r="X74" s="3"/>
      <c r="Y74" s="3"/>
      <c r="Z74" s="3"/>
    </row>
    <row r="75" spans="1:26" ht="12.75" x14ac:dyDescent="0.2">
      <c r="A75" s="3"/>
      <c r="B75" s="2"/>
      <c r="C75" s="393" t="s">
        <v>353</v>
      </c>
      <c r="D75" s="2"/>
      <c r="E75" s="2"/>
      <c r="F75" s="826">
        <v>4.646439</v>
      </c>
      <c r="G75" s="393" t="s">
        <v>1039</v>
      </c>
      <c r="H75" s="2"/>
      <c r="I75" s="827">
        <f t="shared" si="2"/>
        <v>4.646439</v>
      </c>
      <c r="J75" s="781" t="s">
        <v>1039</v>
      </c>
      <c r="K75" s="2" t="s">
        <v>281</v>
      </c>
      <c r="L75" s="16" t="s">
        <v>50</v>
      </c>
      <c r="M75" s="243"/>
      <c r="N75" s="244"/>
      <c r="O75" s="245"/>
      <c r="P75" s="3"/>
      <c r="Q75" s="3"/>
      <c r="R75" s="3"/>
      <c r="S75" s="3"/>
      <c r="T75" s="3"/>
      <c r="U75" s="3"/>
      <c r="V75" s="3"/>
      <c r="W75" s="3"/>
      <c r="X75" s="3"/>
      <c r="Y75" s="3"/>
      <c r="Z75" s="3"/>
    </row>
    <row r="76" spans="1:26" ht="12.75" x14ac:dyDescent="0.2">
      <c r="A76" s="3"/>
      <c r="B76" s="2"/>
      <c r="C76" s="393" t="s">
        <v>334</v>
      </c>
      <c r="D76" s="2"/>
      <c r="E76" s="2"/>
      <c r="F76" s="461">
        <v>5.3065888030000004</v>
      </c>
      <c r="G76" s="781" t="s">
        <v>1039</v>
      </c>
      <c r="H76" s="749"/>
      <c r="I76" s="825">
        <f t="shared" si="2"/>
        <v>5.3065888030000004</v>
      </c>
      <c r="J76" s="781" t="s">
        <v>1039</v>
      </c>
      <c r="K76" s="749" t="s">
        <v>335</v>
      </c>
      <c r="L76" s="16"/>
      <c r="M76" s="243"/>
      <c r="N76" s="244"/>
      <c r="O76" s="245"/>
      <c r="P76" s="3"/>
      <c r="Q76" s="3"/>
      <c r="R76" s="3"/>
      <c r="S76" s="3"/>
      <c r="T76" s="3"/>
      <c r="U76" s="3"/>
      <c r="V76" s="3"/>
      <c r="W76" s="3"/>
      <c r="X76" s="3"/>
      <c r="Y76" s="3"/>
      <c r="Z76" s="3"/>
    </row>
    <row r="77" spans="1:26" ht="12.75" x14ac:dyDescent="0.2">
      <c r="A77" s="3"/>
      <c r="B77" s="2"/>
      <c r="C77" s="393" t="s">
        <v>105</v>
      </c>
      <c r="D77" s="2"/>
      <c r="E77" s="2"/>
      <c r="F77" s="527">
        <v>5.0780754094198297</v>
      </c>
      <c r="G77" s="781" t="s">
        <v>1039</v>
      </c>
      <c r="H77" s="749"/>
      <c r="I77" s="825">
        <f t="shared" si="2"/>
        <v>5.0780754094198297</v>
      </c>
      <c r="J77" s="781" t="s">
        <v>1039</v>
      </c>
      <c r="K77" s="781" t="s">
        <v>122</v>
      </c>
      <c r="L77" s="16" t="s">
        <v>50</v>
      </c>
      <c r="M77" s="243"/>
      <c r="N77" s="244"/>
      <c r="O77" s="245"/>
      <c r="P77" s="3"/>
      <c r="Q77" s="3"/>
      <c r="R77" s="3"/>
      <c r="S77" s="3"/>
      <c r="T77" s="3"/>
      <c r="U77" s="3"/>
      <c r="V77" s="3"/>
      <c r="W77" s="3"/>
      <c r="X77" s="3"/>
      <c r="Y77" s="3"/>
      <c r="Z77" s="3"/>
    </row>
    <row r="78" spans="1:26" ht="12.75" x14ac:dyDescent="0.2">
      <c r="A78" s="3"/>
      <c r="B78" s="2"/>
      <c r="C78" s="393" t="s">
        <v>108</v>
      </c>
      <c r="D78" s="2"/>
      <c r="E78" s="2"/>
      <c r="F78" s="456">
        <v>100</v>
      </c>
      <c r="G78" s="393" t="s">
        <v>124</v>
      </c>
      <c r="H78" s="2"/>
      <c r="I78" s="486">
        <f t="shared" si="2"/>
        <v>100</v>
      </c>
      <c r="J78" s="393" t="s">
        <v>124</v>
      </c>
      <c r="K78" s="393" t="s">
        <v>126</v>
      </c>
      <c r="L78" s="16" t="s">
        <v>50</v>
      </c>
      <c r="M78" s="243"/>
      <c r="N78" s="244"/>
      <c r="O78" s="245"/>
      <c r="P78" s="3"/>
      <c r="Q78" s="3"/>
      <c r="R78" s="3"/>
      <c r="S78" s="3"/>
      <c r="T78" s="3"/>
      <c r="U78" s="3"/>
      <c r="V78" s="3"/>
      <c r="W78" s="3"/>
      <c r="X78" s="3"/>
      <c r="Y78" s="3"/>
      <c r="Z78" s="3"/>
    </row>
    <row r="79" spans="1:26" ht="12.75" x14ac:dyDescent="0.2">
      <c r="A79" s="3"/>
      <c r="B79" s="2"/>
      <c r="C79" s="393" t="s">
        <v>911</v>
      </c>
      <c r="D79" s="2"/>
      <c r="E79" s="2"/>
      <c r="F79" s="478">
        <v>0</v>
      </c>
      <c r="G79" s="475" t="s">
        <v>5</v>
      </c>
      <c r="H79" s="473"/>
      <c r="I79" s="475"/>
      <c r="J79" s="475"/>
      <c r="K79" s="473" t="s">
        <v>912</v>
      </c>
      <c r="L79" s="475"/>
      <c r="M79" s="243"/>
      <c r="N79" s="244"/>
      <c r="O79" s="245"/>
      <c r="P79" s="3"/>
      <c r="Q79" s="3"/>
      <c r="R79" s="3"/>
      <c r="S79" s="3"/>
      <c r="T79" s="3"/>
      <c r="U79" s="3"/>
      <c r="V79" s="3"/>
      <c r="W79" s="3"/>
      <c r="X79" s="3"/>
      <c r="Y79" s="3"/>
      <c r="Z79" s="3"/>
    </row>
    <row r="80" spans="1:26" ht="12.75" x14ac:dyDescent="0.2">
      <c r="A80" s="3"/>
      <c r="B80" s="447"/>
      <c r="C80" s="447"/>
      <c r="D80" s="447"/>
      <c r="E80" s="447"/>
      <c r="F80" s="447"/>
      <c r="G80" s="447"/>
      <c r="H80" s="447"/>
      <c r="I80" s="447"/>
      <c r="J80" s="447"/>
      <c r="K80" s="447"/>
      <c r="L80" s="3"/>
      <c r="M80" s="243"/>
      <c r="N80" s="244"/>
      <c r="O80" s="245"/>
      <c r="P80" s="3"/>
      <c r="Q80" s="3"/>
      <c r="R80" s="3"/>
      <c r="S80" s="3"/>
      <c r="T80" s="3"/>
      <c r="U80" s="3"/>
      <c r="V80" s="3"/>
      <c r="W80" s="3"/>
      <c r="X80" s="3"/>
      <c r="Y80" s="3"/>
      <c r="Z80" s="3"/>
    </row>
    <row r="81" spans="1:26" ht="12.75" x14ac:dyDescent="0.2">
      <c r="A81" s="3"/>
      <c r="B81" s="392" t="s">
        <v>287</v>
      </c>
      <c r="C81" s="20"/>
      <c r="D81" s="2"/>
      <c r="E81" s="2"/>
      <c r="F81" s="2"/>
      <c r="G81" s="393"/>
      <c r="H81" s="2"/>
      <c r="I81" s="2"/>
      <c r="J81" s="393"/>
      <c r="K81" s="2"/>
      <c r="L81" s="16"/>
      <c r="M81" s="243"/>
      <c r="N81" s="244"/>
      <c r="O81" s="245"/>
      <c r="P81" s="3"/>
      <c r="Q81" s="3"/>
      <c r="R81" s="3"/>
      <c r="S81" s="3"/>
      <c r="T81" s="3"/>
      <c r="U81" s="3"/>
      <c r="V81" s="3"/>
      <c r="W81" s="3"/>
      <c r="X81" s="3"/>
      <c r="Y81" s="3"/>
      <c r="Z81" s="3"/>
    </row>
    <row r="82" spans="1:26" ht="12.75" x14ac:dyDescent="0.2">
      <c r="A82" s="3"/>
      <c r="B82" s="2"/>
      <c r="C82" s="393" t="s">
        <v>282</v>
      </c>
      <c r="D82" s="2"/>
      <c r="E82" s="2"/>
      <c r="F82" s="484">
        <v>2943</v>
      </c>
      <c r="G82" s="460" t="s">
        <v>288</v>
      </c>
      <c r="H82" s="53"/>
      <c r="I82" s="482">
        <f>F82</f>
        <v>2943</v>
      </c>
      <c r="J82" s="460" t="s">
        <v>288</v>
      </c>
      <c r="K82" s="53" t="s">
        <v>281</v>
      </c>
      <c r="L82" s="85"/>
      <c r="M82" s="243"/>
      <c r="N82" s="244"/>
      <c r="O82" s="245"/>
      <c r="P82" s="3"/>
      <c r="Q82" s="3"/>
      <c r="R82" s="3"/>
      <c r="S82" s="3"/>
      <c r="T82" s="3"/>
      <c r="U82" s="3"/>
      <c r="V82" s="3"/>
      <c r="W82" s="3"/>
      <c r="X82" s="3"/>
      <c r="Y82" s="3"/>
      <c r="Z82" s="3"/>
    </row>
    <row r="83" spans="1:26" ht="12.75" x14ac:dyDescent="0.2">
      <c r="A83" s="3"/>
      <c r="B83" s="2"/>
      <c r="C83" s="393" t="s">
        <v>284</v>
      </c>
      <c r="D83" s="2"/>
      <c r="E83" s="2"/>
      <c r="F83" s="484">
        <v>591.13846153846157</v>
      </c>
      <c r="G83" s="460" t="s">
        <v>288</v>
      </c>
      <c r="H83" s="53"/>
      <c r="I83" s="482">
        <f>F83</f>
        <v>591.13846153846157</v>
      </c>
      <c r="J83" s="460" t="s">
        <v>288</v>
      </c>
      <c r="K83" s="53" t="s">
        <v>281</v>
      </c>
      <c r="L83" s="85"/>
      <c r="M83" s="243"/>
      <c r="N83" s="244"/>
      <c r="O83" s="245"/>
      <c r="P83" s="3"/>
      <c r="Q83" s="3"/>
      <c r="R83" s="3"/>
      <c r="S83" s="3"/>
      <c r="T83" s="3"/>
      <c r="U83" s="3"/>
      <c r="V83" s="3"/>
      <c r="W83" s="3"/>
      <c r="X83" s="3"/>
      <c r="Y83" s="3"/>
      <c r="Z83" s="3"/>
    </row>
    <row r="84" spans="1:26" ht="12.75" x14ac:dyDescent="0.2">
      <c r="A84" s="3"/>
      <c r="B84" s="447"/>
      <c r="C84" s="447"/>
      <c r="D84" s="447"/>
      <c r="E84" s="447"/>
      <c r="F84" s="447"/>
      <c r="G84" s="447"/>
      <c r="H84" s="447"/>
      <c r="I84" s="447"/>
      <c r="J84" s="447"/>
      <c r="K84" s="447"/>
      <c r="L84" s="3"/>
      <c r="M84" s="243"/>
      <c r="N84" s="244"/>
      <c r="O84" s="245"/>
      <c r="P84" s="3"/>
      <c r="Q84" s="3"/>
      <c r="R84" s="3"/>
      <c r="S84" s="3"/>
      <c r="T84" s="3"/>
      <c r="U84" s="3"/>
      <c r="V84" s="3"/>
      <c r="W84" s="3"/>
      <c r="X84" s="3"/>
      <c r="Y84" s="3"/>
      <c r="Z84" s="3"/>
    </row>
    <row r="85" spans="1:26" ht="12.75" x14ac:dyDescent="0.2">
      <c r="A85" s="3"/>
      <c r="B85" s="392" t="s">
        <v>131</v>
      </c>
      <c r="C85" s="2"/>
      <c r="D85" s="2"/>
      <c r="E85" s="2"/>
      <c r="F85" s="393"/>
      <c r="G85" s="2"/>
      <c r="H85" s="2"/>
      <c r="I85" s="2"/>
      <c r="J85" s="2"/>
      <c r="K85" s="2"/>
      <c r="L85" s="16" t="s">
        <v>50</v>
      </c>
      <c r="M85" s="243"/>
      <c r="N85" s="244"/>
      <c r="O85" s="245"/>
      <c r="P85" s="3"/>
      <c r="Q85" s="3"/>
      <c r="R85" s="3"/>
      <c r="S85" s="3"/>
      <c r="T85" s="3"/>
      <c r="U85" s="3"/>
      <c r="V85" s="3"/>
      <c r="W85" s="3"/>
      <c r="X85" s="3"/>
      <c r="Y85" s="3"/>
      <c r="Z85" s="3"/>
    </row>
    <row r="86" spans="1:26" ht="12.75" x14ac:dyDescent="0.2">
      <c r="A86" s="3"/>
      <c r="B86" s="2"/>
      <c r="C86" s="393" t="s">
        <v>489</v>
      </c>
      <c r="D86" s="2"/>
      <c r="E86" s="2"/>
      <c r="F86" s="456">
        <v>336</v>
      </c>
      <c r="G86" s="393" t="s">
        <v>113</v>
      </c>
      <c r="H86" s="2"/>
      <c r="I86" s="459">
        <v>400</v>
      </c>
      <c r="J86" s="393" t="s">
        <v>113</v>
      </c>
      <c r="K86" s="393" t="s">
        <v>1075</v>
      </c>
      <c r="L86" s="16" t="s">
        <v>50</v>
      </c>
      <c r="M86" s="243"/>
      <c r="N86" s="244"/>
      <c r="O86" s="245"/>
      <c r="P86" s="3"/>
      <c r="Q86" s="3"/>
      <c r="R86" s="3"/>
      <c r="S86" s="3"/>
      <c r="T86" s="3"/>
      <c r="U86" s="3"/>
      <c r="V86" s="3"/>
      <c r="W86" s="3"/>
      <c r="X86" s="3"/>
      <c r="Y86" s="3"/>
      <c r="Z86" s="3"/>
    </row>
    <row r="87" spans="1:26" ht="12.75" x14ac:dyDescent="0.2">
      <c r="A87" s="3"/>
      <c r="B87" s="2"/>
      <c r="C87" s="393" t="s">
        <v>490</v>
      </c>
      <c r="D87" s="2"/>
      <c r="E87" s="2"/>
      <c r="F87" s="488">
        <f>F86-F82/1000</f>
        <v>333.05700000000002</v>
      </c>
      <c r="G87" s="568" t="s">
        <v>113</v>
      </c>
      <c r="H87" s="569"/>
      <c r="I87" s="488">
        <f>I86-I82/1000</f>
        <v>397.05700000000002</v>
      </c>
      <c r="J87" s="393" t="s">
        <v>113</v>
      </c>
      <c r="K87" s="393"/>
      <c r="L87" s="16"/>
      <c r="M87" s="243"/>
      <c r="N87" s="244"/>
      <c r="O87" s="245"/>
      <c r="P87" s="3"/>
      <c r="Q87" s="3"/>
      <c r="R87" s="3"/>
      <c r="S87" s="3"/>
      <c r="T87" s="3"/>
      <c r="U87" s="3"/>
      <c r="V87" s="3"/>
      <c r="W87" s="3"/>
      <c r="X87" s="3"/>
      <c r="Y87" s="3"/>
      <c r="Z87" s="3"/>
    </row>
    <row r="88" spans="1:26" ht="12.75" x14ac:dyDescent="0.2">
      <c r="A88" s="3"/>
      <c r="B88" s="2"/>
      <c r="C88" s="393" t="s">
        <v>138</v>
      </c>
      <c r="D88" s="2"/>
      <c r="E88" s="2"/>
      <c r="F88" s="456">
        <v>0</v>
      </c>
      <c r="G88" s="393" t="s">
        <v>139</v>
      </c>
      <c r="H88" s="2"/>
      <c r="I88" s="459">
        <v>0</v>
      </c>
      <c r="J88" s="393" t="s">
        <v>139</v>
      </c>
      <c r="K88" s="393"/>
      <c r="L88" s="16" t="s">
        <v>50</v>
      </c>
      <c r="M88" s="243"/>
      <c r="N88" s="244"/>
      <c r="O88" s="245"/>
      <c r="P88" s="3"/>
      <c r="Q88" s="3"/>
      <c r="R88" s="3"/>
      <c r="S88" s="3"/>
      <c r="T88" s="3"/>
      <c r="U88" s="3"/>
      <c r="V88" s="3"/>
      <c r="W88" s="3"/>
      <c r="X88" s="3"/>
      <c r="Y88" s="3"/>
      <c r="Z88" s="3"/>
    </row>
    <row r="89" spans="1:26" ht="12.75" x14ac:dyDescent="0.2">
      <c r="A89" s="3"/>
      <c r="B89" s="2"/>
      <c r="C89" s="393" t="s">
        <v>476</v>
      </c>
      <c r="D89" s="2"/>
      <c r="E89" s="2"/>
      <c r="F89" s="478">
        <v>0</v>
      </c>
      <c r="G89" s="393" t="s">
        <v>5</v>
      </c>
      <c r="H89" s="2"/>
      <c r="I89" s="475"/>
      <c r="J89" s="393"/>
      <c r="K89" s="2"/>
      <c r="L89" s="16"/>
      <c r="M89" s="243"/>
      <c r="N89" s="244"/>
      <c r="O89" s="245"/>
      <c r="P89" s="3"/>
      <c r="Q89" s="3"/>
      <c r="R89" s="3"/>
      <c r="S89" s="3"/>
      <c r="T89" s="3"/>
      <c r="U89" s="3"/>
      <c r="V89" s="3"/>
      <c r="W89" s="3"/>
      <c r="X89" s="3"/>
      <c r="Y89" s="3"/>
      <c r="Z89" s="3"/>
    </row>
    <row r="90" spans="1:26" ht="12.75" x14ac:dyDescent="0.2">
      <c r="A90" s="3"/>
      <c r="B90" s="447"/>
      <c r="C90" s="447"/>
      <c r="D90" s="447"/>
      <c r="E90" s="447"/>
      <c r="F90" s="447"/>
      <c r="G90" s="447"/>
      <c r="H90" s="447"/>
      <c r="I90" s="447"/>
      <c r="J90" s="447"/>
      <c r="K90" s="447"/>
      <c r="L90" s="3"/>
      <c r="M90" s="243"/>
      <c r="N90" s="244"/>
      <c r="O90" s="245"/>
      <c r="P90" s="3"/>
      <c r="Q90" s="3"/>
      <c r="R90" s="3"/>
      <c r="S90" s="3"/>
      <c r="T90" s="3"/>
      <c r="U90" s="3"/>
      <c r="V90" s="3"/>
      <c r="W90" s="3"/>
      <c r="X90" s="3"/>
      <c r="Y90" s="3"/>
      <c r="Z90" s="3"/>
    </row>
    <row r="91" spans="1:26" ht="12.75" x14ac:dyDescent="0.2">
      <c r="A91" s="3"/>
      <c r="B91" s="392" t="s">
        <v>209</v>
      </c>
      <c r="C91" s="2"/>
      <c r="D91" s="2"/>
      <c r="E91" s="2"/>
      <c r="F91" s="2"/>
      <c r="G91" s="2"/>
      <c r="H91" s="2"/>
      <c r="I91" s="2"/>
      <c r="J91" s="2"/>
      <c r="K91" s="2"/>
      <c r="L91" s="16" t="s">
        <v>50</v>
      </c>
      <c r="M91" s="243"/>
      <c r="N91" s="244"/>
      <c r="O91" s="245"/>
      <c r="P91" s="3"/>
      <c r="Q91" s="3"/>
      <c r="R91" s="3"/>
      <c r="S91" s="3"/>
      <c r="T91" s="3"/>
      <c r="U91" s="3"/>
      <c r="V91" s="3"/>
      <c r="W91" s="3"/>
      <c r="X91" s="3"/>
      <c r="Y91" s="3"/>
      <c r="Z91" s="3"/>
    </row>
    <row r="92" spans="1:26" ht="12.75" x14ac:dyDescent="0.2">
      <c r="A92" s="3"/>
      <c r="B92" s="2"/>
      <c r="C92" s="393" t="s">
        <v>145</v>
      </c>
      <c r="D92" s="2"/>
      <c r="E92" s="2"/>
      <c r="F92" s="456">
        <v>0</v>
      </c>
      <c r="G92" s="393" t="s">
        <v>146</v>
      </c>
      <c r="H92" s="2"/>
      <c r="I92" s="477">
        <v>0</v>
      </c>
      <c r="J92" s="393" t="s">
        <v>146</v>
      </c>
      <c r="K92" s="2"/>
      <c r="L92" s="16" t="s">
        <v>50</v>
      </c>
      <c r="M92" s="243"/>
      <c r="N92" s="244"/>
      <c r="O92" s="245"/>
      <c r="P92" s="3"/>
      <c r="Q92" s="3"/>
      <c r="R92" s="3"/>
      <c r="S92" s="3"/>
      <c r="T92" s="3"/>
      <c r="U92" s="3"/>
      <c r="V92" s="3"/>
      <c r="W92" s="3"/>
      <c r="X92" s="3"/>
      <c r="Y92" s="3"/>
      <c r="Z92" s="3"/>
    </row>
    <row r="93" spans="1:26" ht="12.75" x14ac:dyDescent="0.2">
      <c r="A93" s="3"/>
      <c r="B93" s="2"/>
      <c r="C93" s="393" t="s">
        <v>148</v>
      </c>
      <c r="D93" s="2"/>
      <c r="E93" s="2"/>
      <c r="F93" s="478">
        <v>0.1</v>
      </c>
      <c r="G93" s="393" t="s">
        <v>5</v>
      </c>
      <c r="H93" s="2"/>
      <c r="I93" s="478">
        <v>0.1</v>
      </c>
      <c r="J93" s="393" t="s">
        <v>5</v>
      </c>
      <c r="K93" s="2"/>
      <c r="L93" s="16" t="s">
        <v>50</v>
      </c>
      <c r="M93" s="243"/>
      <c r="N93" s="244"/>
      <c r="O93" s="245"/>
      <c r="P93" s="3"/>
      <c r="Q93" s="3"/>
      <c r="R93" s="3"/>
      <c r="S93" s="3"/>
      <c r="T93" s="3"/>
      <c r="U93" s="3"/>
      <c r="V93" s="3"/>
      <c r="W93" s="3"/>
      <c r="X93" s="3"/>
      <c r="Y93" s="3"/>
      <c r="Z93" s="3"/>
    </row>
    <row r="94" spans="1:26" ht="12.75" x14ac:dyDescent="0.2">
      <c r="A94" s="3"/>
      <c r="B94" s="2"/>
      <c r="C94" s="393" t="s">
        <v>151</v>
      </c>
      <c r="D94" s="2"/>
      <c r="E94" s="2"/>
      <c r="F94" s="456">
        <v>5</v>
      </c>
      <c r="G94" s="393" t="s">
        <v>152</v>
      </c>
      <c r="H94" s="2"/>
      <c r="I94" s="456">
        <v>5</v>
      </c>
      <c r="J94" s="393" t="s">
        <v>152</v>
      </c>
      <c r="K94" s="2"/>
      <c r="L94" s="16" t="s">
        <v>50</v>
      </c>
      <c r="M94" s="243"/>
      <c r="N94" s="244"/>
      <c r="O94" s="245"/>
      <c r="P94" s="3"/>
      <c r="Q94" s="3"/>
      <c r="R94" s="3"/>
      <c r="S94" s="3"/>
      <c r="T94" s="3"/>
      <c r="U94" s="3"/>
      <c r="V94" s="3"/>
      <c r="W94" s="3"/>
      <c r="X94" s="3"/>
      <c r="Y94" s="3"/>
      <c r="Z94" s="3"/>
    </row>
    <row r="95" spans="1:26" ht="12.75" x14ac:dyDescent="0.2">
      <c r="A95" s="3"/>
      <c r="B95" s="2"/>
      <c r="C95" s="393" t="s">
        <v>154</v>
      </c>
      <c r="D95" s="2"/>
      <c r="E95" s="2"/>
      <c r="F95" s="456">
        <v>3</v>
      </c>
      <c r="G95" s="393" t="s">
        <v>152</v>
      </c>
      <c r="H95" s="2"/>
      <c r="I95" s="456">
        <v>3</v>
      </c>
      <c r="J95" s="393" t="s">
        <v>152</v>
      </c>
      <c r="K95" s="2"/>
      <c r="L95" s="16" t="s">
        <v>50</v>
      </c>
      <c r="M95" s="243"/>
      <c r="N95" s="244"/>
      <c r="O95" s="245"/>
      <c r="P95" s="3"/>
      <c r="Q95" s="3"/>
      <c r="R95" s="3"/>
      <c r="S95" s="3"/>
      <c r="T95" s="3"/>
      <c r="U95" s="3"/>
      <c r="V95" s="3"/>
      <c r="W95" s="3"/>
      <c r="X95" s="3"/>
      <c r="Y95" s="3"/>
      <c r="Z95" s="3"/>
    </row>
    <row r="96" spans="1:26" ht="12.75" x14ac:dyDescent="0.2">
      <c r="A96" s="3"/>
      <c r="B96" s="2"/>
      <c r="C96" s="393" t="s">
        <v>157</v>
      </c>
      <c r="D96" s="2"/>
      <c r="E96" s="2"/>
      <c r="F96" s="486">
        <f>F94+F95</f>
        <v>8</v>
      </c>
      <c r="G96" s="393" t="s">
        <v>152</v>
      </c>
      <c r="H96" s="2"/>
      <c r="I96" s="456">
        <v>8</v>
      </c>
      <c r="J96" s="393" t="s">
        <v>152</v>
      </c>
      <c r="K96" s="2"/>
      <c r="L96" s="16" t="s">
        <v>50</v>
      </c>
      <c r="M96" s="243"/>
      <c r="N96" s="244"/>
      <c r="O96" s="245"/>
      <c r="P96" s="3"/>
      <c r="Q96" s="3"/>
      <c r="R96" s="3"/>
      <c r="S96" s="3"/>
      <c r="T96" s="3"/>
      <c r="U96" s="3"/>
      <c r="V96" s="3"/>
      <c r="W96" s="3"/>
      <c r="X96" s="3"/>
      <c r="Y96" s="3"/>
      <c r="Z96" s="3"/>
    </row>
    <row r="97" spans="1:26" ht="12.75" x14ac:dyDescent="0.2">
      <c r="A97" s="3"/>
      <c r="B97" s="447"/>
      <c r="C97" s="447"/>
      <c r="D97" s="447"/>
      <c r="E97" s="447"/>
      <c r="F97" s="447"/>
      <c r="G97" s="447"/>
      <c r="H97" s="447"/>
      <c r="I97" s="447"/>
      <c r="J97" s="447"/>
      <c r="K97" s="447"/>
      <c r="L97" s="3"/>
      <c r="M97" s="243"/>
      <c r="N97" s="244"/>
      <c r="O97" s="245"/>
      <c r="P97" s="3"/>
      <c r="Q97" s="3"/>
      <c r="R97" s="3"/>
      <c r="S97" s="3"/>
      <c r="T97" s="3"/>
      <c r="U97" s="3"/>
      <c r="V97" s="3"/>
      <c r="W97" s="3"/>
      <c r="X97" s="3"/>
      <c r="Y97" s="3"/>
      <c r="Z97" s="3"/>
    </row>
    <row r="98" spans="1:26" ht="12.75" x14ac:dyDescent="0.2">
      <c r="A98" s="3"/>
      <c r="B98" s="392" t="s">
        <v>161</v>
      </c>
      <c r="C98" s="2"/>
      <c r="D98" s="2"/>
      <c r="E98" s="2"/>
      <c r="F98" s="2"/>
      <c r="G98" s="2"/>
      <c r="H98" s="2"/>
      <c r="I98" s="2"/>
      <c r="J98" s="2"/>
      <c r="K98" s="2"/>
      <c r="L98" s="16" t="s">
        <v>50</v>
      </c>
      <c r="M98" s="243"/>
      <c r="N98" s="244"/>
      <c r="O98" s="245"/>
      <c r="P98" s="3"/>
      <c r="Q98" s="3"/>
      <c r="R98" s="3"/>
      <c r="S98" s="3"/>
      <c r="T98" s="3"/>
      <c r="U98" s="3"/>
      <c r="V98" s="3"/>
      <c r="W98" s="3"/>
      <c r="X98" s="3"/>
      <c r="Y98" s="3"/>
      <c r="Z98" s="3"/>
    </row>
    <row r="99" spans="1:26" ht="12.75" x14ac:dyDescent="0.2">
      <c r="A99" s="3"/>
      <c r="B99" s="2"/>
      <c r="C99" s="393" t="s">
        <v>250</v>
      </c>
      <c r="D99" s="2"/>
      <c r="E99" s="2"/>
      <c r="F99" s="2"/>
      <c r="G99" s="393"/>
      <c r="H99" s="2"/>
      <c r="I99" s="490">
        <v>0</v>
      </c>
      <c r="J99" s="393" t="s">
        <v>163</v>
      </c>
      <c r="K99" s="2" t="s">
        <v>854</v>
      </c>
      <c r="L99" s="16" t="s">
        <v>50</v>
      </c>
      <c r="M99" s="243"/>
      <c r="N99" s="244"/>
      <c r="O99" s="245"/>
      <c r="P99" s="3"/>
      <c r="Q99" s="3"/>
      <c r="R99" s="3"/>
      <c r="S99" s="3"/>
      <c r="T99" s="3"/>
      <c r="U99" s="3"/>
      <c r="V99" s="3"/>
      <c r="W99" s="3"/>
      <c r="X99" s="3"/>
      <c r="Y99" s="3"/>
      <c r="Z99" s="3"/>
    </row>
    <row r="100" spans="1:26" ht="12.75" x14ac:dyDescent="0.2">
      <c r="A100" s="3"/>
      <c r="B100" s="2"/>
      <c r="C100" s="393" t="s">
        <v>162</v>
      </c>
      <c r="D100" s="2"/>
      <c r="E100" s="2"/>
      <c r="F100" s="2"/>
      <c r="G100" s="393"/>
      <c r="H100" s="2"/>
      <c r="I100" s="492">
        <v>10000</v>
      </c>
      <c r="J100" s="393" t="s">
        <v>163</v>
      </c>
      <c r="K100" s="2" t="s">
        <v>854</v>
      </c>
      <c r="L100" s="16" t="s">
        <v>50</v>
      </c>
      <c r="M100" s="243"/>
      <c r="N100" s="244"/>
      <c r="O100" s="245"/>
      <c r="P100" s="3"/>
      <c r="Q100" s="3"/>
      <c r="R100" s="3"/>
      <c r="S100" s="3"/>
      <c r="T100" s="3"/>
      <c r="U100" s="3"/>
      <c r="V100" s="3"/>
      <c r="W100" s="3"/>
      <c r="X100" s="3"/>
      <c r="Y100" s="3"/>
      <c r="Z100" s="3"/>
    </row>
    <row r="101" spans="1:26" ht="12.75" x14ac:dyDescent="0.2">
      <c r="A101" s="3"/>
      <c r="B101" s="2"/>
      <c r="C101" s="393" t="s">
        <v>164</v>
      </c>
      <c r="D101" s="2"/>
      <c r="E101" s="2"/>
      <c r="F101" s="2"/>
      <c r="G101" s="393"/>
      <c r="H101" s="2"/>
      <c r="I101" s="492">
        <v>24000</v>
      </c>
      <c r="J101" s="393" t="s">
        <v>482</v>
      </c>
      <c r="K101" s="2" t="s">
        <v>854</v>
      </c>
      <c r="L101" s="16" t="s">
        <v>50</v>
      </c>
      <c r="M101" s="243"/>
      <c r="N101" s="244"/>
      <c r="O101" s="245"/>
      <c r="P101" s="3"/>
      <c r="Q101" s="3"/>
      <c r="R101" s="3"/>
      <c r="S101" s="3"/>
      <c r="T101" s="3"/>
      <c r="U101" s="3"/>
      <c r="V101" s="3"/>
      <c r="W101" s="3"/>
      <c r="X101" s="3"/>
      <c r="Y101" s="3"/>
      <c r="Z101" s="3"/>
    </row>
    <row r="102" spans="1:26" ht="12.75" x14ac:dyDescent="0.2">
      <c r="A102" s="3"/>
      <c r="B102" s="2"/>
      <c r="C102" s="393" t="s">
        <v>166</v>
      </c>
      <c r="D102" s="2"/>
      <c r="E102" s="2"/>
      <c r="F102" s="2"/>
      <c r="G102" s="393"/>
      <c r="H102" s="2"/>
      <c r="I102" s="492">
        <v>27000</v>
      </c>
      <c r="J102" s="393" t="s">
        <v>163</v>
      </c>
      <c r="K102" s="2" t="s">
        <v>854</v>
      </c>
      <c r="L102" s="16" t="s">
        <v>50</v>
      </c>
      <c r="M102" s="243"/>
      <c r="N102" s="244"/>
      <c r="O102" s="245"/>
      <c r="P102" s="3"/>
      <c r="Q102" s="3"/>
      <c r="R102" s="3"/>
      <c r="S102" s="3"/>
      <c r="T102" s="3"/>
      <c r="U102" s="3"/>
      <c r="V102" s="3"/>
      <c r="W102" s="3"/>
      <c r="X102" s="3"/>
      <c r="Y102" s="3"/>
      <c r="Z102" s="3"/>
    </row>
    <row r="103" spans="1:26" ht="12.75" x14ac:dyDescent="0.2">
      <c r="A103" s="3"/>
      <c r="B103" s="2"/>
      <c r="C103" s="393" t="s">
        <v>168</v>
      </c>
      <c r="D103" s="2"/>
      <c r="E103" s="2"/>
      <c r="F103" s="2"/>
      <c r="G103" s="393"/>
      <c r="H103" s="2"/>
      <c r="I103" s="492">
        <v>27000</v>
      </c>
      <c r="J103" s="393" t="s">
        <v>163</v>
      </c>
      <c r="K103" s="2" t="s">
        <v>854</v>
      </c>
      <c r="L103" s="16" t="s">
        <v>50</v>
      </c>
      <c r="M103" s="243"/>
      <c r="N103" s="244"/>
      <c r="O103" s="245"/>
      <c r="P103" s="3"/>
      <c r="Q103" s="3"/>
      <c r="R103" s="3"/>
      <c r="S103" s="3"/>
      <c r="T103" s="3"/>
      <c r="U103" s="3"/>
      <c r="V103" s="3"/>
      <c r="W103" s="3"/>
      <c r="X103" s="3"/>
      <c r="Y103" s="3"/>
      <c r="Z103" s="3"/>
    </row>
    <row r="104" spans="1:26" ht="12.75" x14ac:dyDescent="0.2">
      <c r="A104" s="3"/>
      <c r="B104" s="2"/>
      <c r="C104" s="393" t="s">
        <v>171</v>
      </c>
      <c r="D104" s="2"/>
      <c r="E104" s="2"/>
      <c r="F104" s="2"/>
      <c r="G104" s="393"/>
      <c r="H104" s="2"/>
      <c r="I104" s="444">
        <v>0.9</v>
      </c>
      <c r="J104" s="393" t="s">
        <v>256</v>
      </c>
      <c r="K104" s="2" t="s">
        <v>1058</v>
      </c>
      <c r="L104" s="16" t="s">
        <v>50</v>
      </c>
      <c r="M104" s="248"/>
      <c r="N104" s="247"/>
      <c r="O104" s="243"/>
      <c r="P104" s="3"/>
      <c r="Q104" s="3"/>
      <c r="R104" s="3"/>
      <c r="S104" s="3"/>
      <c r="T104" s="3"/>
      <c r="U104" s="3"/>
      <c r="V104" s="3"/>
      <c r="W104" s="3"/>
      <c r="X104" s="3"/>
      <c r="Y104" s="3"/>
      <c r="Z104" s="3"/>
    </row>
    <row r="105" spans="1:26" ht="12.75" x14ac:dyDescent="0.2">
      <c r="A105" s="3"/>
      <c r="B105" s="2"/>
      <c r="C105" s="393" t="s">
        <v>251</v>
      </c>
      <c r="D105" s="2"/>
      <c r="E105" s="2"/>
      <c r="F105" s="2"/>
      <c r="G105" s="393"/>
      <c r="H105" s="2"/>
      <c r="I105" s="444">
        <v>0.2</v>
      </c>
      <c r="J105" s="393" t="s">
        <v>256</v>
      </c>
      <c r="K105" s="2" t="s">
        <v>12</v>
      </c>
      <c r="L105" s="16" t="s">
        <v>50</v>
      </c>
      <c r="M105" s="248"/>
      <c r="N105" s="247"/>
      <c r="O105" s="243"/>
      <c r="P105" s="3"/>
      <c r="Q105" s="3"/>
      <c r="R105" s="3"/>
      <c r="S105" s="3"/>
      <c r="T105" s="3"/>
      <c r="U105" s="3"/>
      <c r="V105" s="3"/>
      <c r="W105" s="3"/>
      <c r="X105" s="3"/>
      <c r="Y105" s="3"/>
      <c r="Z105" s="3"/>
    </row>
    <row r="106" spans="1:26" ht="12.75" x14ac:dyDescent="0.2">
      <c r="A106" s="3"/>
      <c r="B106" s="2"/>
      <c r="C106" s="393" t="s">
        <v>257</v>
      </c>
      <c r="D106" s="2"/>
      <c r="E106" s="2"/>
      <c r="F106" s="2"/>
      <c r="G106" s="393"/>
      <c r="H106" s="2"/>
      <c r="I106" s="493">
        <v>5</v>
      </c>
      <c r="J106" s="393" t="s">
        <v>12</v>
      </c>
      <c r="K106" s="2" t="s">
        <v>12</v>
      </c>
      <c r="L106" s="16"/>
      <c r="M106" s="249"/>
      <c r="N106" s="247"/>
      <c r="O106" s="243"/>
      <c r="P106" s="3"/>
      <c r="Q106" s="3"/>
      <c r="R106" s="3"/>
      <c r="S106" s="3"/>
      <c r="T106" s="3"/>
      <c r="U106" s="3"/>
      <c r="V106" s="3"/>
      <c r="W106" s="3"/>
      <c r="X106" s="3"/>
      <c r="Y106" s="3"/>
      <c r="Z106" s="3"/>
    </row>
    <row r="107" spans="1:26" ht="12.75" x14ac:dyDescent="0.2">
      <c r="A107" s="3"/>
      <c r="B107" s="2"/>
      <c r="C107" s="393" t="s">
        <v>710</v>
      </c>
      <c r="D107" s="2"/>
      <c r="E107" s="2"/>
      <c r="F107" s="2"/>
      <c r="G107" s="393"/>
      <c r="H107" s="2"/>
      <c r="I107" s="573">
        <f>'Total Beneficiaries and Funding'!E13</f>
        <v>7640039.8935216069</v>
      </c>
      <c r="J107" s="393" t="s">
        <v>172</v>
      </c>
      <c r="K107" s="405" t="s">
        <v>711</v>
      </c>
      <c r="L107" s="16" t="s">
        <v>50</v>
      </c>
      <c r="M107" s="244"/>
      <c r="N107" s="244"/>
      <c r="O107" s="243"/>
      <c r="P107" s="3"/>
      <c r="Q107" s="3"/>
      <c r="R107" s="3"/>
      <c r="S107" s="3"/>
      <c r="T107" s="3"/>
      <c r="U107" s="3"/>
      <c r="V107" s="3"/>
      <c r="W107" s="3"/>
      <c r="X107" s="3"/>
      <c r="Y107" s="3"/>
      <c r="Z107" s="3"/>
    </row>
    <row r="108" spans="1:26" ht="12.75" x14ac:dyDescent="0.2">
      <c r="A108" s="3"/>
      <c r="B108" s="2"/>
      <c r="C108" s="393" t="s">
        <v>939</v>
      </c>
      <c r="D108" s="2"/>
      <c r="E108" s="2"/>
      <c r="F108" s="2"/>
      <c r="G108" s="393"/>
      <c r="H108" s="2"/>
      <c r="I108" s="444">
        <v>0</v>
      </c>
      <c r="J108" s="393" t="s">
        <v>5</v>
      </c>
      <c r="K108" s="422" t="s">
        <v>940</v>
      </c>
      <c r="L108" s="393"/>
      <c r="M108" s="244"/>
      <c r="N108" s="244"/>
      <c r="O108" s="243"/>
      <c r="P108" s="3"/>
      <c r="Q108" s="3"/>
      <c r="R108" s="3"/>
      <c r="S108" s="3"/>
      <c r="T108" s="3"/>
      <c r="U108" s="3"/>
      <c r="V108" s="3"/>
      <c r="W108" s="3"/>
      <c r="X108" s="3"/>
      <c r="Y108" s="3"/>
      <c r="Z108" s="3"/>
    </row>
    <row r="109" spans="1:26" ht="12.75" x14ac:dyDescent="0.2">
      <c r="A109" s="3"/>
      <c r="B109" s="2"/>
      <c r="C109" s="393" t="s">
        <v>268</v>
      </c>
      <c r="D109" s="2"/>
      <c r="E109" s="2"/>
      <c r="F109" s="2"/>
      <c r="G109" s="393"/>
      <c r="H109" s="2"/>
      <c r="I109" s="495">
        <v>0</v>
      </c>
      <c r="J109" s="460" t="s">
        <v>269</v>
      </c>
      <c r="K109" s="53"/>
      <c r="L109" s="85"/>
      <c r="M109" s="250"/>
      <c r="N109" s="247"/>
      <c r="O109" s="243"/>
      <c r="P109" s="3"/>
      <c r="Q109" s="3"/>
      <c r="R109" s="3"/>
      <c r="S109" s="3"/>
      <c r="T109" s="3"/>
      <c r="U109" s="3"/>
      <c r="V109" s="3"/>
      <c r="W109" s="3"/>
      <c r="X109" s="3"/>
      <c r="Y109" s="3"/>
      <c r="Z109" s="3"/>
    </row>
    <row r="110" spans="1:26" ht="12.75" x14ac:dyDescent="0.2">
      <c r="A110" s="3"/>
      <c r="B110" s="2"/>
      <c r="C110" s="393" t="s">
        <v>270</v>
      </c>
      <c r="D110" s="2"/>
      <c r="E110" s="2"/>
      <c r="F110" s="2"/>
      <c r="G110" s="393"/>
      <c r="H110" s="2"/>
      <c r="I110" s="493">
        <v>5</v>
      </c>
      <c r="J110" s="460" t="s">
        <v>66</v>
      </c>
      <c r="K110" s="53"/>
      <c r="L110" s="85"/>
      <c r="M110" s="249"/>
      <c r="N110" s="247"/>
      <c r="O110" s="243"/>
      <c r="P110" s="3"/>
      <c r="Q110" s="3"/>
      <c r="R110" s="3"/>
      <c r="S110" s="3"/>
      <c r="T110" s="3"/>
      <c r="U110" s="3"/>
      <c r="V110" s="3"/>
      <c r="W110" s="3"/>
      <c r="X110" s="3"/>
      <c r="Y110" s="3"/>
      <c r="Z110" s="3"/>
    </row>
    <row r="111" spans="1:26" s="159" customFormat="1" ht="12.75" x14ac:dyDescent="0.2">
      <c r="A111" s="122"/>
      <c r="B111" s="405"/>
      <c r="C111" s="395" t="s">
        <v>909</v>
      </c>
      <c r="D111" s="405"/>
      <c r="E111" s="405"/>
      <c r="F111" s="157"/>
      <c r="G111" s="157"/>
      <c r="H111" s="157"/>
      <c r="I111" s="444">
        <v>0</v>
      </c>
      <c r="J111" s="391" t="s">
        <v>5</v>
      </c>
      <c r="K111" s="422" t="s">
        <v>910</v>
      </c>
      <c r="L111" s="157"/>
      <c r="M111" s="244"/>
      <c r="N111" s="244"/>
      <c r="O111" s="243"/>
      <c r="P111" s="122"/>
      <c r="Q111" s="122"/>
      <c r="R111" s="122"/>
      <c r="S111" s="122"/>
      <c r="T111" s="173"/>
      <c r="U111" s="173"/>
      <c r="V111" s="173"/>
      <c r="W111" s="173"/>
    </row>
    <row r="112" spans="1:26" ht="12.75"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x14ac:dyDescent="0.2">
      <c r="A113" s="4" t="s">
        <v>173</v>
      </c>
      <c r="B113" s="2"/>
      <c r="C113" s="2"/>
      <c r="D113" s="6" t="s">
        <v>174</v>
      </c>
      <c r="E113" s="21"/>
      <c r="F113" s="51">
        <v>0</v>
      </c>
      <c r="G113" s="51">
        <v>1</v>
      </c>
      <c r="H113" s="51">
        <v>2</v>
      </c>
      <c r="I113" s="51">
        <v>3</v>
      </c>
      <c r="J113" s="51">
        <v>4</v>
      </c>
      <c r="K113" s="51">
        <v>5</v>
      </c>
      <c r="L113" s="51">
        <v>6</v>
      </c>
      <c r="M113" s="51">
        <v>7</v>
      </c>
      <c r="N113" s="51">
        <v>8</v>
      </c>
      <c r="O113" s="51">
        <v>9</v>
      </c>
      <c r="P113" s="2"/>
      <c r="Q113" s="2"/>
      <c r="R113" s="2"/>
      <c r="S113" s="2"/>
      <c r="T113" s="2"/>
      <c r="U113" s="2"/>
      <c r="V113" s="2"/>
      <c r="W113" s="2"/>
      <c r="X113" s="2"/>
      <c r="Y113" s="2"/>
      <c r="Z113" s="2"/>
    </row>
    <row r="114" spans="1:26" ht="12.75" x14ac:dyDescent="0.2">
      <c r="A114" s="3"/>
      <c r="B114" s="4" t="s">
        <v>175</v>
      </c>
      <c r="C114" s="2"/>
      <c r="P114" s="12"/>
      <c r="Q114" s="3"/>
      <c r="R114" s="3"/>
      <c r="S114" s="3"/>
      <c r="T114" s="3"/>
      <c r="U114" s="3"/>
      <c r="V114" s="3"/>
      <c r="W114" s="3"/>
      <c r="X114" s="3"/>
      <c r="Y114" s="3"/>
      <c r="Z114" s="3"/>
    </row>
    <row r="115" spans="1:26" ht="12.75" x14ac:dyDescent="0.2">
      <c r="A115" s="3"/>
      <c r="B115" s="2"/>
      <c r="C115" s="9" t="s">
        <v>176</v>
      </c>
      <c r="D115" s="2"/>
      <c r="E115" s="2"/>
      <c r="F115" s="14">
        <f t="shared" ref="F115:O115" si="3">$F$8</f>
        <v>7.9000000000000001E-2</v>
      </c>
      <c r="G115" s="14">
        <f t="shared" si="3"/>
        <v>7.9000000000000001E-2</v>
      </c>
      <c r="H115" s="14">
        <f t="shared" si="3"/>
        <v>7.9000000000000001E-2</v>
      </c>
      <c r="I115" s="14">
        <f t="shared" si="3"/>
        <v>7.9000000000000001E-2</v>
      </c>
      <c r="J115" s="14">
        <f t="shared" si="3"/>
        <v>7.9000000000000001E-2</v>
      </c>
      <c r="K115" s="14">
        <f t="shared" si="3"/>
        <v>7.9000000000000001E-2</v>
      </c>
      <c r="L115" s="14">
        <f t="shared" si="3"/>
        <v>7.9000000000000001E-2</v>
      </c>
      <c r="M115" s="14">
        <f t="shared" si="3"/>
        <v>7.9000000000000001E-2</v>
      </c>
      <c r="N115" s="14">
        <f t="shared" si="3"/>
        <v>7.9000000000000001E-2</v>
      </c>
      <c r="O115" s="14">
        <f t="shared" si="3"/>
        <v>7.9000000000000001E-2</v>
      </c>
      <c r="P115" s="3"/>
      <c r="Q115" s="3"/>
      <c r="R115" s="3"/>
      <c r="S115" s="3"/>
      <c r="T115" s="3"/>
      <c r="U115" s="3"/>
      <c r="V115" s="3"/>
      <c r="W115" s="3"/>
      <c r="X115" s="3"/>
      <c r="Y115" s="3"/>
      <c r="Z115" s="3"/>
    </row>
    <row r="116" spans="1:26" ht="12.75" x14ac:dyDescent="0.2">
      <c r="A116" s="3"/>
      <c r="B116" s="2"/>
      <c r="C116" s="9" t="s">
        <v>177</v>
      </c>
      <c r="D116" s="2"/>
      <c r="E116" s="2"/>
      <c r="F116" s="22">
        <v>1</v>
      </c>
      <c r="G116" s="23">
        <f t="shared" ref="G116:O116" si="4">F116*(1+G115)</f>
        <v>1.079</v>
      </c>
      <c r="H116" s="23">
        <f t="shared" si="4"/>
        <v>1.1642409999999999</v>
      </c>
      <c r="I116" s="23">
        <f t="shared" si="4"/>
        <v>1.2562160389999999</v>
      </c>
      <c r="J116" s="23">
        <f t="shared" si="4"/>
        <v>1.3554571060809999</v>
      </c>
      <c r="K116" s="23">
        <f t="shared" si="4"/>
        <v>1.4625382174613988</v>
      </c>
      <c r="L116" s="23">
        <f t="shared" si="4"/>
        <v>1.5780787366408493</v>
      </c>
      <c r="M116" s="23">
        <f t="shared" si="4"/>
        <v>1.7027469568354763</v>
      </c>
      <c r="N116" s="23">
        <f t="shared" si="4"/>
        <v>1.8372639664254788</v>
      </c>
      <c r="O116" s="23">
        <f t="shared" si="4"/>
        <v>1.9824078197730917</v>
      </c>
      <c r="P116" s="3"/>
      <c r="Q116" s="3"/>
      <c r="R116" s="3"/>
      <c r="S116" s="3"/>
      <c r="T116" s="3"/>
      <c r="U116" s="3"/>
      <c r="V116" s="3"/>
      <c r="W116" s="3"/>
      <c r="X116" s="3"/>
      <c r="Y116" s="3"/>
      <c r="Z116" s="3"/>
    </row>
    <row r="117" spans="1:26" ht="12.75" x14ac:dyDescent="0.2">
      <c r="A117" s="3"/>
      <c r="B117" s="2"/>
      <c r="C117" s="9" t="s">
        <v>7</v>
      </c>
      <c r="D117" s="2"/>
      <c r="E117" s="2"/>
      <c r="F117" s="14">
        <f t="shared" ref="F117:O117" si="5">$F$9</f>
        <v>2.5000000000000001E-2</v>
      </c>
      <c r="G117" s="14">
        <f t="shared" si="5"/>
        <v>2.5000000000000001E-2</v>
      </c>
      <c r="H117" s="14">
        <f t="shared" si="5"/>
        <v>2.5000000000000001E-2</v>
      </c>
      <c r="I117" s="14">
        <f t="shared" si="5"/>
        <v>2.5000000000000001E-2</v>
      </c>
      <c r="J117" s="14">
        <f t="shared" si="5"/>
        <v>2.5000000000000001E-2</v>
      </c>
      <c r="K117" s="14">
        <f t="shared" si="5"/>
        <v>2.5000000000000001E-2</v>
      </c>
      <c r="L117" s="14">
        <f t="shared" si="5"/>
        <v>2.5000000000000001E-2</v>
      </c>
      <c r="M117" s="14">
        <f t="shared" si="5"/>
        <v>2.5000000000000001E-2</v>
      </c>
      <c r="N117" s="14">
        <f t="shared" si="5"/>
        <v>2.5000000000000001E-2</v>
      </c>
      <c r="O117" s="14">
        <f t="shared" si="5"/>
        <v>2.5000000000000001E-2</v>
      </c>
      <c r="P117" s="3"/>
      <c r="Q117" s="3"/>
      <c r="R117" s="3"/>
      <c r="S117" s="3"/>
      <c r="T117" s="3"/>
      <c r="U117" s="3"/>
      <c r="V117" s="3"/>
      <c r="W117" s="3"/>
      <c r="X117" s="3"/>
      <c r="Y117" s="3"/>
      <c r="Z117" s="3"/>
    </row>
    <row r="118" spans="1:26" ht="12.75" x14ac:dyDescent="0.2">
      <c r="A118" s="3"/>
      <c r="B118" s="2"/>
      <c r="C118" s="9" t="s">
        <v>179</v>
      </c>
      <c r="D118" s="2"/>
      <c r="E118" s="2"/>
      <c r="F118" s="10">
        <v>1</v>
      </c>
      <c r="G118" s="10">
        <f t="shared" ref="G118:O118" si="6">F118*(1+G117)</f>
        <v>1.0249999999999999</v>
      </c>
      <c r="H118" s="10">
        <f t="shared" si="6"/>
        <v>1.0506249999999999</v>
      </c>
      <c r="I118" s="10">
        <f t="shared" si="6"/>
        <v>1.0768906249999999</v>
      </c>
      <c r="J118" s="10">
        <f t="shared" si="6"/>
        <v>1.1038128906249998</v>
      </c>
      <c r="K118" s="10">
        <f t="shared" si="6"/>
        <v>1.1314082128906247</v>
      </c>
      <c r="L118" s="10">
        <f t="shared" si="6"/>
        <v>1.1596934182128902</v>
      </c>
      <c r="M118" s="10">
        <f t="shared" si="6"/>
        <v>1.1886857536682123</v>
      </c>
      <c r="N118" s="10">
        <f t="shared" si="6"/>
        <v>1.2184028975099175</v>
      </c>
      <c r="O118" s="10">
        <f t="shared" si="6"/>
        <v>1.2488629699476652</v>
      </c>
      <c r="P118" s="3"/>
      <c r="Q118" s="3"/>
      <c r="R118" s="3"/>
      <c r="S118" s="3"/>
      <c r="T118" s="3"/>
      <c r="U118" s="3"/>
      <c r="V118" s="3"/>
      <c r="W118" s="3"/>
      <c r="X118" s="3"/>
      <c r="Y118" s="3"/>
      <c r="Z118" s="3"/>
    </row>
    <row r="119" spans="1:26" ht="12.75" x14ac:dyDescent="0.2">
      <c r="A119" s="3"/>
      <c r="B119" s="2"/>
      <c r="C119" s="9" t="s">
        <v>180</v>
      </c>
      <c r="D119" s="2"/>
      <c r="E119" s="2"/>
      <c r="F119" s="10">
        <f t="shared" ref="F119:O119" si="7">F116/F118</f>
        <v>1</v>
      </c>
      <c r="G119" s="10">
        <f t="shared" si="7"/>
        <v>1.0526829268292683</v>
      </c>
      <c r="H119" s="10">
        <f t="shared" si="7"/>
        <v>1.1081413444378345</v>
      </c>
      <c r="I119" s="10">
        <f t="shared" si="7"/>
        <v>1.16652147380334</v>
      </c>
      <c r="J119" s="10">
        <f t="shared" si="7"/>
        <v>1.2279772392524917</v>
      </c>
      <c r="K119" s="10">
        <f t="shared" si="7"/>
        <v>1.2926706742960377</v>
      </c>
      <c r="L119" s="10">
        <f t="shared" si="7"/>
        <v>1.3607723488443169</v>
      </c>
      <c r="M119" s="10">
        <f t="shared" si="7"/>
        <v>1.4324618189297738</v>
      </c>
      <c r="N119" s="10">
        <f t="shared" si="7"/>
        <v>1.5079281001221716</v>
      </c>
      <c r="O119" s="10">
        <f t="shared" si="7"/>
        <v>1.5873701658847057</v>
      </c>
      <c r="P119" s="3"/>
      <c r="Q119" s="3"/>
      <c r="R119" s="3"/>
      <c r="S119" s="3"/>
      <c r="T119" s="3"/>
      <c r="U119" s="3"/>
      <c r="V119" s="3"/>
      <c r="W119" s="3"/>
      <c r="X119" s="3"/>
      <c r="Y119" s="3"/>
      <c r="Z119" s="3"/>
    </row>
    <row r="120" spans="1:26" ht="12.75" x14ac:dyDescent="0.2">
      <c r="A120" s="3"/>
      <c r="B120" s="2"/>
      <c r="C120" s="9" t="s">
        <v>181</v>
      </c>
      <c r="D120" s="2"/>
      <c r="E120" s="2"/>
      <c r="F120" s="23">
        <f t="shared" ref="F120:O120" si="8">$F$10</f>
        <v>157.54</v>
      </c>
      <c r="G120" s="23">
        <f t="shared" si="8"/>
        <v>157.54</v>
      </c>
      <c r="H120" s="23">
        <f t="shared" si="8"/>
        <v>157.54</v>
      </c>
      <c r="I120" s="23">
        <f t="shared" si="8"/>
        <v>157.54</v>
      </c>
      <c r="J120" s="23">
        <f t="shared" si="8"/>
        <v>157.54</v>
      </c>
      <c r="K120" s="23">
        <f t="shared" si="8"/>
        <v>157.54</v>
      </c>
      <c r="L120" s="23">
        <f t="shared" si="8"/>
        <v>157.54</v>
      </c>
      <c r="M120" s="23">
        <f t="shared" si="8"/>
        <v>157.54</v>
      </c>
      <c r="N120" s="23">
        <f t="shared" si="8"/>
        <v>157.54</v>
      </c>
      <c r="O120" s="23">
        <f t="shared" si="8"/>
        <v>157.54</v>
      </c>
      <c r="P120" s="3"/>
      <c r="Q120" s="3"/>
      <c r="R120" s="3"/>
      <c r="S120" s="3"/>
      <c r="T120" s="3"/>
      <c r="U120" s="3"/>
      <c r="V120" s="3"/>
      <c r="W120" s="3"/>
      <c r="X120" s="3"/>
      <c r="Y120" s="3"/>
      <c r="Z120" s="3"/>
    </row>
    <row r="121" spans="1:26" ht="12.75" x14ac:dyDescent="0.2">
      <c r="A121" s="3"/>
      <c r="B121" s="2"/>
      <c r="C121" s="9" t="s">
        <v>182</v>
      </c>
      <c r="D121" s="2"/>
      <c r="E121" s="2"/>
      <c r="F121" s="14">
        <f t="shared" ref="F121:O121" si="9">$F$11</f>
        <v>0</v>
      </c>
      <c r="G121" s="14">
        <f t="shared" si="9"/>
        <v>0</v>
      </c>
      <c r="H121" s="14">
        <f t="shared" si="9"/>
        <v>0</v>
      </c>
      <c r="I121" s="14">
        <f t="shared" si="9"/>
        <v>0</v>
      </c>
      <c r="J121" s="14">
        <f t="shared" si="9"/>
        <v>0</v>
      </c>
      <c r="K121" s="14">
        <f t="shared" si="9"/>
        <v>0</v>
      </c>
      <c r="L121" s="14">
        <f t="shared" si="9"/>
        <v>0</v>
      </c>
      <c r="M121" s="14">
        <f t="shared" si="9"/>
        <v>0</v>
      </c>
      <c r="N121" s="14">
        <f t="shared" si="9"/>
        <v>0</v>
      </c>
      <c r="O121" s="14">
        <f t="shared" si="9"/>
        <v>0</v>
      </c>
      <c r="P121" s="3"/>
      <c r="Q121" s="3"/>
      <c r="R121" s="3"/>
      <c r="S121" s="3"/>
      <c r="T121" s="3"/>
      <c r="U121" s="3"/>
      <c r="V121" s="3"/>
      <c r="W121" s="3"/>
      <c r="X121" s="3"/>
      <c r="Y121" s="3"/>
      <c r="Z121" s="3"/>
    </row>
    <row r="122" spans="1:26" ht="12.75" x14ac:dyDescent="0.2">
      <c r="A122" s="3"/>
      <c r="B122" s="2"/>
      <c r="C122" s="9" t="s">
        <v>183</v>
      </c>
      <c r="D122" s="2"/>
      <c r="E122" s="2"/>
      <c r="F122" s="23">
        <f t="shared" ref="F122:O122" si="10">F120*(1+F121)^F113</f>
        <v>157.54</v>
      </c>
      <c r="G122" s="23">
        <f t="shared" si="10"/>
        <v>157.54</v>
      </c>
      <c r="H122" s="23">
        <f t="shared" si="10"/>
        <v>157.54</v>
      </c>
      <c r="I122" s="23">
        <f t="shared" si="10"/>
        <v>157.54</v>
      </c>
      <c r="J122" s="23">
        <f t="shared" si="10"/>
        <v>157.54</v>
      </c>
      <c r="K122" s="23">
        <f t="shared" si="10"/>
        <v>157.54</v>
      </c>
      <c r="L122" s="23">
        <f t="shared" si="10"/>
        <v>157.54</v>
      </c>
      <c r="M122" s="23">
        <f t="shared" si="10"/>
        <v>157.54</v>
      </c>
      <c r="N122" s="23">
        <f t="shared" si="10"/>
        <v>157.54</v>
      </c>
      <c r="O122" s="23">
        <f t="shared" si="10"/>
        <v>157.54</v>
      </c>
      <c r="P122" s="3"/>
      <c r="Q122" s="3"/>
      <c r="R122" s="3"/>
      <c r="S122" s="3"/>
      <c r="T122" s="3"/>
      <c r="U122" s="3"/>
      <c r="V122" s="3"/>
      <c r="W122" s="3"/>
      <c r="X122" s="3"/>
      <c r="Y122" s="3"/>
      <c r="Z122" s="3"/>
    </row>
    <row r="123" spans="1:26" ht="12.75" x14ac:dyDescent="0.2">
      <c r="A123" s="3"/>
      <c r="B123" s="2"/>
      <c r="C123" s="9" t="s">
        <v>184</v>
      </c>
      <c r="D123" s="2"/>
      <c r="E123" s="2"/>
      <c r="F123" s="23">
        <f t="shared" ref="F123:O123" si="11">F122*F119</f>
        <v>157.54</v>
      </c>
      <c r="G123" s="23">
        <f t="shared" si="11"/>
        <v>165.83966829268292</v>
      </c>
      <c r="H123" s="23">
        <f t="shared" si="11"/>
        <v>174.57658740273644</v>
      </c>
      <c r="I123" s="23">
        <f t="shared" si="11"/>
        <v>183.77379298297819</v>
      </c>
      <c r="J123" s="23">
        <f t="shared" si="11"/>
        <v>193.45553427183754</v>
      </c>
      <c r="K123" s="23">
        <f t="shared" si="11"/>
        <v>203.64733802859777</v>
      </c>
      <c r="L123" s="23">
        <f t="shared" si="11"/>
        <v>214.37607583693367</v>
      </c>
      <c r="M123" s="23">
        <f t="shared" si="11"/>
        <v>225.67003495419655</v>
      </c>
      <c r="N123" s="23">
        <f t="shared" si="11"/>
        <v>237.55899289324691</v>
      </c>
      <c r="O123" s="23">
        <f t="shared" si="11"/>
        <v>250.07429593347652</v>
      </c>
      <c r="P123" s="3"/>
      <c r="Q123" s="3"/>
      <c r="R123" s="3"/>
      <c r="S123" s="3"/>
      <c r="T123" s="3"/>
      <c r="U123" s="3"/>
      <c r="V123" s="3"/>
      <c r="W123" s="3"/>
      <c r="X123" s="3"/>
      <c r="Y123" s="3"/>
      <c r="Z123" s="3"/>
    </row>
    <row r="124" spans="1:26" ht="12.75"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x14ac:dyDescent="0.2">
      <c r="A125" s="11"/>
      <c r="B125" s="4" t="s">
        <v>185</v>
      </c>
      <c r="C125" s="2"/>
      <c r="D125" s="4"/>
      <c r="E125" s="24"/>
      <c r="F125" s="4"/>
      <c r="G125" s="4"/>
      <c r="H125" s="4"/>
      <c r="I125" s="4"/>
      <c r="J125" s="4"/>
      <c r="K125" s="4"/>
      <c r="L125" s="4"/>
      <c r="M125" s="4"/>
      <c r="N125" s="4"/>
      <c r="O125" s="2"/>
      <c r="P125" s="3"/>
      <c r="Q125" s="3"/>
      <c r="R125" s="3"/>
      <c r="S125" s="3"/>
      <c r="T125" s="3"/>
      <c r="U125" s="3"/>
      <c r="V125" s="3"/>
      <c r="W125" s="3"/>
      <c r="X125" s="3"/>
      <c r="Y125" s="3"/>
      <c r="Z125" s="3"/>
    </row>
    <row r="126" spans="1:26" ht="12.75" x14ac:dyDescent="0.2">
      <c r="A126" s="11"/>
      <c r="B126" s="4"/>
      <c r="C126" s="9" t="s">
        <v>473</v>
      </c>
      <c r="D126" s="4"/>
      <c r="E126" s="24"/>
      <c r="F126" s="15">
        <f t="shared" ref="F126:O126" si="12">$F$32</f>
        <v>0</v>
      </c>
      <c r="G126" s="15">
        <f t="shared" si="12"/>
        <v>0</v>
      </c>
      <c r="H126" s="15">
        <f t="shared" si="12"/>
        <v>0</v>
      </c>
      <c r="I126" s="15">
        <f t="shared" si="12"/>
        <v>0</v>
      </c>
      <c r="J126" s="15">
        <f t="shared" si="12"/>
        <v>0</v>
      </c>
      <c r="K126" s="15">
        <f t="shared" si="12"/>
        <v>0</v>
      </c>
      <c r="L126" s="15">
        <f t="shared" si="12"/>
        <v>0</v>
      </c>
      <c r="M126" s="15">
        <f t="shared" si="12"/>
        <v>0</v>
      </c>
      <c r="N126" s="15">
        <f t="shared" si="12"/>
        <v>0</v>
      </c>
      <c r="O126" s="15">
        <f t="shared" si="12"/>
        <v>0</v>
      </c>
      <c r="P126" s="3"/>
      <c r="Q126" s="3"/>
      <c r="R126" s="3"/>
      <c r="S126" s="3"/>
      <c r="T126" s="3"/>
      <c r="U126" s="3"/>
      <c r="V126" s="3"/>
      <c r="W126" s="3"/>
      <c r="X126" s="3"/>
      <c r="Y126" s="3"/>
      <c r="Z126" s="3"/>
    </row>
    <row r="127" spans="1:26" ht="12.75" x14ac:dyDescent="0.2">
      <c r="A127" s="11"/>
      <c r="B127" s="4"/>
      <c r="C127" s="9" t="s">
        <v>187</v>
      </c>
      <c r="D127" s="4"/>
      <c r="E127" s="24"/>
      <c r="F127" s="25">
        <v>1</v>
      </c>
      <c r="G127" s="25">
        <f t="shared" ref="G127:O127" si="13">F127*(1+G126)</f>
        <v>1</v>
      </c>
      <c r="H127" s="25">
        <f t="shared" si="13"/>
        <v>1</v>
      </c>
      <c r="I127" s="25">
        <f t="shared" si="13"/>
        <v>1</v>
      </c>
      <c r="J127" s="25">
        <f t="shared" si="13"/>
        <v>1</v>
      </c>
      <c r="K127" s="25">
        <f t="shared" si="13"/>
        <v>1</v>
      </c>
      <c r="L127" s="25">
        <f t="shared" si="13"/>
        <v>1</v>
      </c>
      <c r="M127" s="25">
        <f t="shared" si="13"/>
        <v>1</v>
      </c>
      <c r="N127" s="25">
        <f t="shared" si="13"/>
        <v>1</v>
      </c>
      <c r="O127" s="25">
        <f t="shared" si="13"/>
        <v>1</v>
      </c>
      <c r="P127" s="3"/>
      <c r="Q127" s="3"/>
      <c r="R127" s="3"/>
      <c r="S127" s="3"/>
      <c r="T127" s="3"/>
      <c r="U127" s="3"/>
      <c r="V127" s="3"/>
      <c r="W127" s="3"/>
      <c r="X127" s="3"/>
      <c r="Y127" s="3"/>
      <c r="Z127" s="3"/>
    </row>
    <row r="128" spans="1:26" ht="12.75" x14ac:dyDescent="0.2">
      <c r="A128" s="11"/>
      <c r="B128" s="4"/>
      <c r="C128" s="9" t="s">
        <v>474</v>
      </c>
      <c r="D128" s="4"/>
      <c r="E128" s="24"/>
      <c r="F128" s="15">
        <f t="shared" ref="F128:O128" si="14">$I$33</f>
        <v>0.05</v>
      </c>
      <c r="G128" s="15">
        <f t="shared" si="14"/>
        <v>0.05</v>
      </c>
      <c r="H128" s="15">
        <f t="shared" si="14"/>
        <v>0.05</v>
      </c>
      <c r="I128" s="15">
        <f t="shared" si="14"/>
        <v>0.05</v>
      </c>
      <c r="J128" s="15">
        <f t="shared" si="14"/>
        <v>0.05</v>
      </c>
      <c r="K128" s="15">
        <f t="shared" si="14"/>
        <v>0.05</v>
      </c>
      <c r="L128" s="15">
        <f t="shared" si="14"/>
        <v>0.05</v>
      </c>
      <c r="M128" s="15">
        <f t="shared" si="14"/>
        <v>0.05</v>
      </c>
      <c r="N128" s="15">
        <f t="shared" si="14"/>
        <v>0.05</v>
      </c>
      <c r="O128" s="15">
        <f t="shared" si="14"/>
        <v>0.05</v>
      </c>
      <c r="P128" s="3"/>
      <c r="Q128" s="3"/>
      <c r="R128" s="3"/>
      <c r="S128" s="3"/>
      <c r="T128" s="3"/>
      <c r="U128" s="3"/>
      <c r="V128" s="3"/>
      <c r="W128" s="3"/>
      <c r="X128" s="3"/>
      <c r="Y128" s="3"/>
      <c r="Z128" s="3"/>
    </row>
    <row r="129" spans="1:26" ht="12.75" x14ac:dyDescent="0.2">
      <c r="A129" s="11"/>
      <c r="B129" s="4"/>
      <c r="C129" s="9" t="s">
        <v>189</v>
      </c>
      <c r="D129" s="4"/>
      <c r="E129" s="24"/>
      <c r="F129" s="25">
        <v>1</v>
      </c>
      <c r="G129" s="25">
        <f t="shared" ref="G129:O129" si="15">F129*(1+G128)</f>
        <v>1.05</v>
      </c>
      <c r="H129" s="25">
        <f t="shared" si="15"/>
        <v>1.1025</v>
      </c>
      <c r="I129" s="25">
        <f t="shared" si="15"/>
        <v>1.1576250000000001</v>
      </c>
      <c r="J129" s="25">
        <f t="shared" si="15"/>
        <v>1.2155062500000002</v>
      </c>
      <c r="K129" s="25">
        <f t="shared" si="15"/>
        <v>1.2762815625000004</v>
      </c>
      <c r="L129" s="25">
        <f t="shared" si="15"/>
        <v>1.3400956406250004</v>
      </c>
      <c r="M129" s="25">
        <f t="shared" si="15"/>
        <v>1.4071004226562505</v>
      </c>
      <c r="N129" s="25">
        <f t="shared" si="15"/>
        <v>1.477455443789063</v>
      </c>
      <c r="O129" s="25">
        <f t="shared" si="15"/>
        <v>1.5513282159785162</v>
      </c>
      <c r="P129" s="3"/>
      <c r="Q129" s="3"/>
      <c r="R129" s="3"/>
      <c r="S129" s="3"/>
      <c r="T129" s="3"/>
      <c r="U129" s="3"/>
      <c r="V129" s="3"/>
      <c r="W129" s="3"/>
      <c r="X129" s="3"/>
      <c r="Y129" s="3"/>
      <c r="Z129" s="3"/>
    </row>
    <row r="130" spans="1:26" ht="12.75" x14ac:dyDescent="0.2">
      <c r="A130" s="11"/>
      <c r="B130" s="4"/>
      <c r="C130" s="9" t="s">
        <v>190</v>
      </c>
      <c r="D130" s="4"/>
      <c r="E130" s="24"/>
      <c r="F130" s="15">
        <f t="shared" ref="F130:O130" si="16">$F$53</f>
        <v>0</v>
      </c>
      <c r="G130" s="15">
        <f t="shared" si="16"/>
        <v>0</v>
      </c>
      <c r="H130" s="15">
        <f t="shared" si="16"/>
        <v>0</v>
      </c>
      <c r="I130" s="15">
        <f t="shared" si="16"/>
        <v>0</v>
      </c>
      <c r="J130" s="15">
        <f t="shared" si="16"/>
        <v>0</v>
      </c>
      <c r="K130" s="15">
        <f t="shared" si="16"/>
        <v>0</v>
      </c>
      <c r="L130" s="15">
        <f t="shared" si="16"/>
        <v>0</v>
      </c>
      <c r="M130" s="15">
        <f t="shared" si="16"/>
        <v>0</v>
      </c>
      <c r="N130" s="15">
        <f t="shared" si="16"/>
        <v>0</v>
      </c>
      <c r="O130" s="15">
        <f t="shared" si="16"/>
        <v>0</v>
      </c>
      <c r="P130" s="3"/>
      <c r="Q130" s="3"/>
      <c r="R130" s="3"/>
      <c r="S130" s="3"/>
      <c r="T130" s="3"/>
      <c r="U130" s="3"/>
      <c r="V130" s="3"/>
      <c r="W130" s="3"/>
      <c r="X130" s="3"/>
      <c r="Y130" s="3"/>
      <c r="Z130" s="3"/>
    </row>
    <row r="131" spans="1:26" ht="12.75" x14ac:dyDescent="0.2">
      <c r="A131" s="11"/>
      <c r="B131" s="4"/>
      <c r="C131" s="9" t="s">
        <v>191</v>
      </c>
      <c r="D131" s="4"/>
      <c r="E131" s="24"/>
      <c r="F131" s="25">
        <v>1</v>
      </c>
      <c r="G131" s="25">
        <f t="shared" ref="G131:O131" si="17">F131*(1+G130)</f>
        <v>1</v>
      </c>
      <c r="H131" s="25">
        <f t="shared" si="17"/>
        <v>1</v>
      </c>
      <c r="I131" s="25">
        <f t="shared" si="17"/>
        <v>1</v>
      </c>
      <c r="J131" s="25">
        <f t="shared" si="17"/>
        <v>1</v>
      </c>
      <c r="K131" s="25">
        <f t="shared" si="17"/>
        <v>1</v>
      </c>
      <c r="L131" s="25">
        <f t="shared" si="17"/>
        <v>1</v>
      </c>
      <c r="M131" s="25">
        <f t="shared" si="17"/>
        <v>1</v>
      </c>
      <c r="N131" s="25">
        <f t="shared" si="17"/>
        <v>1</v>
      </c>
      <c r="O131" s="25">
        <f t="shared" si="17"/>
        <v>1</v>
      </c>
      <c r="P131" s="3"/>
      <c r="Q131" s="3"/>
      <c r="R131" s="3"/>
      <c r="S131" s="3"/>
      <c r="T131" s="3"/>
      <c r="U131" s="3"/>
      <c r="V131" s="3"/>
      <c r="W131" s="3"/>
      <c r="X131" s="3"/>
      <c r="Y131" s="3"/>
      <c r="Z131" s="3"/>
    </row>
    <row r="132" spans="1:26" ht="12.75" x14ac:dyDescent="0.2">
      <c r="A132" s="11"/>
      <c r="B132" s="11"/>
      <c r="C132" s="3"/>
      <c r="D132" s="11"/>
      <c r="E132" s="26"/>
      <c r="F132" s="11"/>
      <c r="G132" s="11"/>
      <c r="H132" s="11"/>
      <c r="I132" s="11"/>
      <c r="J132" s="11"/>
      <c r="K132" s="11"/>
      <c r="L132" s="11"/>
      <c r="M132" s="11"/>
      <c r="N132" s="11"/>
      <c r="O132" s="3"/>
      <c r="P132" s="3"/>
      <c r="Q132" s="3"/>
      <c r="R132" s="3"/>
      <c r="S132" s="3"/>
      <c r="T132" s="3"/>
      <c r="U132" s="3"/>
      <c r="V132" s="3"/>
      <c r="W132" s="3"/>
      <c r="X132" s="3"/>
      <c r="Y132" s="3"/>
      <c r="Z132" s="3"/>
    </row>
    <row r="133" spans="1:26" ht="12.75" x14ac:dyDescent="0.2">
      <c r="A133" s="11"/>
      <c r="B133" s="42" t="s">
        <v>604</v>
      </c>
      <c r="C133" s="43"/>
      <c r="D133" s="44"/>
      <c r="E133" s="45"/>
      <c r="F133" s="44"/>
      <c r="G133" s="44"/>
      <c r="H133" s="44"/>
      <c r="I133" s="44"/>
      <c r="J133" s="44"/>
      <c r="K133" s="44"/>
      <c r="L133" s="44"/>
      <c r="M133" s="44"/>
      <c r="N133" s="44"/>
      <c r="O133" s="43"/>
      <c r="P133" s="3"/>
      <c r="Q133" s="3"/>
      <c r="R133" s="3"/>
      <c r="S133" s="3"/>
      <c r="T133" s="3"/>
      <c r="U133" s="3"/>
      <c r="V133" s="3"/>
      <c r="W133" s="3"/>
      <c r="X133" s="3"/>
      <c r="Y133" s="3"/>
      <c r="Z133" s="3"/>
    </row>
    <row r="134" spans="1:26" ht="12.75" x14ac:dyDescent="0.2">
      <c r="A134" s="11"/>
      <c r="B134" s="42"/>
      <c r="C134" s="480" t="s">
        <v>885</v>
      </c>
      <c r="D134" s="44"/>
      <c r="E134" s="45"/>
      <c r="F134" s="252">
        <f>F73</f>
        <v>30</v>
      </c>
      <c r="G134" s="47"/>
      <c r="H134" s="47"/>
      <c r="I134" s="47"/>
      <c r="J134" s="47"/>
      <c r="K134" s="47"/>
      <c r="L134" s="47"/>
      <c r="M134" s="47"/>
      <c r="N134" s="47"/>
      <c r="O134" s="47"/>
      <c r="P134" s="3"/>
      <c r="Q134" s="3"/>
      <c r="R134" s="3"/>
      <c r="S134" s="3"/>
      <c r="T134" s="3"/>
      <c r="U134" s="3"/>
      <c r="V134" s="3"/>
      <c r="W134" s="3"/>
      <c r="X134" s="3"/>
      <c r="Y134" s="3"/>
      <c r="Z134" s="3"/>
    </row>
    <row r="135" spans="1:26" ht="12.75" x14ac:dyDescent="0.2">
      <c r="A135" s="11"/>
      <c r="B135" s="44"/>
      <c r="C135" s="46" t="s">
        <v>605</v>
      </c>
      <c r="D135" s="44"/>
      <c r="E135" s="45"/>
      <c r="F135" s="252">
        <f t="shared" ref="F135:O135" si="18">$F$134-G138*($F$134/$F$65)</f>
        <v>29</v>
      </c>
      <c r="G135" s="252">
        <f t="shared" si="18"/>
        <v>28</v>
      </c>
      <c r="H135" s="252">
        <f t="shared" si="18"/>
        <v>27</v>
      </c>
      <c r="I135" s="252">
        <f t="shared" si="18"/>
        <v>26</v>
      </c>
      <c r="J135" s="252">
        <f t="shared" si="18"/>
        <v>25</v>
      </c>
      <c r="K135" s="252">
        <f t="shared" si="18"/>
        <v>24</v>
      </c>
      <c r="L135" s="252">
        <f t="shared" si="18"/>
        <v>23</v>
      </c>
      <c r="M135" s="252">
        <f t="shared" si="18"/>
        <v>22</v>
      </c>
      <c r="N135" s="252">
        <f t="shared" si="18"/>
        <v>21</v>
      </c>
      <c r="O135" s="252">
        <f t="shared" si="18"/>
        <v>20</v>
      </c>
      <c r="P135" s="3"/>
      <c r="Q135" s="3"/>
      <c r="R135" s="3"/>
      <c r="S135" s="3"/>
      <c r="T135" s="3"/>
      <c r="U135" s="3"/>
      <c r="V135" s="3"/>
      <c r="W135" s="3"/>
      <c r="X135" s="3"/>
      <c r="Y135" s="3"/>
      <c r="Z135" s="3"/>
    </row>
    <row r="136" spans="1:26" ht="12.75" x14ac:dyDescent="0.2">
      <c r="A136" s="11"/>
      <c r="B136" s="11"/>
      <c r="C136" s="3"/>
      <c r="D136" s="11"/>
      <c r="E136" s="26"/>
      <c r="F136" s="11"/>
      <c r="G136" s="11"/>
      <c r="H136" s="11"/>
      <c r="I136" s="11"/>
      <c r="J136" s="11"/>
      <c r="K136" s="11"/>
      <c r="L136" s="11"/>
      <c r="M136" s="11"/>
      <c r="N136" s="11"/>
      <c r="O136" s="3"/>
      <c r="P136" s="3"/>
      <c r="Q136" s="3"/>
      <c r="R136" s="3"/>
      <c r="S136" s="3"/>
      <c r="T136" s="3"/>
      <c r="U136" s="3"/>
      <c r="V136" s="3"/>
      <c r="W136" s="3"/>
      <c r="X136" s="3"/>
      <c r="Y136" s="3"/>
      <c r="Z136" s="3"/>
    </row>
    <row r="137" spans="1:26" ht="12.75" x14ac:dyDescent="0.2">
      <c r="A137" s="11"/>
      <c r="B137" s="42" t="s">
        <v>623</v>
      </c>
      <c r="C137" s="43"/>
      <c r="D137" s="44"/>
      <c r="E137" s="45"/>
      <c r="F137" s="44"/>
      <c r="G137" s="44"/>
      <c r="H137" s="44"/>
      <c r="I137" s="44"/>
      <c r="J137" s="44"/>
      <c r="K137" s="44"/>
      <c r="L137" s="44"/>
      <c r="M137" s="44"/>
      <c r="N137" s="44"/>
      <c r="O137" s="43"/>
      <c r="P137" s="3"/>
      <c r="Q137" s="3"/>
      <c r="R137" s="3"/>
      <c r="S137" s="3"/>
      <c r="T137" s="3"/>
      <c r="U137" s="3"/>
      <c r="V137" s="3"/>
      <c r="W137" s="3"/>
      <c r="X137" s="3"/>
      <c r="Y137" s="3"/>
      <c r="Z137" s="3"/>
    </row>
    <row r="138" spans="1:26" ht="12.75" x14ac:dyDescent="0.2">
      <c r="A138" s="11"/>
      <c r="B138" s="42"/>
      <c r="C138" s="46" t="s">
        <v>621</v>
      </c>
      <c r="D138" s="44"/>
      <c r="E138" s="45"/>
      <c r="F138" s="44">
        <v>0</v>
      </c>
      <c r="G138" s="44">
        <v>1</v>
      </c>
      <c r="H138" s="44">
        <v>2</v>
      </c>
      <c r="I138" s="44">
        <v>3</v>
      </c>
      <c r="J138" s="44">
        <v>4</v>
      </c>
      <c r="K138" s="44">
        <v>5</v>
      </c>
      <c r="L138" s="44">
        <v>6</v>
      </c>
      <c r="M138" s="44">
        <v>7</v>
      </c>
      <c r="N138" s="44">
        <v>8</v>
      </c>
      <c r="O138" s="65">
        <v>9</v>
      </c>
      <c r="P138" s="352">
        <v>10</v>
      </c>
      <c r="Q138" s="3"/>
      <c r="R138" s="3"/>
      <c r="S138" s="3"/>
      <c r="T138" s="3"/>
      <c r="U138" s="3"/>
      <c r="V138" s="3"/>
      <c r="W138" s="3"/>
      <c r="X138" s="3"/>
      <c r="Y138" s="3"/>
      <c r="Z138" s="3"/>
    </row>
    <row r="139" spans="1:26" ht="12.75" x14ac:dyDescent="0.2">
      <c r="A139" s="11"/>
      <c r="B139" s="42"/>
      <c r="C139" s="46" t="s">
        <v>620</v>
      </c>
      <c r="D139" s="44"/>
      <c r="E139" s="45"/>
      <c r="F139" s="252">
        <f>IF(MOD(F138,$I$61)=0,1,0)</f>
        <v>1</v>
      </c>
      <c r="G139" s="252">
        <f t="shared" ref="G139:O139" si="19">IF(MOD(G138,$I$61)=0,1,0)</f>
        <v>0</v>
      </c>
      <c r="H139" s="252">
        <f t="shared" si="19"/>
        <v>0</v>
      </c>
      <c r="I139" s="252">
        <f t="shared" si="19"/>
        <v>0</v>
      </c>
      <c r="J139" s="252">
        <f t="shared" si="19"/>
        <v>0</v>
      </c>
      <c r="K139" s="252">
        <f t="shared" si="19"/>
        <v>0</v>
      </c>
      <c r="L139" s="252">
        <f t="shared" si="19"/>
        <v>0</v>
      </c>
      <c r="M139" s="252">
        <f t="shared" si="19"/>
        <v>0</v>
      </c>
      <c r="N139" s="252">
        <f t="shared" si="19"/>
        <v>0</v>
      </c>
      <c r="O139" s="252">
        <f t="shared" si="19"/>
        <v>0</v>
      </c>
      <c r="P139" s="3"/>
      <c r="Q139" s="3"/>
      <c r="R139" s="3"/>
      <c r="S139" s="3"/>
      <c r="T139" s="3"/>
      <c r="U139" s="3"/>
      <c r="V139" s="3"/>
      <c r="W139" s="3"/>
      <c r="X139" s="3"/>
      <c r="Y139" s="3"/>
      <c r="Z139" s="3"/>
    </row>
    <row r="140" spans="1:26" ht="12.75" x14ac:dyDescent="0.2">
      <c r="A140" s="11"/>
      <c r="B140" s="42"/>
      <c r="C140" s="46" t="s">
        <v>624</v>
      </c>
      <c r="D140" s="44"/>
      <c r="E140" s="45"/>
      <c r="F140" s="252">
        <f>F139*$I$60</f>
        <v>14000</v>
      </c>
      <c r="G140" s="252">
        <f t="shared" ref="G140:O140" si="20">G139*$I$60</f>
        <v>0</v>
      </c>
      <c r="H140" s="252">
        <f t="shared" si="20"/>
        <v>0</v>
      </c>
      <c r="I140" s="252">
        <f t="shared" si="20"/>
        <v>0</v>
      </c>
      <c r="J140" s="252">
        <f t="shared" si="20"/>
        <v>0</v>
      </c>
      <c r="K140" s="252">
        <f t="shared" si="20"/>
        <v>0</v>
      </c>
      <c r="L140" s="252">
        <f t="shared" si="20"/>
        <v>0</v>
      </c>
      <c r="M140" s="252">
        <f t="shared" si="20"/>
        <v>0</v>
      </c>
      <c r="N140" s="252">
        <f t="shared" si="20"/>
        <v>0</v>
      </c>
      <c r="O140" s="252">
        <f t="shared" si="20"/>
        <v>0</v>
      </c>
      <c r="P140" s="3"/>
      <c r="Q140" s="3"/>
      <c r="R140" s="3"/>
      <c r="S140" s="3"/>
      <c r="T140" s="3"/>
      <c r="U140" s="3"/>
      <c r="V140" s="3"/>
      <c r="W140" s="3"/>
      <c r="X140" s="3"/>
      <c r="Y140" s="3"/>
      <c r="Z140" s="3"/>
    </row>
    <row r="141" spans="1:26" ht="12.75" x14ac:dyDescent="0.2">
      <c r="A141" s="11"/>
      <c r="B141" s="42"/>
      <c r="C141" s="46" t="s">
        <v>622</v>
      </c>
      <c r="D141" s="44"/>
      <c r="E141" s="45"/>
      <c r="F141" s="252">
        <f>$I$60/$I$61</f>
        <v>1400</v>
      </c>
      <c r="G141" s="252">
        <f t="shared" ref="G141:O141" si="21">$I$60/$I$61</f>
        <v>1400</v>
      </c>
      <c r="H141" s="252">
        <f t="shared" si="21"/>
        <v>1400</v>
      </c>
      <c r="I141" s="252">
        <f t="shared" si="21"/>
        <v>1400</v>
      </c>
      <c r="J141" s="252">
        <f t="shared" si="21"/>
        <v>1400</v>
      </c>
      <c r="K141" s="252">
        <f t="shared" si="21"/>
        <v>1400</v>
      </c>
      <c r="L141" s="252">
        <f t="shared" si="21"/>
        <v>1400</v>
      </c>
      <c r="M141" s="252">
        <f t="shared" si="21"/>
        <v>1400</v>
      </c>
      <c r="N141" s="252">
        <f t="shared" si="21"/>
        <v>1400</v>
      </c>
      <c r="O141" s="252">
        <f t="shared" si="21"/>
        <v>1400</v>
      </c>
      <c r="P141" s="3"/>
      <c r="Q141" s="3"/>
      <c r="R141" s="3"/>
      <c r="S141" s="3"/>
      <c r="T141" s="3"/>
      <c r="U141" s="3"/>
      <c r="V141" s="3"/>
      <c r="W141" s="3"/>
      <c r="X141" s="3"/>
      <c r="Y141" s="3"/>
      <c r="Z141" s="3"/>
    </row>
    <row r="142" spans="1:26" ht="12.75" x14ac:dyDescent="0.2">
      <c r="A142" s="11"/>
      <c r="B142" s="44"/>
      <c r="C142" s="46" t="s">
        <v>625</v>
      </c>
      <c r="D142" s="44"/>
      <c r="E142" s="45"/>
      <c r="F142" s="252">
        <f>IF(F139=1,F140-F141,E142-F141)</f>
        <v>12600</v>
      </c>
      <c r="G142" s="252">
        <f t="shared" ref="G142:O142" si="22">IF(G139=1,G140-G141,F142-G141)</f>
        <v>11200</v>
      </c>
      <c r="H142" s="252">
        <f t="shared" si="22"/>
        <v>9800</v>
      </c>
      <c r="I142" s="252">
        <f t="shared" si="22"/>
        <v>8400</v>
      </c>
      <c r="J142" s="252">
        <f t="shared" si="22"/>
        <v>7000</v>
      </c>
      <c r="K142" s="252">
        <f t="shared" si="22"/>
        <v>5600</v>
      </c>
      <c r="L142" s="252">
        <f t="shared" si="22"/>
        <v>4200</v>
      </c>
      <c r="M142" s="252">
        <f t="shared" si="22"/>
        <v>2800</v>
      </c>
      <c r="N142" s="252">
        <f t="shared" si="22"/>
        <v>1400</v>
      </c>
      <c r="O142" s="252">
        <f t="shared" si="22"/>
        <v>0</v>
      </c>
      <c r="P142" s="3"/>
      <c r="Q142" s="3"/>
      <c r="R142" s="3"/>
      <c r="S142" s="3"/>
      <c r="T142" s="3"/>
      <c r="U142" s="3"/>
      <c r="V142" s="3"/>
      <c r="W142" s="3"/>
      <c r="X142" s="3"/>
      <c r="Y142" s="3"/>
      <c r="Z142" s="3"/>
    </row>
    <row r="143" spans="1:26" ht="12.75" x14ac:dyDescent="0.2">
      <c r="A143" s="11"/>
      <c r="B143" s="11"/>
      <c r="C143" s="3"/>
      <c r="D143" s="11"/>
      <c r="E143" s="26"/>
      <c r="F143" s="11"/>
      <c r="G143" s="11"/>
      <c r="H143" s="11"/>
      <c r="I143" s="11"/>
      <c r="J143" s="11"/>
      <c r="K143" s="11"/>
      <c r="L143" s="11"/>
      <c r="M143" s="11"/>
      <c r="N143" s="11"/>
      <c r="O143" s="3"/>
      <c r="P143" s="3"/>
      <c r="Q143" s="3"/>
      <c r="R143" s="3"/>
      <c r="S143" s="3"/>
      <c r="T143" s="3"/>
      <c r="U143" s="3"/>
      <c r="V143" s="3"/>
      <c r="W143" s="3"/>
      <c r="X143" s="3"/>
      <c r="Y143" s="3"/>
      <c r="Z143" s="3"/>
    </row>
    <row r="144" spans="1:26" s="57" customFormat="1" ht="12.75" x14ac:dyDescent="0.2">
      <c r="A144" s="52" t="s">
        <v>192</v>
      </c>
      <c r="B144" s="44"/>
      <c r="C144" s="46"/>
      <c r="D144" s="44"/>
      <c r="E144" s="45"/>
      <c r="F144" s="47"/>
      <c r="G144" s="47"/>
      <c r="H144" s="47"/>
      <c r="I144" s="47"/>
      <c r="J144" s="47"/>
      <c r="K144" s="47"/>
      <c r="L144" s="47"/>
      <c r="M144" s="47"/>
      <c r="N144" s="47"/>
      <c r="O144" s="47"/>
      <c r="P144" s="251">
        <v>10</v>
      </c>
      <c r="Q144" s="43"/>
      <c r="R144" s="43"/>
      <c r="S144" s="43"/>
      <c r="T144" s="43"/>
      <c r="U144" s="43"/>
      <c r="V144" s="43"/>
      <c r="W144" s="43"/>
      <c r="X144" s="43"/>
      <c r="Y144" s="43"/>
      <c r="Z144" s="43"/>
    </row>
    <row r="145" spans="1:26" ht="12.75" x14ac:dyDescent="0.2">
      <c r="A145" s="3"/>
      <c r="B145" s="4" t="s">
        <v>194</v>
      </c>
      <c r="C145" s="9"/>
      <c r="D145" s="2"/>
      <c r="E145" s="2"/>
      <c r="F145" s="2"/>
      <c r="G145" s="2"/>
      <c r="H145" s="2"/>
      <c r="I145" s="2"/>
      <c r="J145" s="2"/>
      <c r="K145" s="2"/>
      <c r="L145" s="2"/>
      <c r="M145" s="2"/>
      <c r="N145" s="2"/>
      <c r="O145" s="2"/>
      <c r="P145" s="3"/>
      <c r="Q145" s="3"/>
      <c r="R145" s="3"/>
      <c r="S145" s="3"/>
      <c r="T145" s="3"/>
      <c r="U145" s="3"/>
      <c r="V145" s="3"/>
      <c r="W145" s="3"/>
      <c r="X145" s="3"/>
      <c r="Y145" s="3"/>
      <c r="Z145" s="3"/>
    </row>
    <row r="146" spans="1:26" ht="12.75" x14ac:dyDescent="0.2">
      <c r="A146" s="3"/>
      <c r="B146" s="2"/>
      <c r="C146" s="9" t="s">
        <v>472</v>
      </c>
      <c r="D146" s="2"/>
      <c r="E146" s="2"/>
      <c r="F146" s="39">
        <f t="shared" ref="F146:O146" si="23">$F$25*$F$30*F127</f>
        <v>0.60000000000000009</v>
      </c>
      <c r="G146" s="39">
        <f t="shared" si="23"/>
        <v>0.60000000000000009</v>
      </c>
      <c r="H146" s="39">
        <f t="shared" si="23"/>
        <v>0.60000000000000009</v>
      </c>
      <c r="I146" s="39">
        <f t="shared" si="23"/>
        <v>0.60000000000000009</v>
      </c>
      <c r="J146" s="39">
        <f t="shared" si="23"/>
        <v>0.60000000000000009</v>
      </c>
      <c r="K146" s="39">
        <f t="shared" si="23"/>
        <v>0.60000000000000009</v>
      </c>
      <c r="L146" s="39">
        <f t="shared" si="23"/>
        <v>0.60000000000000009</v>
      </c>
      <c r="M146" s="39">
        <f t="shared" si="23"/>
        <v>0.60000000000000009</v>
      </c>
      <c r="N146" s="39">
        <f t="shared" si="23"/>
        <v>0.60000000000000009</v>
      </c>
      <c r="O146" s="39">
        <f t="shared" si="23"/>
        <v>0.60000000000000009</v>
      </c>
      <c r="P146" s="3"/>
      <c r="Q146" s="3"/>
      <c r="R146" s="3"/>
      <c r="S146" s="3"/>
      <c r="T146" s="3"/>
      <c r="U146" s="3"/>
      <c r="V146" s="3"/>
      <c r="W146" s="3"/>
      <c r="X146" s="3"/>
      <c r="Y146" s="3"/>
      <c r="Z146" s="3"/>
    </row>
    <row r="147" spans="1:26" ht="12.75" x14ac:dyDescent="0.2">
      <c r="A147" s="3"/>
      <c r="B147" s="2"/>
      <c r="C147" s="27" t="s">
        <v>232</v>
      </c>
      <c r="D147" s="2"/>
      <c r="E147" s="2"/>
      <c r="F147" s="39">
        <f>$F$34*F146</f>
        <v>0.30000000000000004</v>
      </c>
      <c r="G147" s="39">
        <f t="shared" ref="G147:O147" si="24">$F$34*G146</f>
        <v>0.30000000000000004</v>
      </c>
      <c r="H147" s="39">
        <f t="shared" si="24"/>
        <v>0.30000000000000004</v>
      </c>
      <c r="I147" s="39">
        <f t="shared" si="24"/>
        <v>0.30000000000000004</v>
      </c>
      <c r="J147" s="39">
        <f t="shared" si="24"/>
        <v>0.30000000000000004</v>
      </c>
      <c r="K147" s="39">
        <f t="shared" si="24"/>
        <v>0.30000000000000004</v>
      </c>
      <c r="L147" s="39">
        <f t="shared" si="24"/>
        <v>0.30000000000000004</v>
      </c>
      <c r="M147" s="39">
        <f t="shared" si="24"/>
        <v>0.30000000000000004</v>
      </c>
      <c r="N147" s="39">
        <f t="shared" si="24"/>
        <v>0.30000000000000004</v>
      </c>
      <c r="O147" s="39">
        <f t="shared" si="24"/>
        <v>0.30000000000000004</v>
      </c>
      <c r="P147" s="3"/>
      <c r="Q147" s="3"/>
      <c r="R147" s="3"/>
      <c r="S147" s="3"/>
      <c r="T147" s="3"/>
      <c r="U147" s="3"/>
      <c r="V147" s="3"/>
      <c r="W147" s="3"/>
      <c r="X147" s="3"/>
      <c r="Y147" s="3"/>
      <c r="Z147" s="3"/>
    </row>
    <row r="148" spans="1:26" ht="12.75" x14ac:dyDescent="0.2">
      <c r="A148" s="3"/>
      <c r="B148" s="2"/>
      <c r="C148" s="27" t="s">
        <v>475</v>
      </c>
      <c r="D148" s="2"/>
      <c r="E148" s="2"/>
      <c r="F148" s="39">
        <f>$F$27/1000</f>
        <v>0</v>
      </c>
      <c r="G148" s="39">
        <f t="shared" ref="G148:O148" si="25">$F$27/1000</f>
        <v>0</v>
      </c>
      <c r="H148" s="39">
        <f t="shared" si="25"/>
        <v>0</v>
      </c>
      <c r="I148" s="39">
        <f t="shared" si="25"/>
        <v>0</v>
      </c>
      <c r="J148" s="39">
        <f t="shared" si="25"/>
        <v>0</v>
      </c>
      <c r="K148" s="39">
        <f t="shared" si="25"/>
        <v>0</v>
      </c>
      <c r="L148" s="39">
        <f t="shared" si="25"/>
        <v>0</v>
      </c>
      <c r="M148" s="39">
        <f t="shared" si="25"/>
        <v>0</v>
      </c>
      <c r="N148" s="39">
        <f t="shared" si="25"/>
        <v>0</v>
      </c>
      <c r="O148" s="39">
        <f t="shared" si="25"/>
        <v>0</v>
      </c>
      <c r="P148" s="3"/>
      <c r="Q148" s="3"/>
      <c r="R148" s="3"/>
      <c r="S148" s="3"/>
      <c r="T148" s="3"/>
      <c r="U148" s="3"/>
      <c r="V148" s="3"/>
      <c r="W148" s="3"/>
      <c r="X148" s="3"/>
      <c r="Y148" s="3"/>
      <c r="Z148" s="3"/>
    </row>
    <row r="149" spans="1:26" ht="12.75" x14ac:dyDescent="0.2">
      <c r="A149" s="3"/>
      <c r="B149" s="2"/>
      <c r="C149" s="9" t="s">
        <v>477</v>
      </c>
      <c r="D149" s="2"/>
      <c r="E149" s="2"/>
      <c r="F149" s="39">
        <f>F146-F147-F148</f>
        <v>0.30000000000000004</v>
      </c>
      <c r="G149" s="39">
        <f t="shared" ref="G149:O149" si="26">G146-G147-G148</f>
        <v>0.30000000000000004</v>
      </c>
      <c r="H149" s="39">
        <f t="shared" si="26"/>
        <v>0.30000000000000004</v>
      </c>
      <c r="I149" s="39">
        <f t="shared" si="26"/>
        <v>0.30000000000000004</v>
      </c>
      <c r="J149" s="39">
        <f t="shared" si="26"/>
        <v>0.30000000000000004</v>
      </c>
      <c r="K149" s="39">
        <f t="shared" si="26"/>
        <v>0.30000000000000004</v>
      </c>
      <c r="L149" s="39">
        <f t="shared" si="26"/>
        <v>0.30000000000000004</v>
      </c>
      <c r="M149" s="39">
        <f t="shared" si="26"/>
        <v>0.30000000000000004</v>
      </c>
      <c r="N149" s="39">
        <f t="shared" si="26"/>
        <v>0.30000000000000004</v>
      </c>
      <c r="O149" s="39">
        <f t="shared" si="26"/>
        <v>0.30000000000000004</v>
      </c>
      <c r="P149" s="3"/>
      <c r="Q149" s="3"/>
      <c r="R149" s="3"/>
      <c r="S149" s="3"/>
      <c r="T149" s="3"/>
      <c r="U149" s="3"/>
      <c r="V149" s="3"/>
      <c r="W149" s="3"/>
      <c r="X149" s="3"/>
      <c r="Y149" s="3"/>
      <c r="Z149" s="3"/>
    </row>
    <row r="150" spans="1:26" ht="12.75" x14ac:dyDescent="0.2">
      <c r="A150" s="3"/>
      <c r="B150" s="3"/>
      <c r="C150" s="12"/>
      <c r="D150" s="3"/>
      <c r="E150" s="3"/>
      <c r="F150" s="28"/>
      <c r="G150" s="28"/>
      <c r="H150" s="28"/>
      <c r="I150" s="28"/>
      <c r="J150" s="28"/>
      <c r="K150" s="28"/>
      <c r="L150" s="28"/>
      <c r="M150" s="3"/>
      <c r="N150" s="3"/>
      <c r="O150" s="3"/>
      <c r="P150" s="3"/>
      <c r="Q150" s="3"/>
      <c r="R150" s="3"/>
      <c r="S150" s="3"/>
      <c r="T150" s="3"/>
      <c r="U150" s="3"/>
      <c r="V150" s="3"/>
      <c r="W150" s="3"/>
      <c r="X150" s="3"/>
      <c r="Y150" s="3"/>
      <c r="Z150" s="3"/>
    </row>
    <row r="151" spans="1:26" ht="12.75" x14ac:dyDescent="0.2">
      <c r="A151" s="3"/>
      <c r="B151" s="4" t="s">
        <v>858</v>
      </c>
      <c r="C151" s="9"/>
      <c r="D151" s="2"/>
      <c r="E151" s="2"/>
      <c r="F151" s="397"/>
      <c r="G151" s="397"/>
      <c r="H151" s="397"/>
      <c r="I151" s="397"/>
      <c r="J151" s="397"/>
      <c r="K151" s="397"/>
      <c r="L151" s="397"/>
      <c r="M151" s="397"/>
      <c r="N151" s="397"/>
      <c r="O151" s="397"/>
      <c r="P151" s="3"/>
      <c r="Q151" s="3"/>
      <c r="R151" s="3"/>
      <c r="S151" s="3"/>
      <c r="T151" s="3"/>
      <c r="U151" s="3"/>
      <c r="V151" s="3"/>
      <c r="W151" s="3"/>
      <c r="X151" s="3"/>
      <c r="Y151" s="3"/>
      <c r="Z151" s="3"/>
    </row>
    <row r="152" spans="1:26" ht="12.75" x14ac:dyDescent="0.2">
      <c r="A152" s="3"/>
      <c r="B152" s="2"/>
      <c r="C152" s="9" t="s">
        <v>472</v>
      </c>
      <c r="D152" s="2"/>
      <c r="E152" s="2"/>
      <c r="F152" s="39">
        <f t="shared" ref="F152:O152" si="27">MIN($I$25*$I$30*F$129,$I$31*$I$25)</f>
        <v>0.83999999999999986</v>
      </c>
      <c r="G152" s="39">
        <f t="shared" si="27"/>
        <v>0.8819999999999999</v>
      </c>
      <c r="H152" s="39">
        <f t="shared" si="27"/>
        <v>0.92609999999999992</v>
      </c>
      <c r="I152" s="39">
        <f t="shared" si="27"/>
        <v>0.97240499999999996</v>
      </c>
      <c r="J152" s="39">
        <f t="shared" si="27"/>
        <v>1.0210252500000001</v>
      </c>
      <c r="K152" s="39">
        <f t="shared" si="27"/>
        <v>1.0499999999999998</v>
      </c>
      <c r="L152" s="39">
        <f t="shared" si="27"/>
        <v>1.0499999999999998</v>
      </c>
      <c r="M152" s="39">
        <f t="shared" si="27"/>
        <v>1.0499999999999998</v>
      </c>
      <c r="N152" s="39">
        <f t="shared" si="27"/>
        <v>1.0499999999999998</v>
      </c>
      <c r="O152" s="39">
        <f t="shared" si="27"/>
        <v>1.0499999999999998</v>
      </c>
      <c r="P152" s="3"/>
      <c r="Q152" s="3"/>
      <c r="R152" s="3"/>
      <c r="S152" s="3"/>
      <c r="T152" s="3"/>
      <c r="U152" s="3"/>
      <c r="V152" s="3"/>
      <c r="W152" s="3"/>
      <c r="X152" s="3"/>
      <c r="Y152" s="3"/>
      <c r="Z152" s="3"/>
    </row>
    <row r="153" spans="1:26" ht="12.75" x14ac:dyDescent="0.2">
      <c r="A153" s="3"/>
      <c r="B153" s="2"/>
      <c r="C153" s="27" t="s">
        <v>232</v>
      </c>
      <c r="D153" s="2"/>
      <c r="E153" s="2"/>
      <c r="F153" s="39">
        <f t="shared" ref="F153:O153" si="28">IF(F138&lt;=$I$35,($F$34-(F138*$I$36)),$I$34)*F152</f>
        <v>0.41999999999999993</v>
      </c>
      <c r="G153" s="39">
        <f t="shared" si="28"/>
        <v>0.3528</v>
      </c>
      <c r="H153" s="39">
        <f t="shared" si="28"/>
        <v>0.27783000000000002</v>
      </c>
      <c r="I153" s="39">
        <f t="shared" si="28"/>
        <v>0.19448100000000001</v>
      </c>
      <c r="J153" s="39">
        <f t="shared" si="28"/>
        <v>0.20420505000000003</v>
      </c>
      <c r="K153" s="39">
        <f t="shared" si="28"/>
        <v>0.20999999999999996</v>
      </c>
      <c r="L153" s="39">
        <f t="shared" si="28"/>
        <v>0.20999999999999996</v>
      </c>
      <c r="M153" s="39">
        <f t="shared" si="28"/>
        <v>0.20999999999999996</v>
      </c>
      <c r="N153" s="39">
        <f t="shared" si="28"/>
        <v>0.20999999999999996</v>
      </c>
      <c r="O153" s="39">
        <f t="shared" si="28"/>
        <v>0.20999999999999996</v>
      </c>
      <c r="P153" s="3"/>
      <c r="Q153" s="3"/>
      <c r="R153" s="3"/>
      <c r="S153" s="3"/>
      <c r="T153" s="3"/>
      <c r="U153" s="3"/>
      <c r="V153" s="3"/>
      <c r="W153" s="3"/>
      <c r="X153" s="3"/>
      <c r="Y153" s="3"/>
      <c r="Z153" s="3"/>
    </row>
    <row r="154" spans="1:26" ht="12.75" x14ac:dyDescent="0.2">
      <c r="A154" s="3"/>
      <c r="B154" s="2"/>
      <c r="C154" s="27" t="s">
        <v>475</v>
      </c>
      <c r="D154" s="2"/>
      <c r="E154" s="2"/>
      <c r="F154" s="39">
        <f>$I$27/1000</f>
        <v>0</v>
      </c>
      <c r="G154" s="39">
        <f t="shared" ref="G154:O154" si="29">$I$27/1000</f>
        <v>0</v>
      </c>
      <c r="H154" s="39">
        <f t="shared" si="29"/>
        <v>0</v>
      </c>
      <c r="I154" s="39">
        <f t="shared" si="29"/>
        <v>0</v>
      </c>
      <c r="J154" s="39">
        <f t="shared" si="29"/>
        <v>0</v>
      </c>
      <c r="K154" s="39">
        <f t="shared" si="29"/>
        <v>0</v>
      </c>
      <c r="L154" s="39">
        <f t="shared" si="29"/>
        <v>0</v>
      </c>
      <c r="M154" s="39">
        <f t="shared" si="29"/>
        <v>0</v>
      </c>
      <c r="N154" s="39">
        <f t="shared" si="29"/>
        <v>0</v>
      </c>
      <c r="O154" s="39">
        <f t="shared" si="29"/>
        <v>0</v>
      </c>
      <c r="P154" s="3"/>
      <c r="Q154" s="3"/>
      <c r="R154" s="3"/>
      <c r="S154" s="3"/>
      <c r="T154" s="3"/>
      <c r="U154" s="3"/>
      <c r="V154" s="3"/>
      <c r="W154" s="3"/>
      <c r="X154" s="3"/>
      <c r="Y154" s="3"/>
      <c r="Z154" s="3"/>
    </row>
    <row r="155" spans="1:26" ht="12.75" x14ac:dyDescent="0.2">
      <c r="A155" s="3"/>
      <c r="B155" s="2"/>
      <c r="C155" s="27" t="s">
        <v>491</v>
      </c>
      <c r="D155" s="2"/>
      <c r="E155" s="2"/>
      <c r="F155" s="39">
        <f>F152-F153-F154</f>
        <v>0.41999999999999993</v>
      </c>
      <c r="G155" s="39">
        <f t="shared" ref="G155:O155" si="30">G152-G153-G154</f>
        <v>0.52919999999999989</v>
      </c>
      <c r="H155" s="39">
        <f t="shared" si="30"/>
        <v>0.6482699999999999</v>
      </c>
      <c r="I155" s="39">
        <f t="shared" si="30"/>
        <v>0.77792399999999995</v>
      </c>
      <c r="J155" s="39">
        <f t="shared" si="30"/>
        <v>0.81682020000000011</v>
      </c>
      <c r="K155" s="39">
        <f t="shared" si="30"/>
        <v>0.83999999999999986</v>
      </c>
      <c r="L155" s="39">
        <f t="shared" si="30"/>
        <v>0.83999999999999986</v>
      </c>
      <c r="M155" s="39">
        <f t="shared" si="30"/>
        <v>0.83999999999999986</v>
      </c>
      <c r="N155" s="39">
        <f t="shared" si="30"/>
        <v>0.83999999999999986</v>
      </c>
      <c r="O155" s="39">
        <f t="shared" si="30"/>
        <v>0.83999999999999986</v>
      </c>
      <c r="P155" s="3"/>
      <c r="Q155" s="3"/>
      <c r="R155" s="3"/>
      <c r="S155" s="3"/>
      <c r="T155" s="3"/>
      <c r="U155" s="3"/>
      <c r="V155" s="3"/>
      <c r="W155" s="3"/>
      <c r="X155" s="3"/>
      <c r="Y155" s="3"/>
      <c r="Z155" s="3"/>
    </row>
    <row r="156" spans="1:26" ht="12.75"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hidden="1" x14ac:dyDescent="0.2">
      <c r="A157" s="3"/>
      <c r="B157" s="4" t="s">
        <v>198</v>
      </c>
      <c r="C157" s="9"/>
      <c r="D157" s="2"/>
      <c r="E157" s="2"/>
      <c r="F157" s="2"/>
      <c r="G157" s="2"/>
      <c r="H157" s="2"/>
      <c r="I157" s="2"/>
      <c r="J157" s="2"/>
      <c r="K157" s="2"/>
      <c r="L157" s="2"/>
      <c r="M157" s="2"/>
      <c r="N157" s="2"/>
      <c r="O157" s="2"/>
      <c r="P157" s="3"/>
      <c r="Q157" s="3"/>
      <c r="R157" s="3"/>
      <c r="S157" s="3"/>
      <c r="T157" s="3"/>
      <c r="U157" s="3"/>
      <c r="V157" s="3"/>
      <c r="W157" s="3"/>
      <c r="X157" s="3"/>
      <c r="Y157" s="3"/>
      <c r="Z157" s="3"/>
    </row>
    <row r="158" spans="1:26" ht="12.75" hidden="1" x14ac:dyDescent="0.2">
      <c r="A158" s="3"/>
      <c r="B158" s="2"/>
      <c r="C158" s="9" t="s">
        <v>472</v>
      </c>
      <c r="D158" s="2"/>
      <c r="E158" s="2"/>
      <c r="F158" s="39" t="e">
        <f>MIN(#REF!*$M$30*F$129,$M$31*#REF!)</f>
        <v>#REF!</v>
      </c>
      <c r="G158" s="39" t="e">
        <f>MIN(#REF!*$M$30*G$129,$M$31*#REF!)</f>
        <v>#REF!</v>
      </c>
      <c r="H158" s="39" t="e">
        <f>MIN(#REF!*$M$30*H$129,$M$31*#REF!)</f>
        <v>#REF!</v>
      </c>
      <c r="I158" s="39" t="e">
        <f>MIN(#REF!*$M$30*I$129,$M$31*#REF!)</f>
        <v>#REF!</v>
      </c>
      <c r="J158" s="39" t="e">
        <f>MIN(#REF!*$M$30*J$129,$M$31*#REF!)</f>
        <v>#REF!</v>
      </c>
      <c r="K158" s="39" t="e">
        <f>MIN(#REF!*$M$30*K$129,$M$31*#REF!)</f>
        <v>#REF!</v>
      </c>
      <c r="L158" s="39" t="e">
        <f>MIN(#REF!*$M$30*L$129,$M$31*#REF!)</f>
        <v>#REF!</v>
      </c>
      <c r="M158" s="39" t="e">
        <f>MIN(#REF!*$M$30*M$129,$M$31*#REF!)</f>
        <v>#REF!</v>
      </c>
      <c r="N158" s="39" t="e">
        <f>MIN(#REF!*$M$30*N$129,$M$31*#REF!)</f>
        <v>#REF!</v>
      </c>
      <c r="O158" s="39" t="e">
        <f>MIN(#REF!*$M$30*O$129,$M$31*#REF!)</f>
        <v>#REF!</v>
      </c>
      <c r="P158" s="3"/>
      <c r="Q158" s="3"/>
      <c r="R158" s="3"/>
      <c r="S158" s="3"/>
      <c r="T158" s="3"/>
      <c r="U158" s="3"/>
      <c r="V158" s="3"/>
      <c r="W158" s="3"/>
      <c r="X158" s="3"/>
      <c r="Y158" s="3"/>
      <c r="Z158" s="3"/>
    </row>
    <row r="159" spans="1:26" ht="12.75" hidden="1" x14ac:dyDescent="0.2">
      <c r="A159" s="3"/>
      <c r="B159" s="2"/>
      <c r="C159" s="27" t="s">
        <v>232</v>
      </c>
      <c r="D159" s="2"/>
      <c r="E159" s="2"/>
      <c r="F159" s="39" t="e">
        <f>$M$34*F158</f>
        <v>#REF!</v>
      </c>
      <c r="G159" s="39" t="e">
        <f t="shared" ref="G159:O159" si="31">$M$34*G158</f>
        <v>#REF!</v>
      </c>
      <c r="H159" s="39" t="e">
        <f t="shared" si="31"/>
        <v>#REF!</v>
      </c>
      <c r="I159" s="39" t="e">
        <f t="shared" si="31"/>
        <v>#REF!</v>
      </c>
      <c r="J159" s="39" t="e">
        <f t="shared" si="31"/>
        <v>#REF!</v>
      </c>
      <c r="K159" s="39" t="e">
        <f t="shared" si="31"/>
        <v>#REF!</v>
      </c>
      <c r="L159" s="39" t="e">
        <f t="shared" si="31"/>
        <v>#REF!</v>
      </c>
      <c r="M159" s="39" t="e">
        <f t="shared" si="31"/>
        <v>#REF!</v>
      </c>
      <c r="N159" s="39" t="e">
        <f t="shared" si="31"/>
        <v>#REF!</v>
      </c>
      <c r="O159" s="39" t="e">
        <f t="shared" si="31"/>
        <v>#REF!</v>
      </c>
      <c r="P159" s="3"/>
      <c r="Q159" s="3"/>
      <c r="R159" s="3"/>
      <c r="S159" s="3"/>
      <c r="T159" s="3"/>
      <c r="U159" s="3"/>
      <c r="V159" s="3"/>
      <c r="W159" s="3"/>
      <c r="X159" s="3"/>
      <c r="Y159" s="3"/>
      <c r="Z159" s="3"/>
    </row>
    <row r="160" spans="1:26" ht="12.75" hidden="1" x14ac:dyDescent="0.2">
      <c r="A160" s="3"/>
      <c r="B160" s="2"/>
      <c r="C160" s="27" t="s">
        <v>475</v>
      </c>
      <c r="D160" s="2"/>
      <c r="E160" s="2"/>
      <c r="F160" s="39">
        <f>$M$27/1000</f>
        <v>0</v>
      </c>
      <c r="G160" s="39">
        <f t="shared" ref="G160:O160" si="32">$M$27/1000</f>
        <v>0</v>
      </c>
      <c r="H160" s="39">
        <f t="shared" si="32"/>
        <v>0</v>
      </c>
      <c r="I160" s="39">
        <f t="shared" si="32"/>
        <v>0</v>
      </c>
      <c r="J160" s="39">
        <f t="shared" si="32"/>
        <v>0</v>
      </c>
      <c r="K160" s="39">
        <f t="shared" si="32"/>
        <v>0</v>
      </c>
      <c r="L160" s="39">
        <f t="shared" si="32"/>
        <v>0</v>
      </c>
      <c r="M160" s="39">
        <f t="shared" si="32"/>
        <v>0</v>
      </c>
      <c r="N160" s="39">
        <f t="shared" si="32"/>
        <v>0</v>
      </c>
      <c r="O160" s="39">
        <f t="shared" si="32"/>
        <v>0</v>
      </c>
      <c r="P160" s="3"/>
      <c r="Q160" s="3"/>
      <c r="R160" s="3"/>
      <c r="S160" s="3"/>
      <c r="T160" s="3"/>
      <c r="U160" s="3"/>
      <c r="V160" s="3"/>
      <c r="W160" s="3"/>
      <c r="X160" s="3"/>
      <c r="Y160" s="3"/>
      <c r="Z160" s="3"/>
    </row>
    <row r="161" spans="1:26" ht="12.75" hidden="1" x14ac:dyDescent="0.2">
      <c r="A161" s="3"/>
      <c r="B161" s="2"/>
      <c r="C161" s="27"/>
      <c r="D161" s="2"/>
      <c r="E161" s="2"/>
      <c r="F161" s="39"/>
      <c r="G161" s="39"/>
      <c r="H161" s="39"/>
      <c r="I161" s="39"/>
      <c r="J161" s="39"/>
      <c r="K161" s="39"/>
      <c r="L161" s="39"/>
      <c r="M161" s="39"/>
      <c r="N161" s="39"/>
      <c r="O161" s="39"/>
      <c r="P161" s="3"/>
      <c r="Q161" s="3"/>
      <c r="R161" s="3"/>
      <c r="S161" s="3"/>
      <c r="T161" s="3"/>
      <c r="U161" s="3"/>
      <c r="V161" s="3"/>
      <c r="W161" s="3"/>
      <c r="X161" s="3"/>
      <c r="Y161" s="3"/>
      <c r="Z161" s="3"/>
    </row>
    <row r="162" spans="1:26" ht="12.75" hidden="1" x14ac:dyDescent="0.2">
      <c r="A162" s="3"/>
      <c r="B162" s="2"/>
      <c r="C162" s="27" t="s">
        <v>491</v>
      </c>
      <c r="D162" s="2"/>
      <c r="E162" s="2"/>
      <c r="F162" s="39" t="e">
        <f>F158-F159-F160-F161</f>
        <v>#REF!</v>
      </c>
      <c r="G162" s="39" t="e">
        <f t="shared" ref="G162:O162" si="33">G158-G159-G160-G161</f>
        <v>#REF!</v>
      </c>
      <c r="H162" s="39" t="e">
        <f t="shared" si="33"/>
        <v>#REF!</v>
      </c>
      <c r="I162" s="39" t="e">
        <f t="shared" si="33"/>
        <v>#REF!</v>
      </c>
      <c r="J162" s="39" t="e">
        <f t="shared" si="33"/>
        <v>#REF!</v>
      </c>
      <c r="K162" s="39" t="e">
        <f t="shared" si="33"/>
        <v>#REF!</v>
      </c>
      <c r="L162" s="39" t="e">
        <f t="shared" si="33"/>
        <v>#REF!</v>
      </c>
      <c r="M162" s="39" t="e">
        <f t="shared" si="33"/>
        <v>#REF!</v>
      </c>
      <c r="N162" s="39" t="e">
        <f t="shared" si="33"/>
        <v>#REF!</v>
      </c>
      <c r="O162" s="39" t="e">
        <f t="shared" si="33"/>
        <v>#REF!</v>
      </c>
      <c r="P162" s="3"/>
      <c r="Q162" s="3"/>
      <c r="R162" s="3"/>
      <c r="S162" s="3"/>
      <c r="T162" s="3"/>
      <c r="U162" s="3"/>
      <c r="V162" s="3"/>
      <c r="W162" s="3"/>
      <c r="X162" s="3"/>
      <c r="Y162" s="3"/>
      <c r="Z162" s="3"/>
    </row>
    <row r="163" spans="1:26" ht="12.75" hidden="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x14ac:dyDescent="0.2">
      <c r="A164" s="3"/>
      <c r="B164" s="29" t="s">
        <v>225</v>
      </c>
      <c r="C164" s="2"/>
      <c r="D164" s="2"/>
      <c r="E164" s="2"/>
      <c r="F164" s="39"/>
      <c r="G164" s="39"/>
      <c r="H164" s="39"/>
      <c r="I164" s="39"/>
      <c r="J164" s="39"/>
      <c r="K164" s="39"/>
      <c r="L164" s="39"/>
      <c r="M164" s="39"/>
      <c r="N164" s="39"/>
      <c r="O164" s="39"/>
      <c r="P164" s="3"/>
      <c r="Q164" s="3"/>
      <c r="R164" s="3"/>
      <c r="S164" s="3"/>
      <c r="T164" s="3"/>
      <c r="U164" s="3"/>
      <c r="V164" s="3"/>
      <c r="W164" s="3"/>
      <c r="X164" s="3"/>
      <c r="Y164" s="3"/>
      <c r="Z164" s="3"/>
    </row>
    <row r="165" spans="1:26" ht="12.75" x14ac:dyDescent="0.2">
      <c r="A165" s="3"/>
      <c r="B165" s="2"/>
      <c r="C165" s="9" t="s">
        <v>472</v>
      </c>
      <c r="D165" s="2"/>
      <c r="E165" s="2"/>
      <c r="F165" s="39">
        <f t="shared" ref="F165:O165" si="34">F146*$F$86*F$116*(1+$F$89)</f>
        <v>201.60000000000002</v>
      </c>
      <c r="G165" s="39">
        <f t="shared" si="34"/>
        <v>217.52640000000002</v>
      </c>
      <c r="H165" s="39">
        <f t="shared" si="34"/>
        <v>234.71098559999999</v>
      </c>
      <c r="I165" s="39">
        <f t="shared" si="34"/>
        <v>253.25315346240001</v>
      </c>
      <c r="J165" s="39">
        <f t="shared" si="34"/>
        <v>273.26015258592963</v>
      </c>
      <c r="K165" s="39">
        <f t="shared" si="34"/>
        <v>294.84770464021801</v>
      </c>
      <c r="L165" s="39">
        <f t="shared" si="34"/>
        <v>318.14067330679524</v>
      </c>
      <c r="M165" s="39">
        <f t="shared" si="34"/>
        <v>343.27378649803205</v>
      </c>
      <c r="N165" s="39">
        <f t="shared" si="34"/>
        <v>370.39241563137659</v>
      </c>
      <c r="O165" s="39">
        <f t="shared" si="34"/>
        <v>399.65341646625535</v>
      </c>
      <c r="P165" s="3"/>
      <c r="Q165" s="3"/>
      <c r="R165" s="3"/>
      <c r="S165" s="3"/>
      <c r="T165" s="3"/>
      <c r="U165" s="3"/>
      <c r="V165" s="3"/>
      <c r="W165" s="3"/>
      <c r="X165" s="3"/>
      <c r="Y165" s="3"/>
      <c r="Z165" s="3"/>
    </row>
    <row r="166" spans="1:26" ht="12.75" x14ac:dyDescent="0.2">
      <c r="A166" s="3"/>
      <c r="B166" s="2"/>
      <c r="C166" s="27" t="s">
        <v>231</v>
      </c>
      <c r="D166" s="2"/>
      <c r="E166" s="2"/>
      <c r="F166" s="39">
        <f>F147*$F$87*F$116*(1+$F$89)</f>
        <v>99.917100000000019</v>
      </c>
      <c r="G166" s="39">
        <f t="shared" ref="G166:O166" si="35">G147*$F$87*G$116*(1+$F$89)</f>
        <v>107.81055090000001</v>
      </c>
      <c r="H166" s="39">
        <f t="shared" si="35"/>
        <v>116.32758442110001</v>
      </c>
      <c r="I166" s="39">
        <f t="shared" si="35"/>
        <v>125.51746359036692</v>
      </c>
      <c r="J166" s="39">
        <f t="shared" si="35"/>
        <v>135.4333432140059</v>
      </c>
      <c r="K166" s="39">
        <f t="shared" si="35"/>
        <v>146.13257732791234</v>
      </c>
      <c r="L166" s="39">
        <f t="shared" si="35"/>
        <v>157.67705093681744</v>
      </c>
      <c r="M166" s="39">
        <f t="shared" si="35"/>
        <v>170.133537960826</v>
      </c>
      <c r="N166" s="39">
        <f t="shared" si="35"/>
        <v>183.57408745973126</v>
      </c>
      <c r="O166" s="39">
        <f t="shared" si="35"/>
        <v>198.07644036905</v>
      </c>
      <c r="P166" s="3"/>
      <c r="Q166" s="3"/>
      <c r="R166" s="3"/>
      <c r="S166" s="3"/>
      <c r="T166" s="3"/>
      <c r="U166" s="3"/>
      <c r="V166" s="3"/>
      <c r="W166" s="3"/>
      <c r="X166" s="3"/>
      <c r="Y166" s="3"/>
      <c r="Z166" s="3"/>
    </row>
    <row r="167" spans="1:26" ht="12.75" x14ac:dyDescent="0.2">
      <c r="A167" s="3"/>
      <c r="B167" s="2"/>
      <c r="C167" s="393" t="s">
        <v>874</v>
      </c>
      <c r="D167" s="2"/>
      <c r="E167" s="2"/>
      <c r="F167" s="39">
        <f>F148*$F$87*F$116*(1+$F$89)</f>
        <v>0</v>
      </c>
      <c r="G167" s="39">
        <f t="shared" ref="G167:O167" si="36">G148*$F$87*G$116*(1+$F$89)</f>
        <v>0</v>
      </c>
      <c r="H167" s="39">
        <f t="shared" si="36"/>
        <v>0</v>
      </c>
      <c r="I167" s="39">
        <f t="shared" si="36"/>
        <v>0</v>
      </c>
      <c r="J167" s="39">
        <f t="shared" si="36"/>
        <v>0</v>
      </c>
      <c r="K167" s="39">
        <f t="shared" si="36"/>
        <v>0</v>
      </c>
      <c r="L167" s="39">
        <f t="shared" si="36"/>
        <v>0</v>
      </c>
      <c r="M167" s="39">
        <f t="shared" si="36"/>
        <v>0</v>
      </c>
      <c r="N167" s="39">
        <f t="shared" si="36"/>
        <v>0</v>
      </c>
      <c r="O167" s="39">
        <f t="shared" si="36"/>
        <v>0</v>
      </c>
      <c r="P167" s="3"/>
      <c r="Q167" s="3"/>
      <c r="R167" s="3"/>
      <c r="S167" s="3"/>
      <c r="T167" s="3"/>
      <c r="U167" s="3"/>
      <c r="V167" s="3"/>
      <c r="W167" s="3"/>
      <c r="X167" s="3"/>
      <c r="Y167" s="3"/>
      <c r="Z167" s="3"/>
    </row>
    <row r="168" spans="1:26" ht="12.75" x14ac:dyDescent="0.2">
      <c r="A168" s="3"/>
      <c r="B168" s="2"/>
      <c r="C168" s="31" t="s">
        <v>491</v>
      </c>
      <c r="D168" s="60"/>
      <c r="E168" s="60"/>
      <c r="F168" s="61">
        <f>F165-F166-F167</f>
        <v>101.6829</v>
      </c>
      <c r="G168" s="61">
        <f t="shared" ref="G168:O168" si="37">G165-G166-G167</f>
        <v>109.71584910000001</v>
      </c>
      <c r="H168" s="61">
        <f t="shared" si="37"/>
        <v>118.38340117889997</v>
      </c>
      <c r="I168" s="61">
        <f t="shared" si="37"/>
        <v>127.73568987203309</v>
      </c>
      <c r="J168" s="61">
        <f t="shared" si="37"/>
        <v>137.82680937192373</v>
      </c>
      <c r="K168" s="61">
        <f t="shared" si="37"/>
        <v>148.71512731230567</v>
      </c>
      <c r="L168" s="61">
        <f t="shared" si="37"/>
        <v>160.4636223699778</v>
      </c>
      <c r="M168" s="61">
        <f t="shared" si="37"/>
        <v>173.14024853720605</v>
      </c>
      <c r="N168" s="61">
        <f t="shared" si="37"/>
        <v>186.81832817164533</v>
      </c>
      <c r="O168" s="61">
        <f t="shared" si="37"/>
        <v>201.57697609720535</v>
      </c>
      <c r="P168" s="3"/>
      <c r="Q168" s="3"/>
      <c r="R168" s="3"/>
      <c r="S168" s="3"/>
      <c r="T168" s="3"/>
      <c r="U168" s="3"/>
      <c r="V168" s="3"/>
      <c r="W168" s="3"/>
      <c r="X168" s="3"/>
      <c r="Y168" s="3"/>
      <c r="Z168" s="3"/>
    </row>
    <row r="169" spans="1:26" ht="12.75" x14ac:dyDescent="0.2">
      <c r="A169" s="3"/>
      <c r="B169" s="3"/>
      <c r="C169" s="3"/>
      <c r="D169" s="3"/>
      <c r="E169" s="3"/>
      <c r="F169" s="28"/>
      <c r="G169" s="28"/>
      <c r="H169" s="28"/>
      <c r="I169" s="28"/>
      <c r="J169" s="28"/>
      <c r="K169" s="28"/>
      <c r="L169" s="28"/>
      <c r="M169" s="3"/>
      <c r="N169" s="3"/>
      <c r="O169" s="3"/>
      <c r="P169" s="3"/>
      <c r="Q169" s="3"/>
      <c r="R169" s="3"/>
      <c r="S169" s="3"/>
      <c r="T169" s="3"/>
      <c r="U169" s="3"/>
      <c r="V169" s="3"/>
      <c r="W169" s="3"/>
      <c r="X169" s="3"/>
      <c r="Y169" s="3"/>
      <c r="Z169" s="3"/>
    </row>
    <row r="170" spans="1:26" ht="12.75" x14ac:dyDescent="0.2">
      <c r="A170" s="3"/>
      <c r="B170" s="392" t="s">
        <v>859</v>
      </c>
      <c r="C170" s="2"/>
      <c r="D170" s="2"/>
      <c r="E170" s="2"/>
      <c r="F170" s="2"/>
      <c r="G170" s="2"/>
      <c r="H170" s="2"/>
      <c r="I170" s="2"/>
      <c r="J170" s="2"/>
      <c r="K170" s="2"/>
      <c r="L170" s="2"/>
      <c r="M170" s="2"/>
      <c r="N170" s="2"/>
      <c r="O170" s="2"/>
      <c r="P170" s="3"/>
      <c r="Q170" s="3"/>
      <c r="R170" s="3"/>
      <c r="S170" s="3"/>
      <c r="T170" s="3"/>
      <c r="U170" s="3"/>
      <c r="V170" s="3"/>
      <c r="W170" s="3"/>
      <c r="X170" s="3"/>
      <c r="Y170" s="3"/>
      <c r="Z170" s="3"/>
    </row>
    <row r="171" spans="1:26" ht="12.75" x14ac:dyDescent="0.2">
      <c r="A171" s="3"/>
      <c r="B171" s="2"/>
      <c r="C171" s="9" t="s">
        <v>472</v>
      </c>
      <c r="D171" s="2"/>
      <c r="E171" s="2"/>
      <c r="F171" s="39">
        <f t="shared" ref="F171:O171" si="38">F152*$I$86*F$116*(1+$F$89)</f>
        <v>335.99999999999994</v>
      </c>
      <c r="G171" s="39">
        <f t="shared" si="38"/>
        <v>380.67119999999994</v>
      </c>
      <c r="H171" s="39">
        <f t="shared" si="38"/>
        <v>431.2814360399999</v>
      </c>
      <c r="I171" s="39">
        <f t="shared" si="38"/>
        <v>488.62030296151795</v>
      </c>
      <c r="J171" s="39">
        <f t="shared" si="38"/>
        <v>553.58237224025186</v>
      </c>
      <c r="K171" s="39">
        <f t="shared" si="38"/>
        <v>614.26605133378746</v>
      </c>
      <c r="L171" s="39">
        <f t="shared" si="38"/>
        <v>662.79306938915659</v>
      </c>
      <c r="M171" s="39">
        <f t="shared" si="38"/>
        <v>715.15372187089997</v>
      </c>
      <c r="N171" s="39">
        <f t="shared" si="38"/>
        <v>771.650865898701</v>
      </c>
      <c r="O171" s="39">
        <f t="shared" si="38"/>
        <v>832.61128430469842</v>
      </c>
      <c r="P171" s="3"/>
      <c r="Q171" s="3"/>
      <c r="R171" s="3"/>
      <c r="S171" s="3"/>
      <c r="T171" s="3"/>
      <c r="U171" s="3"/>
      <c r="V171" s="3"/>
      <c r="W171" s="3"/>
      <c r="X171" s="3"/>
      <c r="Y171" s="3"/>
      <c r="Z171" s="3"/>
    </row>
    <row r="172" spans="1:26" ht="12.75" x14ac:dyDescent="0.2">
      <c r="A172" s="3"/>
      <c r="B172" s="2"/>
      <c r="C172" s="27" t="s">
        <v>231</v>
      </c>
      <c r="D172" s="2"/>
      <c r="E172" s="2"/>
      <c r="F172" s="39">
        <f>F153*$I$87*F$116*(1+$F$89)</f>
        <v>166.76393999999999</v>
      </c>
      <c r="G172" s="39">
        <f t="shared" ref="G172:O172" si="39">G153*$I$87*G$116*(1+$F$89)</f>
        <v>151.14816465839999</v>
      </c>
      <c r="H172" s="39">
        <f t="shared" si="39"/>
        <v>128.43248486230073</v>
      </c>
      <c r="I172" s="39">
        <f t="shared" si="39"/>
        <v>97.005055816495741</v>
      </c>
      <c r="J172" s="39">
        <f t="shared" si="39"/>
        <v>109.90187798729885</v>
      </c>
      <c r="K172" s="39">
        <f t="shared" si="39"/>
        <v>121.94931777221983</v>
      </c>
      <c r="L172" s="39">
        <f t="shared" si="39"/>
        <v>131.58331387622519</v>
      </c>
      <c r="M172" s="39">
        <f t="shared" si="39"/>
        <v>141.97839567244696</v>
      </c>
      <c r="N172" s="39">
        <f t="shared" si="39"/>
        <v>153.19468893057027</v>
      </c>
      <c r="O172" s="39">
        <f t="shared" si="39"/>
        <v>165.29706935608533</v>
      </c>
      <c r="P172" s="3"/>
      <c r="Q172" s="3"/>
      <c r="R172" s="3"/>
      <c r="S172" s="3"/>
      <c r="T172" s="3"/>
      <c r="U172" s="3"/>
      <c r="V172" s="3"/>
      <c r="W172" s="3"/>
      <c r="X172" s="3"/>
      <c r="Y172" s="3"/>
      <c r="Z172" s="3"/>
    </row>
    <row r="173" spans="1:26" ht="12.75" x14ac:dyDescent="0.2">
      <c r="A173" s="3"/>
      <c r="B173" s="2"/>
      <c r="C173" s="393" t="s">
        <v>874</v>
      </c>
      <c r="D173" s="2"/>
      <c r="E173" s="2"/>
      <c r="F173" s="39">
        <f>F154*$I$87*F$116*(1+$F$89)</f>
        <v>0</v>
      </c>
      <c r="G173" s="39">
        <f t="shared" ref="G173:O173" si="40">G154*$I$87*G$116*(1+$F$89)</f>
        <v>0</v>
      </c>
      <c r="H173" s="39">
        <f t="shared" si="40"/>
        <v>0</v>
      </c>
      <c r="I173" s="39">
        <f t="shared" si="40"/>
        <v>0</v>
      </c>
      <c r="J173" s="39">
        <f t="shared" si="40"/>
        <v>0</v>
      </c>
      <c r="K173" s="39">
        <f t="shared" si="40"/>
        <v>0</v>
      </c>
      <c r="L173" s="39">
        <f t="shared" si="40"/>
        <v>0</v>
      </c>
      <c r="M173" s="39">
        <f t="shared" si="40"/>
        <v>0</v>
      </c>
      <c r="N173" s="39">
        <f t="shared" si="40"/>
        <v>0</v>
      </c>
      <c r="O173" s="39">
        <f t="shared" si="40"/>
        <v>0</v>
      </c>
      <c r="P173" s="3"/>
      <c r="Q173" s="3"/>
      <c r="R173" s="3"/>
      <c r="S173" s="3"/>
      <c r="T173" s="3"/>
      <c r="U173" s="3"/>
      <c r="V173" s="3"/>
      <c r="W173" s="3"/>
      <c r="X173" s="3"/>
      <c r="Y173" s="3"/>
      <c r="Z173" s="3"/>
    </row>
    <row r="174" spans="1:26" ht="12.75" x14ac:dyDescent="0.2">
      <c r="A174" s="3"/>
      <c r="B174" s="2"/>
      <c r="C174" s="31" t="s">
        <v>491</v>
      </c>
      <c r="D174" s="60"/>
      <c r="E174" s="60"/>
      <c r="F174" s="61">
        <f>F171-F172-F173</f>
        <v>169.23605999999995</v>
      </c>
      <c r="G174" s="61">
        <f t="shared" ref="G174:O174" si="41">G171-G172-G173</f>
        <v>229.52303534159995</v>
      </c>
      <c r="H174" s="61">
        <f t="shared" si="41"/>
        <v>302.84895117769918</v>
      </c>
      <c r="I174" s="61">
        <f t="shared" si="41"/>
        <v>391.61524714502218</v>
      </c>
      <c r="J174" s="61">
        <f t="shared" si="41"/>
        <v>443.680494252953</v>
      </c>
      <c r="K174" s="61">
        <f t="shared" si="41"/>
        <v>492.31673356156762</v>
      </c>
      <c r="L174" s="61">
        <f t="shared" si="41"/>
        <v>531.20975551293145</v>
      </c>
      <c r="M174" s="61">
        <f t="shared" si="41"/>
        <v>573.17532619845304</v>
      </c>
      <c r="N174" s="61">
        <f t="shared" si="41"/>
        <v>618.45617696813076</v>
      </c>
      <c r="O174" s="61">
        <f t="shared" si="41"/>
        <v>667.31421494861308</v>
      </c>
      <c r="P174" s="3"/>
      <c r="Q174" s="3"/>
      <c r="R174" s="3"/>
      <c r="S174" s="3"/>
      <c r="T174" s="3"/>
      <c r="U174" s="3"/>
      <c r="V174" s="3"/>
      <c r="W174" s="3"/>
      <c r="X174" s="3"/>
      <c r="Y174" s="3"/>
      <c r="Z174" s="3"/>
    </row>
    <row r="175" spans="1:26" ht="12.75" x14ac:dyDescent="0.2">
      <c r="A175" s="3"/>
      <c r="B175" s="3"/>
      <c r="C175" s="3"/>
      <c r="D175" s="3"/>
      <c r="E175" s="3"/>
      <c r="F175" s="28"/>
      <c r="G175" s="3"/>
      <c r="H175" s="3"/>
      <c r="I175" s="3"/>
      <c r="J175" s="3"/>
      <c r="K175" s="3"/>
      <c r="L175" s="3"/>
      <c r="M175" s="3"/>
      <c r="N175" s="3"/>
      <c r="O175" s="3"/>
      <c r="P175" s="3"/>
      <c r="Q175" s="3"/>
      <c r="R175" s="3"/>
      <c r="S175" s="3"/>
      <c r="T175" s="3"/>
      <c r="U175" s="3"/>
      <c r="V175" s="3"/>
      <c r="W175" s="3"/>
      <c r="X175" s="3"/>
      <c r="Y175" s="3"/>
      <c r="Z175" s="3"/>
    </row>
    <row r="176" spans="1:26" ht="12.75" x14ac:dyDescent="0.2">
      <c r="A176" s="4" t="s">
        <v>202</v>
      </c>
      <c r="B176" s="2"/>
      <c r="C176" s="2"/>
      <c r="D176" s="6" t="s">
        <v>174</v>
      </c>
      <c r="E176" s="21"/>
      <c r="F176" s="51">
        <v>0</v>
      </c>
      <c r="G176" s="51">
        <v>1</v>
      </c>
      <c r="H176" s="51">
        <v>2</v>
      </c>
      <c r="I176" s="51">
        <v>3</v>
      </c>
      <c r="J176" s="51">
        <v>4</v>
      </c>
      <c r="K176" s="51">
        <v>5</v>
      </c>
      <c r="L176" s="51">
        <v>6</v>
      </c>
      <c r="M176" s="51">
        <v>7</v>
      </c>
      <c r="N176" s="51">
        <v>8</v>
      </c>
      <c r="O176" s="51">
        <v>9</v>
      </c>
      <c r="P176" s="2"/>
      <c r="Q176" s="2"/>
      <c r="R176" s="2"/>
      <c r="S176" s="2"/>
      <c r="T176" s="2"/>
      <c r="U176" s="2"/>
      <c r="V176" s="2"/>
      <c r="W176" s="2"/>
      <c r="X176" s="2"/>
      <c r="Y176" s="2"/>
      <c r="Z176" s="2"/>
    </row>
    <row r="177" spans="1:26" ht="12.75" x14ac:dyDescent="0.2">
      <c r="A177" s="3"/>
      <c r="B177" s="32" t="s">
        <v>226</v>
      </c>
      <c r="C177" s="33"/>
      <c r="D177" s="33"/>
      <c r="E177" s="33"/>
      <c r="F177" s="33"/>
      <c r="G177" s="33"/>
      <c r="H177" s="33"/>
      <c r="I177" s="33"/>
      <c r="J177" s="33"/>
      <c r="K177" s="33"/>
      <c r="L177" s="33"/>
      <c r="M177" s="33"/>
      <c r="N177" s="33"/>
      <c r="O177" s="33"/>
      <c r="P177" s="3"/>
      <c r="Q177" s="3"/>
      <c r="R177" s="3"/>
      <c r="S177" s="3"/>
      <c r="T177" s="3"/>
      <c r="U177" s="3"/>
      <c r="V177" s="3"/>
      <c r="W177" s="3"/>
      <c r="X177" s="3"/>
      <c r="Y177" s="3"/>
      <c r="Z177" s="3"/>
    </row>
    <row r="178" spans="1:26" ht="12.75" x14ac:dyDescent="0.2">
      <c r="A178" s="3"/>
      <c r="B178" s="33"/>
      <c r="C178" s="34" t="s">
        <v>218</v>
      </c>
      <c r="D178" s="33"/>
      <c r="E178" s="33"/>
      <c r="F178" s="33"/>
      <c r="G178" s="33"/>
      <c r="H178" s="33"/>
      <c r="I178" s="33"/>
      <c r="J178" s="33"/>
      <c r="K178" s="33"/>
      <c r="L178" s="33"/>
      <c r="M178" s="33"/>
      <c r="N178" s="33"/>
      <c r="O178" s="33"/>
      <c r="P178" s="3"/>
      <c r="Q178" s="3"/>
      <c r="R178" s="3"/>
      <c r="S178" s="3"/>
      <c r="T178" s="3"/>
      <c r="U178" s="3"/>
      <c r="V178" s="3"/>
      <c r="W178" s="3"/>
      <c r="X178" s="3"/>
      <c r="Y178" s="3"/>
      <c r="Z178" s="3"/>
    </row>
    <row r="179" spans="1:26" ht="12.75" x14ac:dyDescent="0.2">
      <c r="A179" s="3"/>
      <c r="B179" s="33"/>
      <c r="C179" s="94" t="s">
        <v>272</v>
      </c>
      <c r="D179" s="33"/>
      <c r="E179" s="33"/>
      <c r="F179" s="39">
        <f>$F39*$F$25*$F47*F$131*F$116/1000</f>
        <v>1.59</v>
      </c>
      <c r="G179" s="39">
        <f>$F39*$F$25*$F47*G$131*G$116/1000</f>
        <v>1.7156099999999999</v>
      </c>
      <c r="H179" s="39">
        <f>$F39*$F$25*$F47*H$131*H$116/1000</f>
        <v>1.8511431899999997</v>
      </c>
      <c r="I179" s="39">
        <f>$F39*$F$25*$F47*I$131*I$116/1000</f>
        <v>1.9973835020099997</v>
      </c>
      <c r="J179" s="39">
        <f>$F39*$F$25*$F47*J$131*J$116/1000</f>
        <v>2.1551767986687898</v>
      </c>
      <c r="K179" s="39">
        <f>$F39*$F$25*$F47*K$131*K$116/1000</f>
        <v>2.3254357657636242</v>
      </c>
      <c r="L179" s="39">
        <f>$F39*$F$25*$F47*L$131*L$116/1000</f>
        <v>2.5091451912589506</v>
      </c>
      <c r="M179" s="39">
        <f>$F39*$F$25*$F47*M$131*M$116/1000</f>
        <v>2.7073676613684072</v>
      </c>
      <c r="N179" s="39">
        <f>$F39*$F$25*$F47*N$131*N$116/1000</f>
        <v>2.9212497066165115</v>
      </c>
      <c r="O179" s="39">
        <f>$F39*$F$25*$F47*O$131*O$116/1000</f>
        <v>3.1520284334392157</v>
      </c>
      <c r="P179" s="3"/>
      <c r="Q179" s="3"/>
      <c r="R179" s="3"/>
      <c r="S179" s="3"/>
      <c r="T179" s="3"/>
      <c r="U179" s="3"/>
      <c r="V179" s="3"/>
      <c r="W179" s="3"/>
      <c r="X179" s="3"/>
      <c r="Y179" s="3"/>
      <c r="Z179" s="3"/>
    </row>
    <row r="180" spans="1:26" ht="12.75" x14ac:dyDescent="0.2">
      <c r="A180" s="3"/>
      <c r="B180" s="33"/>
      <c r="C180" s="115" t="s">
        <v>273</v>
      </c>
      <c r="D180" s="33"/>
      <c r="E180" s="33"/>
      <c r="F180" s="39">
        <f>$F40*$F$25*$F48*F$131*F$116/1000</f>
        <v>3.3201000000000005</v>
      </c>
      <c r="G180" s="39">
        <f>$F40*$F$25*$F48*G$131*G$116/1000</f>
        <v>3.5823879000000001</v>
      </c>
      <c r="H180" s="39">
        <f>$F40*$F$25*$F48*H$131*H$116/1000</f>
        <v>3.8653965441000002</v>
      </c>
      <c r="I180" s="39">
        <f>$F40*$F$25*$F48*I$131*I$116/1000</f>
        <v>4.1707628710839</v>
      </c>
      <c r="J180" s="39">
        <f>$F40*$F$25*$F48*J$131*J$116/1000</f>
        <v>4.5002531378995281</v>
      </c>
      <c r="K180" s="39">
        <f>$F40*$F$25*$F48*K$131*K$116/1000</f>
        <v>4.8557731357935907</v>
      </c>
      <c r="L180" s="39">
        <f>$F40*$F$25*$F48*L$131*L$116/1000</f>
        <v>5.2393792135212847</v>
      </c>
      <c r="M180" s="39">
        <f>$F40*$F$25*$F48*M$131*M$116/1000</f>
        <v>5.6532901713894654</v>
      </c>
      <c r="N180" s="39">
        <f>$F40*$F$25*$F48*N$131*N$116/1000</f>
        <v>6.0999000949292332</v>
      </c>
      <c r="O180" s="39">
        <f>$F40*$F$25*$F48*O$131*O$116/1000</f>
        <v>6.5817922024286428</v>
      </c>
      <c r="P180" s="3"/>
      <c r="Q180" s="3"/>
      <c r="R180" s="3"/>
      <c r="S180" s="3"/>
      <c r="T180" s="3"/>
      <c r="U180" s="3"/>
      <c r="V180" s="3"/>
      <c r="W180" s="3"/>
      <c r="X180" s="3"/>
      <c r="Y180" s="3"/>
      <c r="Z180" s="3"/>
    </row>
    <row r="181" spans="1:26" ht="12.75" x14ac:dyDescent="0.2">
      <c r="A181" s="3"/>
      <c r="B181" s="33"/>
      <c r="C181" s="84" t="s">
        <v>323</v>
      </c>
      <c r="D181" s="33"/>
      <c r="E181" s="35"/>
      <c r="F181" s="39">
        <f>$F41*$F$25*$F49*F$131*F$116/1000</f>
        <v>5.6573999999999991</v>
      </c>
      <c r="G181" s="39">
        <f>$F41*$F$25*$F49*G$131*G$116/1000</f>
        <v>6.1043345999999987</v>
      </c>
      <c r="H181" s="39">
        <f>$F41*$F$25*$F49*H$131*H$116/1000</f>
        <v>6.5865770333999984</v>
      </c>
      <c r="I181" s="39">
        <f>$F41*$F$25*$F49*I$131*I$116/1000</f>
        <v>7.1069166190385973</v>
      </c>
      <c r="J181" s="39">
        <f>$F41*$F$25*$F49*J$131*J$116/1000</f>
        <v>7.6683630319426479</v>
      </c>
      <c r="K181" s="39">
        <f>$F41*$F$25*$F49*K$131*K$116/1000</f>
        <v>8.274163711466116</v>
      </c>
      <c r="L181" s="39">
        <f>$F41*$F$25*$F49*L$131*L$116/1000</f>
        <v>8.927822644671938</v>
      </c>
      <c r="M181" s="39">
        <f>$F41*$F$25*$F49*M$131*M$116/1000</f>
        <v>9.6331206336010222</v>
      </c>
      <c r="N181" s="39">
        <f>$F41*$F$25*$F49*N$131*N$116/1000</f>
        <v>10.394137163655502</v>
      </c>
      <c r="O181" s="39">
        <f>$F41*$F$25*$F49*O$131*O$116/1000</f>
        <v>11.215273999584285</v>
      </c>
      <c r="P181" s="3"/>
      <c r="Q181" s="3"/>
      <c r="R181" s="3"/>
      <c r="S181" s="3"/>
      <c r="T181" s="3"/>
      <c r="U181" s="3"/>
      <c r="V181" s="3"/>
      <c r="W181" s="3"/>
      <c r="X181" s="3"/>
      <c r="Y181" s="3"/>
      <c r="Z181" s="3"/>
    </row>
    <row r="182" spans="1:26" ht="12.75" x14ac:dyDescent="0.2">
      <c r="A182" s="3"/>
      <c r="B182" s="33"/>
      <c r="C182" s="84" t="s">
        <v>492</v>
      </c>
      <c r="D182" s="33"/>
      <c r="E182" s="35"/>
      <c r="F182" s="39">
        <f>$F42*$F$25*$F50*F$131*F$116/1000</f>
        <v>8.5175999999999998</v>
      </c>
      <c r="G182" s="39">
        <f>$F42*$F$25*$F50*G$131*G$116/1000</f>
        <v>9.1904903999999998</v>
      </c>
      <c r="H182" s="39">
        <f>$F42*$F$25*$F50*H$131*H$116/1000</f>
        <v>9.9165391415999977</v>
      </c>
      <c r="I182" s="39">
        <f>$F42*$F$25*$F50*I$131*I$116/1000</f>
        <v>10.699945733786398</v>
      </c>
      <c r="J182" s="39">
        <f>$F42*$F$25*$F50*J$131*J$116/1000</f>
        <v>11.545241446755524</v>
      </c>
      <c r="K182" s="39">
        <f>$F42*$F$25*$F50*K$131*K$116/1000</f>
        <v>12.457315521049212</v>
      </c>
      <c r="L182" s="39">
        <f>$F42*$F$25*$F50*L$131*L$116/1000</f>
        <v>13.4414434472121</v>
      </c>
      <c r="M182" s="39">
        <f>$F42*$F$25*$F50*M$131*M$116/1000</f>
        <v>14.503317479541852</v>
      </c>
      <c r="N182" s="39">
        <f>$F42*$F$25*$F50*N$131*N$116/1000</f>
        <v>15.64907956042566</v>
      </c>
      <c r="O182" s="39">
        <f>$F42*$F$25*$F50*O$131*O$116/1000</f>
        <v>16.885356845699288</v>
      </c>
      <c r="P182" s="3"/>
      <c r="Q182" s="3"/>
      <c r="R182" s="3"/>
      <c r="S182" s="3"/>
      <c r="T182" s="3"/>
      <c r="U182" s="3"/>
      <c r="V182" s="3"/>
      <c r="W182" s="3"/>
      <c r="X182" s="3"/>
      <c r="Y182" s="3"/>
      <c r="Z182" s="3"/>
    </row>
    <row r="183" spans="1:26" ht="12.75" x14ac:dyDescent="0.2">
      <c r="A183" s="3"/>
      <c r="B183" s="33"/>
      <c r="C183" s="115" t="s">
        <v>290</v>
      </c>
      <c r="D183" s="33"/>
      <c r="E183" s="35"/>
      <c r="F183" s="104">
        <f>$F43*$F$25*$F51*F$131*F$116/1000</f>
        <v>32.868449999999996</v>
      </c>
      <c r="G183" s="104">
        <f>$F43*$F$25*$F51*G$131*G$116/1000</f>
        <v>35.465057549999997</v>
      </c>
      <c r="H183" s="104">
        <f>$F43*$F$25*$F51*H$131*H$116/1000</f>
        <v>38.266797096449991</v>
      </c>
      <c r="I183" s="104">
        <f>$F43*$F$25*$F51*I$131*I$116/1000</f>
        <v>41.28987406706954</v>
      </c>
      <c r="J183" s="104">
        <f>$F43*$F$25*$F51*J$131*J$116/1000</f>
        <v>44.551774118368037</v>
      </c>
      <c r="K183" s="104">
        <f>$F43*$F$25*$F51*K$131*K$116/1000</f>
        <v>48.071364273719112</v>
      </c>
      <c r="L183" s="104">
        <f>$F43*$F$25*$F51*L$131*L$116/1000</f>
        <v>51.869002051342918</v>
      </c>
      <c r="M183" s="104">
        <f>$F43*$F$25*$F51*M$131*M$116/1000</f>
        <v>55.966653213399006</v>
      </c>
      <c r="N183" s="104">
        <f>$F43*$F$25*$F51*N$131*N$116/1000</f>
        <v>60.388018817257525</v>
      </c>
      <c r="O183" s="104">
        <f>$F43*$F$25*$F51*O$131*O$116/1000</f>
        <v>65.158672303820865</v>
      </c>
      <c r="P183" s="3"/>
      <c r="Q183" s="3"/>
      <c r="R183" s="3"/>
      <c r="S183" s="3"/>
      <c r="T183" s="3"/>
      <c r="U183" s="3"/>
      <c r="V183" s="3"/>
      <c r="W183" s="3"/>
      <c r="X183" s="3"/>
      <c r="Y183" s="3"/>
      <c r="Z183" s="3"/>
    </row>
    <row r="184" spans="1:26" ht="12.75" x14ac:dyDescent="0.2">
      <c r="A184" s="3"/>
      <c r="B184" s="33"/>
      <c r="C184" s="94" t="s">
        <v>278</v>
      </c>
      <c r="D184" s="33"/>
      <c r="E184" s="35"/>
      <c r="F184" s="39">
        <f>$F44*$F$25*$F52*F$131*F$116/1000</f>
        <v>12.089100000000002</v>
      </c>
      <c r="G184" s="39">
        <f>$F44*$F$25*$F52*G$131*G$116/1000</f>
        <v>13.044138900000002</v>
      </c>
      <c r="H184" s="39">
        <f>$F44*$F$25*$F52*H$131*H$116/1000</f>
        <v>14.074625873100002</v>
      </c>
      <c r="I184" s="39">
        <f>$F44*$F$25*$F52*I$131*I$116/1000</f>
        <v>15.1865213170749</v>
      </c>
      <c r="J184" s="39">
        <f>$F44*$F$25*$F52*J$131*J$116/1000</f>
        <v>16.386256501123817</v>
      </c>
      <c r="K184" s="39">
        <f>$F44*$F$25*$F52*K$131*K$116/1000</f>
        <v>17.680770764712602</v>
      </c>
      <c r="L184" s="39">
        <f>$F44*$F$25*$F52*L$131*L$116/1000</f>
        <v>19.077551655124896</v>
      </c>
      <c r="M184" s="39">
        <f>$F44*$F$25*$F52*M$131*M$116/1000</f>
        <v>20.58467823587976</v>
      </c>
      <c r="N184" s="39">
        <f>$F44*$F$25*$F52*N$131*N$116/1000</f>
        <v>22.210867816514259</v>
      </c>
      <c r="O184" s="39">
        <f>$F44*$F$25*$F52*O$131*O$116/1000</f>
        <v>23.965526374018886</v>
      </c>
      <c r="P184" s="3"/>
      <c r="Q184" s="3"/>
      <c r="R184" s="3"/>
      <c r="S184" s="3"/>
      <c r="T184" s="3"/>
      <c r="U184" s="3"/>
      <c r="V184" s="3"/>
      <c r="W184" s="3"/>
      <c r="X184" s="3"/>
      <c r="Y184" s="3"/>
      <c r="Z184" s="3"/>
    </row>
    <row r="185" spans="1:26" ht="12.75" x14ac:dyDescent="0.2">
      <c r="A185" s="3"/>
      <c r="B185" s="33"/>
      <c r="C185" s="9" t="s">
        <v>85</v>
      </c>
      <c r="D185" s="33"/>
      <c r="E185" s="35"/>
      <c r="F185" s="39">
        <f>IF(F176&gt;($F$46-1),0,$F45*$F$25*$F52*F$131*F$116/1000)</f>
        <v>0</v>
      </c>
      <c r="G185" s="39">
        <f>IF(G176&gt;($F$46-1),0,$F45*$F$25*$F52*G$131*G$116/1000)</f>
        <v>0</v>
      </c>
      <c r="H185" s="39">
        <f>IF(H176&gt;($F$46-1),0,$F45*$F$25*$F52*H$131*H$116/1000)</f>
        <v>0</v>
      </c>
      <c r="I185" s="39">
        <f>IF(I176&gt;($F$46-1),0,$F45*$F$25*$F52*I$131*I$116/1000)</f>
        <v>0</v>
      </c>
      <c r="J185" s="39">
        <f>IF(J176&gt;($F$46-1),0,$F45*$F$25*$F52*J$131*J$116/1000)</f>
        <v>0</v>
      </c>
      <c r="K185" s="39">
        <f>IF(K176&gt;($F$46-1),0,$F45*$F$25*$F52*K$131*K$116/1000)</f>
        <v>0</v>
      </c>
      <c r="L185" s="39">
        <f>IF(L176&gt;($F$46-1),0,$F45*$F$25*$F52*L$131*L$116/1000)</f>
        <v>0</v>
      </c>
      <c r="M185" s="39">
        <f>IF(M176&gt;($F$46-1),0,$F45*$F$25*$F52*M$131*M$116/1000)</f>
        <v>0</v>
      </c>
      <c r="N185" s="39">
        <f>IF(N176&gt;($F$46-1),0,$F45*$F$25*$F52*N$131*N$116/1000)</f>
        <v>0</v>
      </c>
      <c r="O185" s="39">
        <f>IF(O176&gt;($F$46-1),0,$F45*$F$25*$F52*O$131*O$116/1000)</f>
        <v>0</v>
      </c>
      <c r="P185" s="3"/>
      <c r="Q185" s="3"/>
      <c r="R185" s="3"/>
      <c r="S185" s="3"/>
      <c r="T185" s="3"/>
      <c r="U185" s="3"/>
      <c r="V185" s="3"/>
      <c r="W185" s="3"/>
      <c r="X185" s="3"/>
      <c r="Y185" s="3"/>
      <c r="Z185" s="3"/>
    </row>
    <row r="186" spans="1:26" ht="12.75" x14ac:dyDescent="0.2">
      <c r="A186" s="3"/>
      <c r="B186" s="33"/>
      <c r="C186" s="31" t="s">
        <v>207</v>
      </c>
      <c r="D186" s="36"/>
      <c r="E186" s="36"/>
      <c r="F186" s="40">
        <f>SUM(F179:F185)</f>
        <v>64.042649999999995</v>
      </c>
      <c r="G186" s="40">
        <f t="shared" ref="G186:O186" si="42">SUM(G179:G185)</f>
        <v>69.102019350000006</v>
      </c>
      <c r="H186" s="40">
        <f t="shared" si="42"/>
        <v>74.561078878649994</v>
      </c>
      <c r="I186" s="40">
        <f t="shared" si="42"/>
        <v>80.451404110063336</v>
      </c>
      <c r="J186" s="40">
        <f t="shared" si="42"/>
        <v>86.807065034758352</v>
      </c>
      <c r="K186" s="40">
        <f t="shared" si="42"/>
        <v>93.664823172504256</v>
      </c>
      <c r="L186" s="40">
        <f t="shared" si="42"/>
        <v>101.06434420313209</v>
      </c>
      <c r="M186" s="40">
        <f t="shared" si="42"/>
        <v>109.04842739517953</v>
      </c>
      <c r="N186" s="40">
        <f t="shared" si="42"/>
        <v>117.66325315939869</v>
      </c>
      <c r="O186" s="40">
        <f t="shared" si="42"/>
        <v>126.95865015899119</v>
      </c>
      <c r="P186" s="3"/>
      <c r="Q186" s="3"/>
      <c r="R186" s="3"/>
      <c r="S186" s="3"/>
      <c r="T186" s="3"/>
      <c r="U186" s="3"/>
      <c r="V186" s="3"/>
      <c r="W186" s="3"/>
      <c r="X186" s="3"/>
      <c r="Y186" s="3"/>
      <c r="Z186" s="3"/>
    </row>
    <row r="187" spans="1:26" ht="12.75" x14ac:dyDescent="0.2">
      <c r="A187" s="3"/>
      <c r="B187" s="33"/>
      <c r="C187" s="9"/>
      <c r="D187" s="33"/>
      <c r="E187" s="33"/>
      <c r="F187" s="41"/>
      <c r="G187" s="41"/>
      <c r="H187" s="41"/>
      <c r="I187" s="41"/>
      <c r="J187" s="41"/>
      <c r="K187" s="41"/>
      <c r="L187" s="41"/>
      <c r="M187" s="41"/>
      <c r="N187" s="41"/>
      <c r="O187" s="41"/>
      <c r="P187" s="3"/>
      <c r="Q187" s="3"/>
      <c r="R187" s="3"/>
      <c r="S187" s="3"/>
      <c r="T187" s="3"/>
      <c r="U187" s="3"/>
      <c r="V187" s="3"/>
      <c r="W187" s="3"/>
      <c r="X187" s="3"/>
      <c r="Y187" s="3"/>
      <c r="Z187" s="3"/>
    </row>
    <row r="188" spans="1:26" ht="12.75" x14ac:dyDescent="0.2">
      <c r="A188" s="3"/>
      <c r="B188" s="33"/>
      <c r="C188" s="34" t="s">
        <v>215</v>
      </c>
      <c r="D188" s="33"/>
      <c r="E188" s="33"/>
      <c r="F188" s="41"/>
      <c r="G188" s="41"/>
      <c r="H188" s="41"/>
      <c r="I188" s="41"/>
      <c r="J188" s="41"/>
      <c r="K188" s="41"/>
      <c r="L188" s="41"/>
      <c r="M188" s="41"/>
      <c r="N188" s="41"/>
      <c r="O188" s="41"/>
      <c r="P188" s="3"/>
      <c r="Q188" s="3"/>
      <c r="R188" s="3"/>
      <c r="S188" s="3"/>
      <c r="T188" s="3"/>
      <c r="U188" s="3"/>
      <c r="V188" s="3"/>
      <c r="W188" s="3"/>
      <c r="X188" s="3"/>
      <c r="Y188" s="3"/>
      <c r="Z188" s="3"/>
    </row>
    <row r="189" spans="1:26" ht="12.75" x14ac:dyDescent="0.2">
      <c r="A189" s="3"/>
      <c r="B189" s="33"/>
      <c r="C189" s="27" t="s">
        <v>610</v>
      </c>
      <c r="D189" s="33"/>
      <c r="E189" s="33"/>
      <c r="F189" s="104">
        <f>$F$56*$F$25*F$116/1000</f>
        <v>10.897500000000001</v>
      </c>
      <c r="G189" s="104"/>
      <c r="H189" s="104"/>
      <c r="I189" s="104"/>
      <c r="J189" s="104"/>
      <c r="K189" s="104"/>
      <c r="L189" s="104"/>
      <c r="M189" s="104"/>
      <c r="N189" s="104"/>
      <c r="O189" s="104"/>
      <c r="P189" s="3"/>
      <c r="Q189" s="3"/>
      <c r="R189" s="3"/>
      <c r="S189" s="3"/>
      <c r="T189" s="3"/>
      <c r="U189" s="3"/>
      <c r="V189" s="3"/>
      <c r="W189" s="3"/>
      <c r="X189" s="3"/>
      <c r="Y189" s="3"/>
      <c r="Z189" s="3"/>
    </row>
    <row r="190" spans="1:26" ht="12.75" x14ac:dyDescent="0.2">
      <c r="A190" s="3"/>
      <c r="B190" s="33"/>
      <c r="C190" s="27" t="s">
        <v>283</v>
      </c>
      <c r="D190" s="33"/>
      <c r="E190" s="33"/>
      <c r="F190" s="104">
        <f t="shared" ref="F190:O190" si="43">($F$58+$F$58*($F$25-1)*($F$57))/1000*F$116</f>
        <v>5.7781730769230775</v>
      </c>
      <c r="G190" s="104">
        <f t="shared" si="43"/>
        <v>6.2346487500000007</v>
      </c>
      <c r="H190" s="104">
        <f t="shared" si="43"/>
        <v>6.7271860012499998</v>
      </c>
      <c r="I190" s="104">
        <f t="shared" si="43"/>
        <v>7.2586336953487498</v>
      </c>
      <c r="J190" s="104">
        <f t="shared" si="43"/>
        <v>7.8320657572813017</v>
      </c>
      <c r="K190" s="104">
        <f t="shared" si="43"/>
        <v>8.4507989521065241</v>
      </c>
      <c r="L190" s="104">
        <f t="shared" si="43"/>
        <v>9.1184120693229396</v>
      </c>
      <c r="M190" s="104">
        <f t="shared" si="43"/>
        <v>9.8387666227994508</v>
      </c>
      <c r="N190" s="104">
        <f t="shared" si="43"/>
        <v>10.616029186000606</v>
      </c>
      <c r="O190" s="104">
        <f t="shared" si="43"/>
        <v>11.454695491694654</v>
      </c>
      <c r="P190" s="3"/>
      <c r="Q190" s="3"/>
      <c r="R190" s="3"/>
      <c r="S190" s="3"/>
      <c r="T190" s="3"/>
      <c r="U190" s="3"/>
      <c r="V190" s="3"/>
      <c r="W190" s="3"/>
      <c r="X190" s="3"/>
      <c r="Y190" s="3"/>
      <c r="Z190" s="3"/>
    </row>
    <row r="191" spans="1:26" ht="12.75" x14ac:dyDescent="0.2">
      <c r="A191" s="3"/>
      <c r="B191" s="33"/>
      <c r="C191" s="27" t="s">
        <v>614</v>
      </c>
      <c r="D191" s="33"/>
      <c r="E191" s="33"/>
      <c r="F191" s="106">
        <f>$F$59*$F$60*$F$25*F116/1000</f>
        <v>0</v>
      </c>
      <c r="G191" s="106">
        <f>$F$59*$F$60*$F$25*G116/1000</f>
        <v>0</v>
      </c>
      <c r="H191" s="106">
        <f>$F$59*$F$60*$F$25*H116/1000</f>
        <v>0</v>
      </c>
      <c r="I191" s="106">
        <f>$F$59*$F$60*$F$25*I116/1000</f>
        <v>0</v>
      </c>
      <c r="J191" s="106">
        <f>$F$59*$F$60*$F$25*J116/1000</f>
        <v>0</v>
      </c>
      <c r="K191" s="106">
        <f>$F$59*$F$60*$F$25*K116/1000</f>
        <v>0</v>
      </c>
      <c r="L191" s="106">
        <f>$F$59*$F$60*$F$25*L116/1000</f>
        <v>0</v>
      </c>
      <c r="M191" s="106">
        <f>$F$59*$F$60*$F$25*M116/1000</f>
        <v>0</v>
      </c>
      <c r="N191" s="106">
        <f>$F$59*$F$60*$F$25*N116/1000</f>
        <v>0</v>
      </c>
      <c r="O191" s="106">
        <f>$F$59*$F$60*$F$25*O116/1000</f>
        <v>0</v>
      </c>
      <c r="P191" s="3"/>
      <c r="Q191" s="3"/>
      <c r="R191" s="3"/>
      <c r="S191" s="3"/>
      <c r="T191" s="3"/>
      <c r="U191" s="3"/>
      <c r="V191" s="3"/>
      <c r="W191" s="3"/>
      <c r="X191" s="3"/>
      <c r="Y191" s="3"/>
      <c r="Z191" s="3"/>
    </row>
    <row r="192" spans="1:26" ht="12.75" x14ac:dyDescent="0.2">
      <c r="A192" s="3"/>
      <c r="B192" s="33"/>
      <c r="C192" s="31" t="s">
        <v>216</v>
      </c>
      <c r="D192" s="36"/>
      <c r="E192" s="36"/>
      <c r="F192" s="40">
        <f>SUM(F189:F191)</f>
        <v>16.675673076923079</v>
      </c>
      <c r="G192" s="40">
        <f t="shared" ref="G192:O192" si="44">SUM(G189:G191)</f>
        <v>6.2346487500000007</v>
      </c>
      <c r="H192" s="40">
        <f t="shared" si="44"/>
        <v>6.7271860012499998</v>
      </c>
      <c r="I192" s="40">
        <f t="shared" si="44"/>
        <v>7.2586336953487498</v>
      </c>
      <c r="J192" s="40">
        <f t="shared" si="44"/>
        <v>7.8320657572813017</v>
      </c>
      <c r="K192" s="40">
        <f t="shared" si="44"/>
        <v>8.4507989521065241</v>
      </c>
      <c r="L192" s="40">
        <f t="shared" si="44"/>
        <v>9.1184120693229396</v>
      </c>
      <c r="M192" s="40">
        <f t="shared" si="44"/>
        <v>9.8387666227994508</v>
      </c>
      <c r="N192" s="40">
        <f t="shared" si="44"/>
        <v>10.616029186000606</v>
      </c>
      <c r="O192" s="40">
        <f t="shared" si="44"/>
        <v>11.454695491694654</v>
      </c>
      <c r="P192" s="3"/>
      <c r="Q192" s="3"/>
      <c r="R192" s="3"/>
      <c r="S192" s="3"/>
      <c r="T192" s="3"/>
      <c r="U192" s="3"/>
      <c r="V192" s="3"/>
      <c r="W192" s="3"/>
      <c r="X192" s="3"/>
      <c r="Y192" s="3"/>
      <c r="Z192" s="3"/>
    </row>
    <row r="193" spans="1:26" ht="12.75" x14ac:dyDescent="0.2">
      <c r="A193" s="3"/>
      <c r="B193" s="33"/>
      <c r="C193" s="35"/>
      <c r="D193" s="33"/>
      <c r="E193" s="33"/>
      <c r="F193" s="41"/>
      <c r="G193" s="41"/>
      <c r="H193" s="41"/>
      <c r="I193" s="41"/>
      <c r="J193" s="41"/>
      <c r="K193" s="41"/>
      <c r="L193" s="41"/>
      <c r="M193" s="41"/>
      <c r="N193" s="41"/>
      <c r="O193" s="41"/>
      <c r="P193" s="3"/>
      <c r="Q193" s="3"/>
      <c r="R193" s="3"/>
      <c r="S193" s="3"/>
      <c r="T193" s="3"/>
      <c r="U193" s="3"/>
      <c r="V193" s="3"/>
      <c r="W193" s="3"/>
      <c r="X193" s="3"/>
      <c r="Y193" s="3"/>
      <c r="Z193" s="3"/>
    </row>
    <row r="194" spans="1:26" ht="12.75" x14ac:dyDescent="0.2">
      <c r="A194" s="3"/>
      <c r="B194" s="33"/>
      <c r="C194" s="34" t="s">
        <v>219</v>
      </c>
      <c r="D194" s="33"/>
      <c r="E194" s="33"/>
      <c r="F194" s="41"/>
      <c r="G194" s="41"/>
      <c r="H194" s="41"/>
      <c r="I194" s="41"/>
      <c r="J194" s="41"/>
      <c r="K194" s="41"/>
      <c r="L194" s="41"/>
      <c r="M194" s="41"/>
      <c r="N194" s="41"/>
      <c r="O194" s="41"/>
      <c r="P194" s="3"/>
      <c r="Q194" s="3"/>
      <c r="R194" s="3"/>
      <c r="S194" s="3"/>
      <c r="T194" s="3"/>
      <c r="U194" s="3"/>
      <c r="V194" s="3"/>
      <c r="W194" s="3"/>
      <c r="X194" s="3"/>
      <c r="Y194" s="3"/>
      <c r="Z194" s="3"/>
    </row>
    <row r="195" spans="1:26" ht="12.75" x14ac:dyDescent="0.2">
      <c r="A195" s="3"/>
      <c r="B195" s="33"/>
      <c r="C195" s="27" t="s">
        <v>602</v>
      </c>
      <c r="D195" s="33"/>
      <c r="E195" s="33"/>
      <c r="F195" s="81">
        <f>$F$73*$F$64*$F$25*F116/1000</f>
        <v>49.994999999999997</v>
      </c>
      <c r="G195" s="39"/>
      <c r="H195" s="39"/>
      <c r="I195" s="39"/>
      <c r="J195" s="39"/>
      <c r="K195" s="39"/>
      <c r="L195" s="39"/>
      <c r="M195" s="39"/>
      <c r="N195" s="39"/>
      <c r="O195" s="39"/>
      <c r="P195" s="3"/>
      <c r="Q195" s="3"/>
      <c r="R195" s="3"/>
      <c r="S195" s="3"/>
      <c r="T195" s="3"/>
      <c r="U195" s="3"/>
      <c r="V195" s="3"/>
      <c r="W195" s="3"/>
      <c r="X195" s="3"/>
      <c r="Y195" s="3"/>
      <c r="Z195" s="3"/>
    </row>
    <row r="196" spans="1:26" ht="12.75" x14ac:dyDescent="0.2">
      <c r="A196" s="3"/>
      <c r="B196" s="33"/>
      <c r="C196" s="27" t="s">
        <v>495</v>
      </c>
      <c r="D196" s="33"/>
      <c r="E196" s="33"/>
      <c r="F196" s="39">
        <f>$F66*$F$25*$F74/1000*F$118*(1+$F$79)*F$123</f>
        <v>0</v>
      </c>
      <c r="G196" s="39">
        <f>$F66*$F$25*$F74/1000*G$118*(1+$F$79)*G$123</f>
        <v>0</v>
      </c>
      <c r="H196" s="39">
        <f>$F66*$F$25*$F74/1000*H$118*(1+$F$79)*H$123</f>
        <v>0</v>
      </c>
      <c r="I196" s="39">
        <f>$F66*$F$25*$F74/1000*I$118*(1+$F$79)*I$123</f>
        <v>0</v>
      </c>
      <c r="J196" s="39">
        <f>$F66*$F$25*$F74/1000*J$118*(1+$F$79)*J$123</f>
        <v>0</v>
      </c>
      <c r="K196" s="39">
        <f>$F66*$F$25*$F74/1000*K$118*(1+$F$79)*K$123</f>
        <v>0</v>
      </c>
      <c r="L196" s="39">
        <f>$F66*$F$25*$F74/1000*L$118*(1+$F$79)*L$123</f>
        <v>0</v>
      </c>
      <c r="M196" s="39">
        <f>$F66*$F$25*$F74/1000*M$118*(1+$F$79)*M$123</f>
        <v>0</v>
      </c>
      <c r="N196" s="39">
        <f>$F66*$F$25*$F74/1000*N$118*(1+$F$79)*N$123</f>
        <v>0</v>
      </c>
      <c r="O196" s="39">
        <f>$F66*$F$25*$F74/1000*O$118*(1+$F$79)*O$123</f>
        <v>0</v>
      </c>
      <c r="P196" s="3"/>
      <c r="Q196" s="3"/>
      <c r="R196" s="3"/>
      <c r="S196" s="3"/>
      <c r="T196" s="3"/>
      <c r="U196" s="3"/>
      <c r="V196" s="3"/>
      <c r="W196" s="3"/>
      <c r="X196" s="3"/>
      <c r="Y196" s="3"/>
      <c r="Z196" s="3"/>
    </row>
    <row r="197" spans="1:26" ht="12.75" x14ac:dyDescent="0.2">
      <c r="A197" s="3"/>
      <c r="B197" s="33"/>
      <c r="C197" s="111" t="s">
        <v>353</v>
      </c>
      <c r="D197" s="33"/>
      <c r="E197" s="33"/>
      <c r="F197" s="39">
        <f>$F67*$F$25*$F75/1000*F$118*(1+$F$79)*F$123</f>
        <v>5.4900000004500003</v>
      </c>
      <c r="G197" s="39">
        <f>$F67*$F$25*$F75/1000*G$118*(1+$F$79)*G$123</f>
        <v>5.9237100004855492</v>
      </c>
      <c r="H197" s="39">
        <f>$F67*$F$25*$F75/1000*H$118*(1+$F$79)*H$123</f>
        <v>6.391683090523907</v>
      </c>
      <c r="I197" s="39">
        <f>$F67*$F$25*$F75/1000*I$118*(1+$F$79)*I$123</f>
        <v>6.8966260546752967</v>
      </c>
      <c r="J197" s="39">
        <f>$F67*$F$25*$F75/1000*J$118*(1+$F$79)*J$123</f>
        <v>7.4414595129946441</v>
      </c>
      <c r="K197" s="39">
        <f>$F67*$F$25*$F75/1000*K$118*(1+$F$79)*K$123</f>
        <v>8.0293348145212224</v>
      </c>
      <c r="L197" s="39">
        <f>$F67*$F$25*$F75/1000*L$118*(1+$F$79)*L$123</f>
        <v>8.6636522648683982</v>
      </c>
      <c r="M197" s="39">
        <f>$F67*$F$25*$F75/1000*M$118*(1+$F$79)*M$123</f>
        <v>9.3480807937930024</v>
      </c>
      <c r="N197" s="39">
        <f>$F67*$F$25*$F75/1000*N$118*(1+$F$79)*N$123</f>
        <v>10.086579176502649</v>
      </c>
      <c r="O197" s="39">
        <f>$F67*$F$25*$F75/1000*O$118*(1+$F$79)*O$123</f>
        <v>10.883418931446357</v>
      </c>
      <c r="P197" s="3"/>
      <c r="Q197" s="3"/>
      <c r="R197" s="3"/>
      <c r="S197" s="3"/>
      <c r="T197" s="3"/>
      <c r="U197" s="3"/>
      <c r="V197" s="3"/>
      <c r="W197" s="3"/>
      <c r="X197" s="3"/>
      <c r="Y197" s="3"/>
      <c r="Z197" s="3"/>
    </row>
    <row r="198" spans="1:26" ht="12.75" x14ac:dyDescent="0.2">
      <c r="A198" s="3"/>
      <c r="B198" s="33"/>
      <c r="C198" s="111" t="s">
        <v>334</v>
      </c>
      <c r="D198" s="33"/>
      <c r="E198" s="33"/>
      <c r="F198" s="39">
        <f>$F68*$F$25*$F76/1000*F$118*(1+$F$79)*F$123</f>
        <v>5.0160000001477201</v>
      </c>
      <c r="G198" s="39">
        <f>$F68*$F$25*$F76/1000*G$118*(1+$F$79)*G$123</f>
        <v>5.4122640001593902</v>
      </c>
      <c r="H198" s="39">
        <f>$F68*$F$25*$F76/1000*H$118*(1+$F$79)*H$123</f>
        <v>5.8398328561719808</v>
      </c>
      <c r="I198" s="39">
        <f>$F68*$F$25*$F76/1000*I$118*(1+$F$79)*I$123</f>
        <v>6.3011796518095684</v>
      </c>
      <c r="J198" s="39">
        <f>$F68*$F$25*$F76/1000*J$118*(1+$F$79)*J$123</f>
        <v>6.7989728443025239</v>
      </c>
      <c r="K198" s="39">
        <f>$F68*$F$25*$F76/1000*K$118*(1+$F$79)*K$123</f>
        <v>7.3360916990024236</v>
      </c>
      <c r="L198" s="39">
        <f>$F68*$F$25*$F76/1000*L$118*(1+$F$79)*L$123</f>
        <v>7.9156429432236139</v>
      </c>
      <c r="M198" s="39">
        <f>$F68*$F$25*$F76/1000*M$118*(1+$F$79)*M$123</f>
        <v>8.54097873573828</v>
      </c>
      <c r="N198" s="39">
        <f>$F68*$F$25*$F76/1000*N$118*(1+$F$79)*N$123</f>
        <v>9.2157160558616038</v>
      </c>
      <c r="O198" s="39">
        <f>$F68*$F$25*$F76/1000*O$118*(1+$F$79)*O$123</f>
        <v>9.943757624274669</v>
      </c>
      <c r="P198" s="3"/>
      <c r="Q198" s="3"/>
      <c r="R198" s="3"/>
      <c r="S198" s="3"/>
      <c r="T198" s="3"/>
      <c r="U198" s="3"/>
      <c r="V198" s="3"/>
      <c r="W198" s="3"/>
      <c r="X198" s="3"/>
      <c r="Y198" s="3"/>
      <c r="Z198" s="3"/>
    </row>
    <row r="199" spans="1:26" ht="12.75" x14ac:dyDescent="0.2">
      <c r="A199" s="3"/>
      <c r="B199" s="33"/>
      <c r="C199" s="9" t="s">
        <v>105</v>
      </c>
      <c r="D199" s="33"/>
      <c r="E199" s="33"/>
      <c r="F199" s="39">
        <f>$F69*$F$25*$F77/1000*F$118*(1+$F$79)*F$123</f>
        <v>2.4</v>
      </c>
      <c r="G199" s="39">
        <f>$F69*$F$25*$F77/1000*G$118*(1+$F$79)*G$123</f>
        <v>2.5895999999999995</v>
      </c>
      <c r="H199" s="39">
        <f>$F69*$F$25*$F77/1000*H$118*(1+$F$79)*H$123</f>
        <v>2.7941783999999994</v>
      </c>
      <c r="I199" s="39">
        <f>$F69*$F$25*$F77/1000*I$118*(1+$F$79)*I$123</f>
        <v>3.0149184935999997</v>
      </c>
      <c r="J199" s="39">
        <f>$F69*$F$25*$F77/1000*J$118*(1+$F$79)*J$123</f>
        <v>3.2530970545943996</v>
      </c>
      <c r="K199" s="39">
        <f>$F69*$F$25*$F77/1000*K$118*(1+$F$79)*K$123</f>
        <v>3.5100917219073566</v>
      </c>
      <c r="L199" s="39">
        <f>$F69*$F$25*$F77/1000*L$118*(1+$F$79)*L$123</f>
        <v>3.7873889679380381</v>
      </c>
      <c r="M199" s="39">
        <f>$F69*$F$25*$F77/1000*M$118*(1+$F$79)*M$123</f>
        <v>4.0865926964051438</v>
      </c>
      <c r="N199" s="39">
        <f>$F69*$F$25*$F77/1000*N$118*(1+$F$79)*N$123</f>
        <v>4.4094335194211496</v>
      </c>
      <c r="O199" s="39">
        <f>$F69*$F$25*$F77/1000*O$118*(1+$F$79)*O$123</f>
        <v>4.7577787674554193</v>
      </c>
      <c r="P199" s="3"/>
      <c r="Q199" s="3"/>
      <c r="R199" s="3"/>
      <c r="S199" s="3"/>
      <c r="T199" s="3"/>
      <c r="U199" s="3"/>
      <c r="V199" s="3"/>
      <c r="W199" s="3"/>
      <c r="X199" s="3"/>
      <c r="Y199" s="3"/>
      <c r="Z199" s="3"/>
    </row>
    <row r="200" spans="1:26" ht="12.75" x14ac:dyDescent="0.2">
      <c r="A200" s="3"/>
      <c r="B200" s="33"/>
      <c r="C200" s="9" t="s">
        <v>108</v>
      </c>
      <c r="D200" s="33"/>
      <c r="E200" s="33"/>
      <c r="F200" s="39">
        <f>ROUNDUP(F149*1000/$F$70,0)*$F78/1000*F$116</f>
        <v>0.6</v>
      </c>
      <c r="G200" s="39">
        <f>ROUNDUP(G149*1000/$F$70,0)*$F78/1000*G$116</f>
        <v>0.64739999999999998</v>
      </c>
      <c r="H200" s="39">
        <f>ROUNDUP(H149*1000/$F$70,0)*$F78/1000*H$116</f>
        <v>0.69854459999999985</v>
      </c>
      <c r="I200" s="39">
        <f>ROUNDUP(I149*1000/$F$70,0)*$F78/1000*I$116</f>
        <v>0.75372962339999994</v>
      </c>
      <c r="J200" s="39">
        <f>ROUNDUP(J149*1000/$F$70,0)*$F78/1000*J$116</f>
        <v>0.81327426364859989</v>
      </c>
      <c r="K200" s="39">
        <f>ROUNDUP(K149*1000/$F$70,0)*$F78/1000*K$116</f>
        <v>0.87752293047683927</v>
      </c>
      <c r="L200" s="39">
        <f>ROUNDUP(L149*1000/$F$70,0)*$F78/1000*L$116</f>
        <v>0.94684724198450954</v>
      </c>
      <c r="M200" s="39">
        <f>ROUNDUP(M149*1000/$F$70,0)*$F78/1000*M$116</f>
        <v>1.0216481741012857</v>
      </c>
      <c r="N200" s="39">
        <f>ROUNDUP(N149*1000/$F$70,0)*$F78/1000*N$116</f>
        <v>1.1023583798552872</v>
      </c>
      <c r="O200" s="39">
        <f>ROUNDUP(O149*1000/$F$70,0)*$F78/1000*O$116</f>
        <v>1.189444691863855</v>
      </c>
      <c r="P200" s="3"/>
      <c r="Q200" s="3"/>
      <c r="R200" s="3"/>
      <c r="S200" s="3"/>
      <c r="T200" s="3"/>
      <c r="U200" s="3"/>
      <c r="V200" s="3"/>
      <c r="W200" s="3"/>
      <c r="X200" s="3"/>
      <c r="Y200" s="3"/>
      <c r="Z200" s="3"/>
    </row>
    <row r="201" spans="1:26" ht="12.75" x14ac:dyDescent="0.2">
      <c r="A201" s="3"/>
      <c r="B201" s="33"/>
      <c r="C201" s="36" t="s">
        <v>217</v>
      </c>
      <c r="D201" s="36"/>
      <c r="E201" s="36"/>
      <c r="F201" s="48">
        <f t="shared" ref="F201:N201" si="45">SUM(F195:F200)</f>
        <v>63.50100000059772</v>
      </c>
      <c r="G201" s="48">
        <f t="shared" si="45"/>
        <v>14.572974000644937</v>
      </c>
      <c r="H201" s="48">
        <f t="shared" si="45"/>
        <v>15.724238946695888</v>
      </c>
      <c r="I201" s="48">
        <f t="shared" si="45"/>
        <v>16.966453823484862</v>
      </c>
      <c r="J201" s="48">
        <f t="shared" si="45"/>
        <v>18.30680367554017</v>
      </c>
      <c r="K201" s="48">
        <f t="shared" si="45"/>
        <v>19.753041165907842</v>
      </c>
      <c r="L201" s="48">
        <f t="shared" si="45"/>
        <v>21.313531418014563</v>
      </c>
      <c r="M201" s="48">
        <f t="shared" si="45"/>
        <v>22.997300400037712</v>
      </c>
      <c r="N201" s="48">
        <f t="shared" si="45"/>
        <v>24.814087131640687</v>
      </c>
      <c r="O201" s="48">
        <f>SUM(O195:O200)</f>
        <v>26.7744000150403</v>
      </c>
      <c r="P201" s="3"/>
      <c r="Q201" s="3"/>
      <c r="R201" s="3"/>
      <c r="S201" s="3"/>
      <c r="T201" s="3"/>
      <c r="U201" s="3"/>
      <c r="V201" s="3"/>
      <c r="W201" s="3"/>
      <c r="X201" s="3"/>
      <c r="Y201" s="3"/>
      <c r="Z201" s="3"/>
    </row>
    <row r="202" spans="1:26" ht="12.75" x14ac:dyDescent="0.2">
      <c r="A202" s="3"/>
      <c r="B202" s="33"/>
      <c r="C202" s="62"/>
      <c r="D202" s="62"/>
      <c r="E202" s="62"/>
      <c r="F202" s="103"/>
      <c r="G202" s="103"/>
      <c r="H202" s="103"/>
      <c r="I202" s="103"/>
      <c r="J202" s="103"/>
      <c r="K202" s="103"/>
      <c r="L202" s="103"/>
      <c r="M202" s="103"/>
      <c r="N202" s="103"/>
      <c r="O202" s="103"/>
      <c r="P202" s="3"/>
      <c r="Q202" s="3"/>
      <c r="R202" s="3"/>
      <c r="S202" s="3"/>
      <c r="T202" s="3"/>
      <c r="U202" s="3"/>
      <c r="V202" s="3"/>
      <c r="W202" s="3"/>
      <c r="X202" s="3"/>
      <c r="Y202" s="3"/>
      <c r="Z202" s="3"/>
    </row>
    <row r="203" spans="1:26" ht="12.75" x14ac:dyDescent="0.2">
      <c r="A203" s="3"/>
      <c r="B203" s="33"/>
      <c r="C203" s="34" t="s">
        <v>287</v>
      </c>
      <c r="D203" s="62"/>
      <c r="E203" s="62"/>
      <c r="F203" s="103"/>
      <c r="G203" s="103"/>
      <c r="H203" s="103"/>
      <c r="I203" s="103"/>
      <c r="J203" s="103"/>
      <c r="K203" s="103"/>
      <c r="L203" s="103"/>
      <c r="M203" s="103"/>
      <c r="N203" s="103"/>
      <c r="O203" s="103"/>
      <c r="P203" s="3"/>
      <c r="Q203" s="3"/>
      <c r="R203" s="3"/>
      <c r="S203" s="3"/>
      <c r="T203" s="3"/>
      <c r="U203" s="3"/>
      <c r="V203" s="3"/>
      <c r="W203" s="3"/>
      <c r="X203" s="3"/>
      <c r="Y203" s="3"/>
      <c r="Z203" s="3"/>
    </row>
    <row r="204" spans="1:26" ht="12.75" x14ac:dyDescent="0.2">
      <c r="A204" s="3"/>
      <c r="B204" s="33"/>
      <c r="C204" s="27" t="s">
        <v>282</v>
      </c>
      <c r="D204" s="33"/>
      <c r="E204" s="33"/>
      <c r="F204" s="106">
        <f>$F82*F$116/1000*F$149</f>
        <v>0.88290000000000013</v>
      </c>
      <c r="G204" s="106">
        <f>$F82*G$116/1000*G$149</f>
        <v>0.95264910000000014</v>
      </c>
      <c r="H204" s="106">
        <f>$F82*H$116/1000*H$149</f>
        <v>1.0279083789000001</v>
      </c>
      <c r="I204" s="106">
        <f>$F82*I$116/1000*I$149</f>
        <v>1.1091131408331001</v>
      </c>
      <c r="J204" s="106">
        <f>$F82*J$116/1000*J$149</f>
        <v>1.196733078958915</v>
      </c>
      <c r="K204" s="106">
        <f>$F82*K$116/1000*K$149</f>
        <v>1.2912749921966691</v>
      </c>
      <c r="L204" s="106">
        <f>$F82*L$116/1000*L$149</f>
        <v>1.3932857165802059</v>
      </c>
      <c r="M204" s="106">
        <f>$F82*M$116/1000*M$149</f>
        <v>1.5033552881900423</v>
      </c>
      <c r="N204" s="106">
        <f>$F82*N$116/1000*N$149</f>
        <v>1.6221203559570554</v>
      </c>
      <c r="O204" s="106">
        <f>$F82*O$116/1000*O$149</f>
        <v>1.750267864077663</v>
      </c>
      <c r="P204" s="3"/>
      <c r="Q204" s="3"/>
      <c r="R204" s="3"/>
      <c r="S204" s="3"/>
      <c r="T204" s="3"/>
      <c r="U204" s="3"/>
      <c r="V204" s="3"/>
      <c r="W204" s="3"/>
      <c r="X204" s="3"/>
      <c r="Y204" s="3"/>
      <c r="Z204" s="3"/>
    </row>
    <row r="205" spans="1:26" ht="12.75" x14ac:dyDescent="0.2">
      <c r="A205" s="3"/>
      <c r="B205" s="33"/>
      <c r="C205" s="27" t="s">
        <v>284</v>
      </c>
      <c r="D205" s="33"/>
      <c r="E205" s="33"/>
      <c r="F205" s="107">
        <f>$F83*F$116/1000*(F$149+F$148)</f>
        <v>0.17734153846153852</v>
      </c>
      <c r="G205" s="107">
        <f>$F83*G$116/1000*(G$149+G$148)</f>
        <v>0.19135152000000002</v>
      </c>
      <c r="H205" s="107">
        <f>$F83*H$116/1000*(H$149+H$148)</f>
        <v>0.20646829008000001</v>
      </c>
      <c r="I205" s="107">
        <f>$F83*I$116/1000*(I$149+I$148)</f>
        <v>0.22277928499632002</v>
      </c>
      <c r="J205" s="107">
        <f>$F83*J$116/1000*(J$149+J$148)</f>
        <v>0.24037884851102934</v>
      </c>
      <c r="K205" s="107">
        <f>$F83*K$116/1000*(K$149+K$148)</f>
        <v>0.2593687775434006</v>
      </c>
      <c r="L205" s="107">
        <f>$F83*L$116/1000*(L$149+L$148)</f>
        <v>0.27985891096932924</v>
      </c>
      <c r="M205" s="107">
        <f>$F83*M$116/1000*(M$149+M$148)</f>
        <v>0.30196776493590621</v>
      </c>
      <c r="N205" s="107">
        <f>$F83*N$116/1000*(N$149+N$148)</f>
        <v>0.32582321836584283</v>
      </c>
      <c r="O205" s="107">
        <f>$F83*O$116/1000*(O$149+O$148)</f>
        <v>0.35156325261674443</v>
      </c>
      <c r="P205" s="3"/>
      <c r="Q205" s="3"/>
      <c r="R205" s="3"/>
      <c r="S205" s="3"/>
      <c r="T205" s="3"/>
      <c r="U205" s="3"/>
      <c r="V205" s="3"/>
      <c r="W205" s="3"/>
      <c r="X205" s="3"/>
      <c r="Y205" s="3"/>
      <c r="Z205" s="3"/>
    </row>
    <row r="206" spans="1:26" ht="12.75" x14ac:dyDescent="0.2">
      <c r="A206" s="3"/>
      <c r="B206" s="33"/>
      <c r="C206" s="31" t="s">
        <v>289</v>
      </c>
      <c r="D206" s="36"/>
      <c r="E206" s="36"/>
      <c r="F206" s="40">
        <f t="shared" ref="F206:O206" si="46">SUM(F204:F205)</f>
        <v>1.0602415384615387</v>
      </c>
      <c r="G206" s="40">
        <f t="shared" si="46"/>
        <v>1.1440006200000001</v>
      </c>
      <c r="H206" s="40">
        <f t="shared" si="46"/>
        <v>1.23437666898</v>
      </c>
      <c r="I206" s="40">
        <f t="shared" si="46"/>
        <v>1.33189242582942</v>
      </c>
      <c r="J206" s="40">
        <f t="shared" si="46"/>
        <v>1.4371119274699444</v>
      </c>
      <c r="K206" s="40">
        <f t="shared" si="46"/>
        <v>1.5506437697400697</v>
      </c>
      <c r="L206" s="40">
        <f t="shared" si="46"/>
        <v>1.6731446275495352</v>
      </c>
      <c r="M206" s="40">
        <f t="shared" si="46"/>
        <v>1.8053230531259485</v>
      </c>
      <c r="N206" s="40">
        <f t="shared" si="46"/>
        <v>1.9479435743228981</v>
      </c>
      <c r="O206" s="40">
        <f t="shared" si="46"/>
        <v>2.1018311166944073</v>
      </c>
      <c r="P206" s="3"/>
      <c r="Q206" s="3"/>
      <c r="R206" s="3"/>
      <c r="S206" s="3"/>
      <c r="T206" s="3"/>
      <c r="U206" s="3"/>
      <c r="V206" s="3"/>
      <c r="W206" s="3"/>
      <c r="X206" s="3"/>
      <c r="Y206" s="3"/>
      <c r="Z206" s="3"/>
    </row>
    <row r="207" spans="1:26" ht="12.75" x14ac:dyDescent="0.2">
      <c r="A207" s="3"/>
      <c r="B207" s="3"/>
      <c r="C207" s="3"/>
      <c r="D207" s="3"/>
      <c r="E207" s="3"/>
      <c r="F207" s="28"/>
      <c r="G207" s="3"/>
      <c r="H207" s="3"/>
      <c r="I207" s="3"/>
      <c r="J207" s="3"/>
      <c r="K207" s="3"/>
      <c r="L207" s="3"/>
      <c r="M207" s="3"/>
      <c r="N207" s="3"/>
      <c r="O207" s="3"/>
      <c r="P207" s="3"/>
      <c r="Q207" s="3"/>
      <c r="R207" s="3"/>
      <c r="S207" s="3"/>
      <c r="T207" s="3"/>
      <c r="U207" s="3"/>
      <c r="V207" s="3"/>
      <c r="W207" s="3"/>
      <c r="X207" s="3"/>
      <c r="Y207" s="3"/>
      <c r="Z207" s="3"/>
    </row>
    <row r="208" spans="1:26" ht="12.75" x14ac:dyDescent="0.2">
      <c r="A208" s="3"/>
      <c r="B208" s="567" t="s">
        <v>860</v>
      </c>
      <c r="C208" s="33"/>
      <c r="D208" s="33"/>
      <c r="E208" s="33"/>
      <c r="F208" s="33"/>
      <c r="G208" s="33"/>
      <c r="H208" s="33"/>
      <c r="I208" s="33"/>
      <c r="J208" s="33"/>
      <c r="K208" s="33"/>
      <c r="L208" s="33"/>
      <c r="M208" s="33"/>
      <c r="N208" s="33"/>
      <c r="O208" s="33"/>
      <c r="P208" s="3"/>
      <c r="Q208" s="3"/>
      <c r="R208" s="3"/>
      <c r="S208" s="3"/>
      <c r="T208" s="3"/>
      <c r="U208" s="3"/>
      <c r="V208" s="3"/>
      <c r="W208" s="3"/>
      <c r="X208" s="3"/>
      <c r="Y208" s="3"/>
      <c r="Z208" s="3"/>
    </row>
    <row r="209" spans="1:26" ht="12.75" x14ac:dyDescent="0.2">
      <c r="A209" s="3"/>
      <c r="B209" s="33"/>
      <c r="C209" s="34" t="s">
        <v>218</v>
      </c>
      <c r="D209" s="33"/>
      <c r="E209" s="33"/>
      <c r="F209" s="33"/>
      <c r="G209" s="33"/>
      <c r="H209" s="33"/>
      <c r="I209" s="33"/>
      <c r="J209" s="33"/>
      <c r="K209" s="33"/>
      <c r="L209" s="33"/>
      <c r="M209" s="33"/>
      <c r="N209" s="33"/>
      <c r="O209" s="33"/>
      <c r="P209" s="3"/>
      <c r="Q209" s="3"/>
      <c r="R209" s="3"/>
      <c r="S209" s="3"/>
      <c r="T209" s="3"/>
      <c r="U209" s="3"/>
      <c r="V209" s="3"/>
      <c r="W209" s="3"/>
      <c r="X209" s="3"/>
      <c r="Y209" s="3"/>
      <c r="Z209" s="3"/>
    </row>
    <row r="210" spans="1:26" ht="12.75" x14ac:dyDescent="0.2">
      <c r="A210" s="3"/>
      <c r="B210" s="33"/>
      <c r="C210" s="94" t="s">
        <v>272</v>
      </c>
      <c r="D210" s="33"/>
      <c r="E210" s="33"/>
      <c r="F210" s="39">
        <f>$I39*$I$25*$I47*F$131*F$116/1000</f>
        <v>1.59</v>
      </c>
      <c r="G210" s="39">
        <f>$I39*$I$25*$I47*G$131*G$116/1000</f>
        <v>1.7156099999999999</v>
      </c>
      <c r="H210" s="39">
        <f>$I39*$I$25*$I47*H$131*H$116/1000</f>
        <v>1.8511431899999997</v>
      </c>
      <c r="I210" s="39">
        <f>$I39*$I$25*$I47*I$131*I$116/1000</f>
        <v>1.9973835020099997</v>
      </c>
      <c r="J210" s="39">
        <f>$I39*$I$25*$I47*J$131*J$116/1000</f>
        <v>2.1551767986687898</v>
      </c>
      <c r="K210" s="39">
        <f>$I39*$I$25*$I47*K$131*K$116/1000</f>
        <v>2.3254357657636242</v>
      </c>
      <c r="L210" s="39">
        <f>$I39*$I$25*$I47*L$131*L$116/1000</f>
        <v>2.5091451912589506</v>
      </c>
      <c r="M210" s="39">
        <f>$I39*$I$25*$I47*M$131*M$116/1000</f>
        <v>2.7073676613684072</v>
      </c>
      <c r="N210" s="39">
        <f>$I39*$I$25*$I47*N$131*N$116/1000</f>
        <v>2.9212497066165115</v>
      </c>
      <c r="O210" s="39">
        <f>$I39*$I$25*$I47*O$131*O$116/1000</f>
        <v>3.1520284334392157</v>
      </c>
      <c r="P210" s="3"/>
      <c r="Q210" s="3"/>
      <c r="R210" s="3"/>
      <c r="S210" s="3"/>
      <c r="T210" s="3"/>
      <c r="U210" s="3"/>
      <c r="V210" s="3"/>
      <c r="W210" s="3"/>
      <c r="X210" s="3"/>
      <c r="Y210" s="3"/>
      <c r="Z210" s="3"/>
    </row>
    <row r="211" spans="1:26" ht="12.75" x14ac:dyDescent="0.2">
      <c r="A211" s="3"/>
      <c r="B211" s="33"/>
      <c r="C211" s="115" t="s">
        <v>273</v>
      </c>
      <c r="D211" s="33"/>
      <c r="E211" s="33"/>
      <c r="F211" s="39">
        <f>$I40*$I$25*$I48*F$131*F$116/1000</f>
        <v>3.3201000000000005</v>
      </c>
      <c r="G211" s="39">
        <f>$I40*$I$25*$I48*G$131*G$116/1000</f>
        <v>3.5823879000000001</v>
      </c>
      <c r="H211" s="39">
        <f>$I40*$I$25*$I48*H$131*H$116/1000</f>
        <v>3.8653965441000002</v>
      </c>
      <c r="I211" s="39">
        <f>$I40*$I$25*$I48*I$131*I$116/1000</f>
        <v>4.1707628710839</v>
      </c>
      <c r="J211" s="39">
        <f>$I40*$I$25*$I48*J$131*J$116/1000</f>
        <v>4.5002531378995281</v>
      </c>
      <c r="K211" s="39">
        <f>$I40*$I$25*$I48*K$131*K$116/1000</f>
        <v>4.8557731357935907</v>
      </c>
      <c r="L211" s="39">
        <f>$I40*$I$25*$I48*L$131*L$116/1000</f>
        <v>5.2393792135212847</v>
      </c>
      <c r="M211" s="39">
        <f>$I40*$I$25*$I48*M$131*M$116/1000</f>
        <v>5.6532901713894654</v>
      </c>
      <c r="N211" s="39">
        <f>$I40*$I$25*$I48*N$131*N$116/1000</f>
        <v>6.0999000949292332</v>
      </c>
      <c r="O211" s="39">
        <f>$I40*$I$25*$I48*O$131*O$116/1000</f>
        <v>6.5817922024286428</v>
      </c>
      <c r="P211" s="3"/>
      <c r="Q211" s="3"/>
      <c r="R211" s="3"/>
      <c r="S211" s="3"/>
      <c r="T211" s="3"/>
      <c r="U211" s="3"/>
      <c r="V211" s="3"/>
      <c r="W211" s="3"/>
      <c r="X211" s="3"/>
      <c r="Y211" s="3"/>
      <c r="Z211" s="3"/>
    </row>
    <row r="212" spans="1:26" ht="12.75" x14ac:dyDescent="0.2">
      <c r="A212" s="3"/>
      <c r="B212" s="33"/>
      <c r="C212" s="84" t="s">
        <v>323</v>
      </c>
      <c r="D212" s="33"/>
      <c r="E212" s="35"/>
      <c r="F212" s="39">
        <f>$I41*$I$25*$I49*F$131*F$116/1000</f>
        <v>5.6573999999999991</v>
      </c>
      <c r="G212" s="39">
        <f>$I41*$I$25*$I49*G$131*G$116/1000</f>
        <v>6.1043345999999987</v>
      </c>
      <c r="H212" s="39">
        <f>$I41*$I$25*$I49*H$131*H$116/1000</f>
        <v>6.5865770333999984</v>
      </c>
      <c r="I212" s="39">
        <f>$I41*$I$25*$I49*I$131*I$116/1000</f>
        <v>7.1069166190385973</v>
      </c>
      <c r="J212" s="39">
        <f>$I41*$I$25*$I49*J$131*J$116/1000</f>
        <v>7.6683630319426479</v>
      </c>
      <c r="K212" s="39">
        <f>$I41*$I$25*$I49*K$131*K$116/1000</f>
        <v>8.274163711466116</v>
      </c>
      <c r="L212" s="39">
        <f>$I41*$I$25*$I49*L$131*L$116/1000</f>
        <v>8.927822644671938</v>
      </c>
      <c r="M212" s="39">
        <f>$I41*$I$25*$I49*M$131*M$116/1000</f>
        <v>9.6331206336010222</v>
      </c>
      <c r="N212" s="39">
        <f>$I41*$I$25*$I49*N$131*N$116/1000</f>
        <v>10.394137163655502</v>
      </c>
      <c r="O212" s="39">
        <f>$I41*$I$25*$I49*O$131*O$116/1000</f>
        <v>11.215273999584285</v>
      </c>
      <c r="P212" s="3"/>
      <c r="Q212" s="3"/>
      <c r="R212" s="3"/>
      <c r="S212" s="3"/>
      <c r="T212" s="3"/>
      <c r="U212" s="3"/>
      <c r="V212" s="3"/>
      <c r="W212" s="3"/>
      <c r="X212" s="3"/>
      <c r="Y212" s="3"/>
      <c r="Z212" s="3"/>
    </row>
    <row r="213" spans="1:26" ht="12.75" x14ac:dyDescent="0.2">
      <c r="A213" s="3"/>
      <c r="B213" s="33"/>
      <c r="C213" s="84" t="s">
        <v>492</v>
      </c>
      <c r="D213" s="33"/>
      <c r="E213" s="35"/>
      <c r="F213" s="39">
        <f>$I42*$I$25*$I50*F$131*F$116/1000</f>
        <v>12.167999999999999</v>
      </c>
      <c r="G213" s="39">
        <f>$I42*$I$25*$I50*G$131*G$116/1000</f>
        <v>13.129271999999998</v>
      </c>
      <c r="H213" s="39">
        <f>$I42*$I$25*$I50*H$131*H$116/1000</f>
        <v>14.166484487999998</v>
      </c>
      <c r="I213" s="39">
        <f>$I42*$I$25*$I50*I$131*I$116/1000</f>
        <v>15.285636762551999</v>
      </c>
      <c r="J213" s="39">
        <f>$I42*$I$25*$I50*J$131*J$116/1000</f>
        <v>16.493202066793607</v>
      </c>
      <c r="K213" s="39">
        <f>$I42*$I$25*$I50*K$131*K$116/1000</f>
        <v>17.796165030070302</v>
      </c>
      <c r="L213" s="39">
        <f>$I42*$I$25*$I50*L$131*L$116/1000</f>
        <v>19.202062067445855</v>
      </c>
      <c r="M213" s="39">
        <f>$I42*$I$25*$I50*M$131*M$116/1000</f>
        <v>20.719024970774075</v>
      </c>
      <c r="N213" s="39">
        <f>$I42*$I$25*$I50*N$131*N$116/1000</f>
        <v>22.355827943465226</v>
      </c>
      <c r="O213" s="39">
        <f>$I42*$I$25*$I50*O$131*O$116/1000</f>
        <v>24.121938350998978</v>
      </c>
      <c r="P213" s="3"/>
      <c r="Q213" s="3"/>
      <c r="R213" s="3"/>
      <c r="S213" s="3"/>
      <c r="T213" s="3"/>
      <c r="U213" s="3"/>
      <c r="V213" s="3"/>
      <c r="W213" s="3"/>
      <c r="X213" s="3"/>
      <c r="Y213" s="3"/>
      <c r="Z213" s="3"/>
    </row>
    <row r="214" spans="1:26" ht="12.75" x14ac:dyDescent="0.2">
      <c r="A214" s="3"/>
      <c r="B214" s="33"/>
      <c r="C214" s="115" t="s">
        <v>290</v>
      </c>
      <c r="D214" s="35"/>
      <c r="E214" s="35"/>
      <c r="F214" s="104">
        <f>$I43*$I$25*$I51*F$131*F$116/1000</f>
        <v>32.868449999999996</v>
      </c>
      <c r="G214" s="104">
        <f>$I43*$I$25*$I51*G$131*G$116/1000</f>
        <v>35.465057549999997</v>
      </c>
      <c r="H214" s="104">
        <f>$I43*$I$25*$I51*H$131*H$116/1000</f>
        <v>38.266797096449991</v>
      </c>
      <c r="I214" s="104">
        <f>$I43*$I$25*$I51*I$131*I$116/1000</f>
        <v>41.28987406706954</v>
      </c>
      <c r="J214" s="104">
        <f>$I43*$I$25*$I51*J$131*J$116/1000</f>
        <v>44.551774118368037</v>
      </c>
      <c r="K214" s="104">
        <f>$I43*$I$25*$I51*K$131*K$116/1000</f>
        <v>48.071364273719112</v>
      </c>
      <c r="L214" s="104">
        <f>$I43*$I$25*$I51*L$131*L$116/1000</f>
        <v>51.869002051342918</v>
      </c>
      <c r="M214" s="104">
        <f>$I43*$I$25*$I51*M$131*M$116/1000</f>
        <v>55.966653213399006</v>
      </c>
      <c r="N214" s="104">
        <f>$I43*$I$25*$I51*N$131*N$116/1000</f>
        <v>60.388018817257525</v>
      </c>
      <c r="O214" s="104">
        <f>$I43*$I$25*$I51*O$131*O$116/1000</f>
        <v>65.158672303820865</v>
      </c>
      <c r="P214" s="3"/>
      <c r="Q214" s="3"/>
      <c r="R214" s="3"/>
      <c r="S214" s="3"/>
      <c r="T214" s="3"/>
      <c r="U214" s="3"/>
      <c r="V214" s="3"/>
      <c r="W214" s="3"/>
      <c r="X214" s="3"/>
      <c r="Y214" s="3"/>
      <c r="Z214" s="3"/>
    </row>
    <row r="215" spans="1:26" ht="12.75" x14ac:dyDescent="0.2">
      <c r="A215" s="3"/>
      <c r="B215" s="33"/>
      <c r="C215" s="94" t="s">
        <v>278</v>
      </c>
      <c r="D215" s="33"/>
      <c r="E215" s="35"/>
      <c r="F215" s="39">
        <f>$I44*$I$25*$I52*F$131*F$116/1000</f>
        <v>12.089100000000002</v>
      </c>
      <c r="G215" s="39">
        <f>$I44*$I$25*$I52*G$131*G$116/1000</f>
        <v>13.044138900000002</v>
      </c>
      <c r="H215" s="39">
        <f>$I44*$I$25*$I52*H$131*H$116/1000</f>
        <v>14.074625873100002</v>
      </c>
      <c r="I215" s="39">
        <f>$I44*$I$25*$I52*I$131*I$116/1000</f>
        <v>15.1865213170749</v>
      </c>
      <c r="J215" s="39">
        <f>$I44*$I$25*$I52*J$131*J$116/1000</f>
        <v>16.386256501123817</v>
      </c>
      <c r="K215" s="39">
        <f>$I44*$I$25*$I52*K$131*K$116/1000</f>
        <v>17.680770764712602</v>
      </c>
      <c r="L215" s="39">
        <f>$I44*$I$25*$I52*L$131*L$116/1000</f>
        <v>19.077551655124896</v>
      </c>
      <c r="M215" s="39">
        <f>$I44*$I$25*$I52*M$131*M$116/1000</f>
        <v>20.58467823587976</v>
      </c>
      <c r="N215" s="39">
        <f>$I44*$I$25*$I52*N$131*N$116/1000</f>
        <v>22.210867816514259</v>
      </c>
      <c r="O215" s="39">
        <f>$I44*$I$25*$I52*O$131*O$116/1000</f>
        <v>23.965526374018886</v>
      </c>
      <c r="P215" s="3"/>
      <c r="Q215" s="3"/>
      <c r="R215" s="3"/>
      <c r="S215" s="3"/>
      <c r="T215" s="3"/>
      <c r="U215" s="3"/>
      <c r="V215" s="3"/>
      <c r="W215" s="3"/>
      <c r="X215" s="3"/>
      <c r="Y215" s="3"/>
      <c r="Z215" s="3"/>
    </row>
    <row r="216" spans="1:26" ht="12.75" x14ac:dyDescent="0.2">
      <c r="A216" s="3"/>
      <c r="B216" s="33"/>
      <c r="C216" s="9" t="s">
        <v>85</v>
      </c>
      <c r="D216" s="33"/>
      <c r="E216" s="35"/>
      <c r="F216" s="39">
        <f t="shared" ref="F216:O216" si="47">IF(F176&gt;($I$46-1),0,$I$45*$I$52*F$131*F$116/1000)</f>
        <v>13.66</v>
      </c>
      <c r="G216" s="39">
        <f t="shared" si="47"/>
        <v>14.739139999999999</v>
      </c>
      <c r="H216" s="39">
        <f t="shared" si="47"/>
        <v>15.903532059999998</v>
      </c>
      <c r="I216" s="39">
        <f t="shared" si="47"/>
        <v>17.15991109274</v>
      </c>
      <c r="J216" s="39">
        <f t="shared" si="47"/>
        <v>0</v>
      </c>
      <c r="K216" s="39">
        <f t="shared" si="47"/>
        <v>0</v>
      </c>
      <c r="L216" s="39">
        <f t="shared" si="47"/>
        <v>0</v>
      </c>
      <c r="M216" s="39">
        <f t="shared" si="47"/>
        <v>0</v>
      </c>
      <c r="N216" s="39">
        <f t="shared" si="47"/>
        <v>0</v>
      </c>
      <c r="O216" s="39">
        <f t="shared" si="47"/>
        <v>0</v>
      </c>
      <c r="P216" s="3"/>
      <c r="Q216" s="3"/>
      <c r="R216" s="3"/>
      <c r="S216" s="3"/>
      <c r="T216" s="3"/>
      <c r="U216" s="3"/>
      <c r="V216" s="3"/>
      <c r="W216" s="3"/>
      <c r="X216" s="3"/>
      <c r="Y216" s="3"/>
      <c r="Z216" s="3"/>
    </row>
    <row r="217" spans="1:26" ht="12.75" x14ac:dyDescent="0.2">
      <c r="A217" s="3"/>
      <c r="B217" s="33"/>
      <c r="C217" s="31" t="s">
        <v>207</v>
      </c>
      <c r="D217" s="36"/>
      <c r="E217" s="36"/>
      <c r="F217" s="40">
        <f>SUM(F210:F216)</f>
        <v>81.353049999999996</v>
      </c>
      <c r="G217" s="40">
        <f t="shared" ref="G217:O217" si="48">SUM(G210:G216)</f>
        <v>87.779940949999997</v>
      </c>
      <c r="H217" s="40">
        <f t="shared" si="48"/>
        <v>94.714556285049994</v>
      </c>
      <c r="I217" s="40">
        <f t="shared" si="48"/>
        <v>102.19700623156895</v>
      </c>
      <c r="J217" s="40">
        <f t="shared" si="48"/>
        <v>91.755025654796441</v>
      </c>
      <c r="K217" s="40">
        <f t="shared" si="48"/>
        <v>99.003672681525359</v>
      </c>
      <c r="L217" s="40">
        <f t="shared" si="48"/>
        <v>106.82496282336584</v>
      </c>
      <c r="M217" s="40">
        <f t="shared" si="48"/>
        <v>115.26413488641175</v>
      </c>
      <c r="N217" s="40">
        <f t="shared" si="48"/>
        <v>124.37000154243825</v>
      </c>
      <c r="O217" s="40">
        <f t="shared" si="48"/>
        <v>134.19523166429087</v>
      </c>
      <c r="P217" s="3"/>
      <c r="Q217" s="3"/>
      <c r="R217" s="3"/>
      <c r="S217" s="3"/>
      <c r="T217" s="3"/>
      <c r="U217" s="3"/>
      <c r="V217" s="3"/>
      <c r="W217" s="3"/>
      <c r="X217" s="3"/>
      <c r="Y217" s="3"/>
      <c r="Z217" s="3"/>
    </row>
    <row r="218" spans="1:26" ht="12.75" x14ac:dyDescent="0.2">
      <c r="A218" s="3"/>
      <c r="B218" s="33"/>
      <c r="C218" s="9"/>
      <c r="D218" s="33"/>
      <c r="E218" s="33"/>
      <c r="F218" s="41"/>
      <c r="G218" s="41"/>
      <c r="H218" s="41"/>
      <c r="I218" s="41"/>
      <c r="J218" s="41"/>
      <c r="K218" s="41"/>
      <c r="L218" s="41"/>
      <c r="M218" s="41"/>
      <c r="N218" s="41"/>
      <c r="O218" s="41"/>
      <c r="P218" s="3"/>
      <c r="Q218" s="3"/>
      <c r="R218" s="3"/>
      <c r="S218" s="3"/>
      <c r="T218" s="3"/>
      <c r="U218" s="3"/>
      <c r="V218" s="3"/>
      <c r="W218" s="3"/>
      <c r="X218" s="3"/>
      <c r="Y218" s="3"/>
      <c r="Z218" s="3"/>
    </row>
    <row r="219" spans="1:26" ht="12.75" x14ac:dyDescent="0.2">
      <c r="A219" s="3"/>
      <c r="B219" s="33"/>
      <c r="C219" s="34" t="s">
        <v>215</v>
      </c>
      <c r="D219" s="33"/>
      <c r="E219" s="33"/>
      <c r="F219" s="41"/>
      <c r="G219" s="41"/>
      <c r="H219" s="41"/>
      <c r="I219" s="41"/>
      <c r="J219" s="41"/>
      <c r="K219" s="41"/>
      <c r="L219" s="41"/>
      <c r="M219" s="41"/>
      <c r="N219" s="41"/>
      <c r="O219" s="41"/>
      <c r="P219" s="3"/>
      <c r="Q219" s="3"/>
      <c r="R219" s="3"/>
      <c r="S219" s="3"/>
      <c r="T219" s="3"/>
      <c r="U219" s="3"/>
      <c r="V219" s="3"/>
      <c r="W219" s="3"/>
      <c r="X219" s="3"/>
      <c r="Y219" s="3"/>
      <c r="Z219" s="3"/>
    </row>
    <row r="220" spans="1:26" ht="12.75" x14ac:dyDescent="0.2">
      <c r="A220" s="3"/>
      <c r="B220" s="33"/>
      <c r="C220" s="27" t="s">
        <v>610</v>
      </c>
      <c r="D220" s="33"/>
      <c r="E220" s="33"/>
      <c r="F220" s="39">
        <f>$I56*$I$25*F$116/1000</f>
        <v>10.897500000000001</v>
      </c>
      <c r="G220" s="39"/>
      <c r="H220" s="39"/>
      <c r="I220" s="39"/>
      <c r="J220" s="39"/>
      <c r="K220" s="39"/>
      <c r="L220" s="39"/>
      <c r="M220" s="39"/>
      <c r="N220" s="39"/>
      <c r="O220" s="39"/>
      <c r="P220" s="3"/>
      <c r="Q220" s="3"/>
      <c r="R220" s="3"/>
      <c r="S220" s="3"/>
      <c r="T220" s="3"/>
      <c r="U220" s="3"/>
      <c r="V220" s="3"/>
      <c r="W220" s="3"/>
      <c r="X220" s="3"/>
      <c r="Y220" s="3"/>
      <c r="Z220" s="3"/>
    </row>
    <row r="221" spans="1:26" ht="12.75" x14ac:dyDescent="0.2">
      <c r="A221" s="3"/>
      <c r="B221" s="33"/>
      <c r="C221" s="27" t="s">
        <v>283</v>
      </c>
      <c r="D221" s="33"/>
      <c r="E221" s="33"/>
      <c r="F221" s="39">
        <f t="shared" ref="F221:O221" si="49">($F$58+$F$58*($I$25-1)*($F$57))/1000*F$116</f>
        <v>5.7781730769230775</v>
      </c>
      <c r="G221" s="39">
        <f t="shared" si="49"/>
        <v>6.2346487500000007</v>
      </c>
      <c r="H221" s="39">
        <f t="shared" si="49"/>
        <v>6.7271860012499998</v>
      </c>
      <c r="I221" s="39">
        <f t="shared" si="49"/>
        <v>7.2586336953487498</v>
      </c>
      <c r="J221" s="39">
        <f t="shared" si="49"/>
        <v>7.8320657572813017</v>
      </c>
      <c r="K221" s="39">
        <f t="shared" si="49"/>
        <v>8.4507989521065241</v>
      </c>
      <c r="L221" s="39">
        <f t="shared" si="49"/>
        <v>9.1184120693229396</v>
      </c>
      <c r="M221" s="39">
        <f t="shared" si="49"/>
        <v>9.8387666227994508</v>
      </c>
      <c r="N221" s="39">
        <f t="shared" si="49"/>
        <v>10.616029186000606</v>
      </c>
      <c r="O221" s="39">
        <f t="shared" si="49"/>
        <v>11.454695491694654</v>
      </c>
      <c r="P221" s="3"/>
      <c r="Q221" s="3"/>
      <c r="R221" s="3"/>
      <c r="S221" s="3"/>
      <c r="T221" s="3"/>
      <c r="U221" s="3"/>
      <c r="V221" s="3"/>
      <c r="W221" s="3"/>
      <c r="X221" s="3"/>
      <c r="Y221" s="3"/>
      <c r="Z221" s="3"/>
    </row>
    <row r="222" spans="1:26" ht="12.75" x14ac:dyDescent="0.2">
      <c r="A222" s="3"/>
      <c r="B222" s="33"/>
      <c r="C222" s="27" t="s">
        <v>614</v>
      </c>
      <c r="D222" s="33"/>
      <c r="E222" s="33"/>
      <c r="F222" s="106">
        <f>F140*$I$59*$I$25*F116/1000</f>
        <v>84</v>
      </c>
      <c r="G222" s="106">
        <f>G140*$I$59*$I$25*G116/1000</f>
        <v>0</v>
      </c>
      <c r="H222" s="106">
        <f>H140*$I$59*$I$25*H116/1000</f>
        <v>0</v>
      </c>
      <c r="I222" s="106">
        <f>I140*$I$59*$I$25*I116/1000</f>
        <v>0</v>
      </c>
      <c r="J222" s="106">
        <f>J140*$I$59*$I$25*J116/1000</f>
        <v>0</v>
      </c>
      <c r="K222" s="106">
        <f>K140*$I$59*$I$25*K116/1000</f>
        <v>0</v>
      </c>
      <c r="L222" s="106">
        <f>L140*$I$59*$I$25*L116/1000</f>
        <v>0</v>
      </c>
      <c r="M222" s="106">
        <f>M140*$I$59*$I$25*M116/1000</f>
        <v>0</v>
      </c>
      <c r="N222" s="106">
        <f>N140*$I$59*$I$25*N116/1000</f>
        <v>0</v>
      </c>
      <c r="O222" s="106">
        <f>O140*$I$59*$I$25*O116/1000</f>
        <v>0</v>
      </c>
      <c r="P222" s="3"/>
      <c r="Q222" s="3"/>
      <c r="R222" s="3"/>
      <c r="S222" s="3"/>
      <c r="T222" s="3"/>
      <c r="U222" s="3"/>
      <c r="V222" s="3"/>
      <c r="W222" s="3"/>
      <c r="X222" s="3"/>
      <c r="Y222" s="3"/>
      <c r="Z222" s="3"/>
    </row>
    <row r="223" spans="1:26" ht="12.75" x14ac:dyDescent="0.2">
      <c r="A223" s="3"/>
      <c r="B223" s="33"/>
      <c r="C223" s="31" t="s">
        <v>216</v>
      </c>
      <c r="D223" s="36"/>
      <c r="E223" s="36"/>
      <c r="F223" s="40">
        <f>SUM(F220:F222)</f>
        <v>100.67567307692308</v>
      </c>
      <c r="G223" s="40">
        <f t="shared" ref="G223:O223" si="50">SUM(G220:G222)</f>
        <v>6.2346487500000007</v>
      </c>
      <c r="H223" s="40">
        <f t="shared" si="50"/>
        <v>6.7271860012499998</v>
      </c>
      <c r="I223" s="40">
        <f t="shared" si="50"/>
        <v>7.2586336953487498</v>
      </c>
      <c r="J223" s="40">
        <f t="shared" si="50"/>
        <v>7.8320657572813017</v>
      </c>
      <c r="K223" s="40">
        <f t="shared" si="50"/>
        <v>8.4507989521065241</v>
      </c>
      <c r="L223" s="40">
        <f t="shared" si="50"/>
        <v>9.1184120693229396</v>
      </c>
      <c r="M223" s="40">
        <f t="shared" si="50"/>
        <v>9.8387666227994508</v>
      </c>
      <c r="N223" s="40">
        <f t="shared" si="50"/>
        <v>10.616029186000606</v>
      </c>
      <c r="O223" s="40">
        <f t="shared" si="50"/>
        <v>11.454695491694654</v>
      </c>
      <c r="P223" s="3"/>
      <c r="Q223" s="3"/>
      <c r="R223" s="3"/>
      <c r="S223" s="3"/>
      <c r="T223" s="3"/>
      <c r="U223" s="3"/>
      <c r="V223" s="3"/>
      <c r="W223" s="3"/>
      <c r="X223" s="3"/>
      <c r="Y223" s="3"/>
      <c r="Z223" s="3"/>
    </row>
    <row r="224" spans="1:26" ht="12.75" x14ac:dyDescent="0.2">
      <c r="A224" s="3"/>
      <c r="B224" s="33"/>
      <c r="C224" s="35"/>
      <c r="D224" s="33"/>
      <c r="E224" s="33"/>
      <c r="F224" s="41"/>
      <c r="G224" s="41"/>
      <c r="H224" s="41"/>
      <c r="I224" s="41"/>
      <c r="J224" s="41"/>
      <c r="K224" s="41"/>
      <c r="L224" s="41"/>
      <c r="M224" s="41"/>
      <c r="N224" s="41"/>
      <c r="O224" s="41"/>
      <c r="P224" s="3"/>
      <c r="Q224" s="3"/>
      <c r="R224" s="3"/>
      <c r="S224" s="3"/>
      <c r="T224" s="3"/>
      <c r="U224" s="3"/>
      <c r="V224" s="3"/>
      <c r="W224" s="3"/>
      <c r="X224" s="3"/>
      <c r="Y224" s="3"/>
      <c r="Z224" s="3"/>
    </row>
    <row r="225" spans="1:26" ht="12.75" x14ac:dyDescent="0.2">
      <c r="A225" s="3"/>
      <c r="B225" s="33"/>
      <c r="C225" s="34" t="s">
        <v>219</v>
      </c>
      <c r="D225" s="33"/>
      <c r="E225" s="33"/>
      <c r="F225" s="41"/>
      <c r="G225" s="41"/>
      <c r="H225" s="41"/>
      <c r="I225" s="41"/>
      <c r="J225" s="41"/>
      <c r="K225" s="41"/>
      <c r="L225" s="41"/>
      <c r="M225" s="41"/>
      <c r="N225" s="41"/>
      <c r="O225" s="41"/>
      <c r="P225" s="3"/>
      <c r="Q225" s="3"/>
      <c r="R225" s="3"/>
      <c r="S225" s="3"/>
      <c r="T225" s="3"/>
      <c r="U225" s="3"/>
      <c r="V225" s="3"/>
      <c r="W225" s="3"/>
      <c r="X225" s="3"/>
      <c r="Y225" s="3"/>
      <c r="Z225" s="3"/>
    </row>
    <row r="226" spans="1:26" ht="12.75" x14ac:dyDescent="0.2">
      <c r="A226" s="3"/>
      <c r="B226" s="33"/>
      <c r="C226" s="27" t="s">
        <v>602</v>
      </c>
      <c r="D226" s="33"/>
      <c r="E226" s="33"/>
      <c r="F226" s="81">
        <f>$I$73*$I$64*$I$25*F116/1000</f>
        <v>49.994999999999997</v>
      </c>
      <c r="G226" s="39"/>
      <c r="H226" s="39"/>
      <c r="I226" s="39"/>
      <c r="J226" s="39"/>
      <c r="K226" s="39"/>
      <c r="L226" s="39"/>
      <c r="M226" s="39"/>
      <c r="N226" s="39"/>
      <c r="O226" s="39"/>
      <c r="P226" s="3"/>
      <c r="Q226" s="3"/>
      <c r="R226" s="3"/>
      <c r="S226" s="3"/>
      <c r="T226" s="3"/>
      <c r="U226" s="3"/>
      <c r="V226" s="3"/>
      <c r="W226" s="3"/>
      <c r="X226" s="3"/>
      <c r="Y226" s="3"/>
      <c r="Z226" s="3"/>
    </row>
    <row r="227" spans="1:26" ht="12.75" x14ac:dyDescent="0.2">
      <c r="A227" s="3"/>
      <c r="B227" s="33"/>
      <c r="C227" s="27" t="s">
        <v>495</v>
      </c>
      <c r="D227" s="33"/>
      <c r="E227" s="33"/>
      <c r="F227" s="39">
        <f>$I66*$I$25*$I74/1000*F$118*F$123</f>
        <v>28.782</v>
      </c>
      <c r="G227" s="39">
        <f>$I66*$I$25*$I74/1000*G$118*G$123</f>
        <v>31.055778</v>
      </c>
      <c r="H227" s="39">
        <f>$I66*$I$25*$I74/1000*H$118*H$123</f>
        <v>33.509184461999993</v>
      </c>
      <c r="I227" s="39">
        <f>$I66*$I$25*$I74/1000*I$118*I$123</f>
        <v>36.156410034498002</v>
      </c>
      <c r="J227" s="39">
        <f>$I66*$I$25*$I74/1000*J$118*J$123</f>
        <v>39.01276642722334</v>
      </c>
      <c r="K227" s="39">
        <f>$I66*$I$25*$I74/1000*K$118*K$123</f>
        <v>42.09477497497398</v>
      </c>
      <c r="L227" s="39">
        <f>$I66*$I$25*$I74/1000*L$118*L$123</f>
        <v>45.420262197996927</v>
      </c>
      <c r="M227" s="39">
        <f>$I66*$I$25*$I74/1000*M$118*M$123</f>
        <v>49.008462911638681</v>
      </c>
      <c r="N227" s="39">
        <f>$I66*$I$25*$I74/1000*N$118*N$123</f>
        <v>52.88013148165814</v>
      </c>
      <c r="O227" s="39">
        <f>$I66*$I$25*$I74/1000*O$118*O$123</f>
        <v>57.057661868709125</v>
      </c>
      <c r="P227" s="3"/>
      <c r="Q227" s="3"/>
      <c r="R227" s="3"/>
      <c r="S227" s="3"/>
      <c r="T227" s="3"/>
      <c r="U227" s="3"/>
      <c r="V227" s="3"/>
      <c r="W227" s="3"/>
      <c r="X227" s="3"/>
      <c r="Y227" s="3"/>
      <c r="Z227" s="3"/>
    </row>
    <row r="228" spans="1:26" ht="12.75" x14ac:dyDescent="0.2">
      <c r="A228" s="3"/>
      <c r="B228" s="33"/>
      <c r="C228" s="111" t="s">
        <v>353</v>
      </c>
      <c r="D228" s="33"/>
      <c r="E228" s="33"/>
      <c r="F228" s="39">
        <f>$I67*$I$25*$I75/1000*F$118*F$123</f>
        <v>5.4900000004500003</v>
      </c>
      <c r="G228" s="39">
        <f>$I67*$I$25*$I75/1000*G$118*G$123</f>
        <v>5.9237100004855492</v>
      </c>
      <c r="H228" s="39">
        <f>$I67*$I$25*$I75/1000*H$118*H$123</f>
        <v>6.391683090523907</v>
      </c>
      <c r="I228" s="39">
        <f>$I67*$I$25*$I75/1000*I$118*I$123</f>
        <v>6.8966260546752967</v>
      </c>
      <c r="J228" s="39">
        <f>$I67*$I$25*$I75/1000*J$118*J$123</f>
        <v>7.4414595129946441</v>
      </c>
      <c r="K228" s="39">
        <f>$I67*$I$25*$I75/1000*K$118*K$123</f>
        <v>8.0293348145212224</v>
      </c>
      <c r="L228" s="39">
        <f>$I67*$I$25*$I75/1000*L$118*L$123</f>
        <v>8.6636522648683982</v>
      </c>
      <c r="M228" s="39">
        <f>$I67*$I$25*$I75/1000*M$118*M$123</f>
        <v>9.3480807937930024</v>
      </c>
      <c r="N228" s="39">
        <f>$I67*$I$25*$I75/1000*N$118*N$123</f>
        <v>10.086579176502649</v>
      </c>
      <c r="O228" s="39">
        <f>$I67*$I$25*$I75/1000*O$118*O$123</f>
        <v>10.883418931446357</v>
      </c>
      <c r="P228" s="3"/>
      <c r="Q228" s="3"/>
      <c r="R228" s="3"/>
      <c r="S228" s="3"/>
      <c r="T228" s="3"/>
      <c r="U228" s="3"/>
      <c r="V228" s="3"/>
      <c r="W228" s="3"/>
      <c r="X228" s="3"/>
      <c r="Y228" s="3"/>
      <c r="Z228" s="3"/>
    </row>
    <row r="229" spans="1:26" ht="12.75" x14ac:dyDescent="0.2">
      <c r="A229" s="3"/>
      <c r="B229" s="33"/>
      <c r="C229" s="111" t="s">
        <v>334</v>
      </c>
      <c r="D229" s="35"/>
      <c r="E229" s="35"/>
      <c r="F229" s="39">
        <f>$I68*$I$25*$I76/1000*F$118*F$123</f>
        <v>5.0160000001477201</v>
      </c>
      <c r="G229" s="39">
        <f>$I68*$I$25*$I76/1000*G$118*G$123</f>
        <v>5.4122640001593902</v>
      </c>
      <c r="H229" s="39">
        <f>$I68*$I$25*$I76/1000*H$118*H$123</f>
        <v>5.8398328561719808</v>
      </c>
      <c r="I229" s="39">
        <f>$I68*$I$25*$I76/1000*I$118*I$123</f>
        <v>6.3011796518095684</v>
      </c>
      <c r="J229" s="39">
        <f>$I68*$I$25*$I76/1000*J$118*J$123</f>
        <v>6.7989728443025239</v>
      </c>
      <c r="K229" s="39">
        <f>$I68*$I$25*$I76/1000*K$118*K$123</f>
        <v>7.3360916990024236</v>
      </c>
      <c r="L229" s="39">
        <f>$I68*$I$25*$I76/1000*L$118*L$123</f>
        <v>7.9156429432236139</v>
      </c>
      <c r="M229" s="39">
        <f>$I68*$I$25*$I76/1000*M$118*M$123</f>
        <v>8.54097873573828</v>
      </c>
      <c r="N229" s="39">
        <f>$I68*$I$25*$I76/1000*N$118*N$123</f>
        <v>9.2157160558616038</v>
      </c>
      <c r="O229" s="39">
        <f>$I68*$I$25*$I76/1000*O$118*O$123</f>
        <v>9.943757624274669</v>
      </c>
      <c r="P229" s="3"/>
      <c r="Q229" s="3"/>
      <c r="R229" s="3"/>
      <c r="S229" s="3"/>
      <c r="T229" s="3"/>
      <c r="U229" s="3"/>
      <c r="V229" s="3"/>
      <c r="W229" s="3"/>
      <c r="X229" s="3"/>
      <c r="Y229" s="3"/>
      <c r="Z229" s="3"/>
    </row>
    <row r="230" spans="1:26" ht="12.75" x14ac:dyDescent="0.2">
      <c r="A230" s="3"/>
      <c r="B230" s="33"/>
      <c r="C230" s="9" t="s">
        <v>105</v>
      </c>
      <c r="D230" s="33"/>
      <c r="E230" s="33"/>
      <c r="F230" s="39">
        <f>$I69*$I$25*$I77/1000*F$118*F$123</f>
        <v>2.4</v>
      </c>
      <c r="G230" s="39">
        <f>$I69*$I$25*$I77/1000*G$118*G$123</f>
        <v>2.5895999999999995</v>
      </c>
      <c r="H230" s="39">
        <f>$I69*$I$25*$I77/1000*H$118*H$123</f>
        <v>2.7941783999999994</v>
      </c>
      <c r="I230" s="39">
        <f>$I69*$I$25*$I77/1000*I$118*I$123</f>
        <v>3.0149184935999997</v>
      </c>
      <c r="J230" s="39">
        <f>$I69*$I$25*$I77/1000*J$118*J$123</f>
        <v>3.2530970545943996</v>
      </c>
      <c r="K230" s="39">
        <f>$I69*$I$25*$I77/1000*K$118*K$123</f>
        <v>3.5100917219073566</v>
      </c>
      <c r="L230" s="39">
        <f>$I69*$I$25*$I77/1000*L$118*L$123</f>
        <v>3.7873889679380381</v>
      </c>
      <c r="M230" s="39">
        <f>$I69*$I$25*$I77/1000*M$118*M$123</f>
        <v>4.0865926964051438</v>
      </c>
      <c r="N230" s="39">
        <f>$I69*$I$25*$I77/1000*N$118*N$123</f>
        <v>4.4094335194211496</v>
      </c>
      <c r="O230" s="39">
        <f>$I69*$I$25*$I77/1000*O$118*O$123</f>
        <v>4.7577787674554193</v>
      </c>
      <c r="P230" s="3"/>
      <c r="Q230" s="3"/>
      <c r="R230" s="3"/>
      <c r="S230" s="3"/>
      <c r="T230" s="3"/>
      <c r="U230" s="3"/>
      <c r="V230" s="3"/>
      <c r="W230" s="3"/>
      <c r="X230" s="3"/>
      <c r="Y230" s="3"/>
      <c r="Z230" s="3"/>
    </row>
    <row r="231" spans="1:26" ht="12.75" x14ac:dyDescent="0.2">
      <c r="A231" s="3"/>
      <c r="B231" s="33"/>
      <c r="C231" s="9" t="s">
        <v>108</v>
      </c>
      <c r="D231" s="33"/>
      <c r="E231" s="33"/>
      <c r="F231" s="39">
        <f>ROUNDUP(F155*1000/$F$70,0)*$I78/1000*F$116</f>
        <v>0.9</v>
      </c>
      <c r="G231" s="39">
        <f>ROUNDUP(G155*1000/$F$70,0)*$I78/1000*G$116</f>
        <v>1.1869000000000001</v>
      </c>
      <c r="H231" s="39">
        <f>ROUNDUP(H155*1000/$F$70,0)*$I78/1000*H$116</f>
        <v>1.5135132999999998</v>
      </c>
      <c r="I231" s="39">
        <f>ROUNDUP(I155*1000/$F$70,0)*$I78/1000*I$116</f>
        <v>2.0099456623999998</v>
      </c>
      <c r="J231" s="39">
        <f>ROUNDUP(J155*1000/$F$70,0)*$I78/1000*J$116</f>
        <v>2.3042770803377</v>
      </c>
      <c r="K231" s="39">
        <f>ROUNDUP(K155*1000/$F$70,0)*$I78/1000*K$116</f>
        <v>2.4863149696843778</v>
      </c>
      <c r="L231" s="39">
        <f>ROUNDUP(L155*1000/$F$70,0)*$I78/1000*L$116</f>
        <v>2.6827338522894437</v>
      </c>
      <c r="M231" s="39">
        <f>ROUNDUP(M155*1000/$F$70,0)*$I78/1000*M$116</f>
        <v>2.8946698266203095</v>
      </c>
      <c r="N231" s="39">
        <f>ROUNDUP(N155*1000/$F$70,0)*$I78/1000*N$116</f>
        <v>3.123348742923314</v>
      </c>
      <c r="O231" s="39">
        <f>ROUNDUP(O155*1000/$F$70,0)*$I78/1000*O$116</f>
        <v>3.3700932936142558</v>
      </c>
      <c r="P231" s="3"/>
      <c r="Q231" s="3"/>
      <c r="R231" s="3"/>
      <c r="S231" s="3"/>
      <c r="T231" s="3"/>
      <c r="U231" s="3"/>
      <c r="V231" s="3"/>
      <c r="W231" s="3"/>
      <c r="X231" s="3"/>
      <c r="Y231" s="3"/>
      <c r="Z231" s="3"/>
    </row>
    <row r="232" spans="1:26" ht="12.75" x14ac:dyDescent="0.2">
      <c r="A232" s="3"/>
      <c r="B232" s="33"/>
      <c r="C232" s="36" t="s">
        <v>217</v>
      </c>
      <c r="D232" s="36"/>
      <c r="E232" s="36"/>
      <c r="F232" s="48">
        <f t="shared" ref="F232:N232" si="51">SUM(F226:F231)</f>
        <v>92.583000000597735</v>
      </c>
      <c r="G232" s="48">
        <f t="shared" si="51"/>
        <v>46.168252000644934</v>
      </c>
      <c r="H232" s="48">
        <f t="shared" si="51"/>
        <v>50.048392108695879</v>
      </c>
      <c r="I232" s="48">
        <f t="shared" si="51"/>
        <v>54.379079896982866</v>
      </c>
      <c r="J232" s="48">
        <f t="shared" si="51"/>
        <v>58.810572919452603</v>
      </c>
      <c r="K232" s="48">
        <f t="shared" si="51"/>
        <v>63.456608180089361</v>
      </c>
      <c r="L232" s="48">
        <f t="shared" si="51"/>
        <v>68.469680226316427</v>
      </c>
      <c r="M232" s="48">
        <f t="shared" si="51"/>
        <v>73.878784964195432</v>
      </c>
      <c r="N232" s="48">
        <f t="shared" si="51"/>
        <v>79.715208976366867</v>
      </c>
      <c r="O232" s="48">
        <f>SUM(O226:O231)</f>
        <v>86.012710485499824</v>
      </c>
      <c r="P232" s="3"/>
      <c r="Q232" s="3"/>
      <c r="R232" s="3"/>
      <c r="S232" s="3"/>
      <c r="T232" s="3"/>
      <c r="U232" s="3"/>
      <c r="V232" s="3"/>
      <c r="W232" s="3"/>
      <c r="X232" s="3"/>
      <c r="Y232" s="3"/>
      <c r="Z232" s="3"/>
    </row>
    <row r="233" spans="1:26" ht="12.75" x14ac:dyDescent="0.2">
      <c r="A233" s="3"/>
      <c r="B233" s="33"/>
      <c r="C233" s="62"/>
      <c r="D233" s="62"/>
      <c r="E233" s="62"/>
      <c r="F233" s="103"/>
      <c r="G233" s="103"/>
      <c r="H233" s="103"/>
      <c r="I233" s="103"/>
      <c r="J233" s="103"/>
      <c r="K233" s="103"/>
      <c r="L233" s="103"/>
      <c r="M233" s="103"/>
      <c r="N233" s="103"/>
      <c r="O233" s="103"/>
      <c r="P233" s="3"/>
      <c r="Q233" s="3"/>
      <c r="R233" s="3"/>
      <c r="S233" s="3"/>
      <c r="T233" s="3"/>
      <c r="U233" s="3"/>
      <c r="V233" s="3"/>
      <c r="W233" s="3"/>
      <c r="X233" s="3"/>
      <c r="Y233" s="3"/>
      <c r="Z233" s="3"/>
    </row>
    <row r="234" spans="1:26" ht="12.75" x14ac:dyDescent="0.2">
      <c r="A234" s="3"/>
      <c r="B234" s="33"/>
      <c r="C234" s="34" t="s">
        <v>287</v>
      </c>
      <c r="D234" s="62"/>
      <c r="E234" s="62"/>
      <c r="F234" s="103"/>
      <c r="G234" s="103"/>
      <c r="H234" s="103"/>
      <c r="I234" s="103"/>
      <c r="J234" s="103"/>
      <c r="K234" s="103"/>
      <c r="L234" s="103"/>
      <c r="M234" s="103"/>
      <c r="N234" s="103"/>
      <c r="O234" s="103"/>
      <c r="P234" s="3"/>
      <c r="Q234" s="3"/>
      <c r="R234" s="3"/>
      <c r="S234" s="3"/>
      <c r="T234" s="3"/>
      <c r="U234" s="3"/>
      <c r="V234" s="3"/>
      <c r="W234" s="3"/>
      <c r="X234" s="3"/>
      <c r="Y234" s="3"/>
      <c r="Z234" s="3"/>
    </row>
    <row r="235" spans="1:26" ht="12.75" x14ac:dyDescent="0.2">
      <c r="A235" s="3"/>
      <c r="B235" s="33"/>
      <c r="C235" s="27" t="s">
        <v>282</v>
      </c>
      <c r="D235" s="33"/>
      <c r="E235" s="33"/>
      <c r="F235" s="106">
        <f>$I82*F$116/1000*F$155</f>
        <v>1.2360599999999997</v>
      </c>
      <c r="G235" s="106">
        <f>$I82*G$116/1000*G$155</f>
        <v>1.6804730123999996</v>
      </c>
      <c r="H235" s="106">
        <f>$I82*H$116/1000*H$155</f>
        <v>2.2212072159650096</v>
      </c>
      <c r="I235" s="106">
        <f>$I82*I$116/1000*I$155</f>
        <v>2.8760191032314948</v>
      </c>
      <c r="J235" s="106">
        <f>$I82*J$116/1000*J$155</f>
        <v>3.2583858430061223</v>
      </c>
      <c r="K235" s="106">
        <f>$I82*K$116/1000*K$155</f>
        <v>3.6155699781506723</v>
      </c>
      <c r="L235" s="106">
        <f>$I82*L$116/1000*L$155</f>
        <v>3.9012000064245753</v>
      </c>
      <c r="M235" s="106">
        <f>$I82*M$116/1000*M$155</f>
        <v>4.2093948069321172</v>
      </c>
      <c r="N235" s="106">
        <f>$I82*N$116/1000*N$155</f>
        <v>4.5419369966797536</v>
      </c>
      <c r="O235" s="106">
        <f>$I82*O$116/1000*O$155</f>
        <v>4.9007500194174547</v>
      </c>
      <c r="P235" s="3"/>
      <c r="Q235" s="3"/>
      <c r="R235" s="3"/>
      <c r="S235" s="3"/>
      <c r="T235" s="3"/>
      <c r="U235" s="3"/>
      <c r="V235" s="3"/>
      <c r="W235" s="3"/>
      <c r="X235" s="3"/>
      <c r="Y235" s="3"/>
      <c r="Z235" s="3"/>
    </row>
    <row r="236" spans="1:26" ht="12.75" x14ac:dyDescent="0.2">
      <c r="A236" s="3"/>
      <c r="B236" s="33"/>
      <c r="C236" s="27" t="s">
        <v>284</v>
      </c>
      <c r="D236" s="33"/>
      <c r="E236" s="33"/>
      <c r="F236" s="107">
        <f>$I83*F$116/1000*(F$155+F$154)</f>
        <v>0.24827815384615384</v>
      </c>
      <c r="G236" s="107">
        <f>$I83*G$116/1000*(G$155+G$154)</f>
        <v>0.33754408127999996</v>
      </c>
      <c r="H236" s="107">
        <f>$I83*H$116/1000*(H$155+H$154)</f>
        <v>0.44615732803387187</v>
      </c>
      <c r="I236" s="107">
        <f>$I83*I$116/1000*(I$155+I$154)</f>
        <v>0.57768450833825735</v>
      </c>
      <c r="J236" s="107">
        <f>$I83*J$116/1000*(J$155+J$154)</f>
        <v>0.65448766372182898</v>
      </c>
      <c r="K236" s="107">
        <f>$I83*K$116/1000*(K$155+K$154)</f>
        <v>0.72623257712152145</v>
      </c>
      <c r="L236" s="107">
        <f>$I83*L$116/1000*(L$155+L$154)</f>
        <v>0.78360495071412162</v>
      </c>
      <c r="M236" s="107">
        <f>$I83*M$116/1000*(M$155+M$154)</f>
        <v>0.84550974182053718</v>
      </c>
      <c r="N236" s="107">
        <f>$I83*N$116/1000*(N$155+N$154)</f>
        <v>0.9123050114243596</v>
      </c>
      <c r="O236" s="107">
        <f>$I83*O$116/1000*(O$155+O$154)</f>
        <v>0.9843771073268841</v>
      </c>
      <c r="P236" s="3"/>
      <c r="Q236" s="3"/>
      <c r="R236" s="3"/>
      <c r="S236" s="3"/>
      <c r="T236" s="3"/>
      <c r="U236" s="3"/>
      <c r="V236" s="3"/>
      <c r="W236" s="3"/>
      <c r="X236" s="3"/>
      <c r="Y236" s="3"/>
      <c r="Z236" s="3"/>
    </row>
    <row r="237" spans="1:26" ht="12.75" x14ac:dyDescent="0.2">
      <c r="A237" s="3"/>
      <c r="B237" s="33"/>
      <c r="C237" s="31" t="s">
        <v>289</v>
      </c>
      <c r="D237" s="36"/>
      <c r="E237" s="36"/>
      <c r="F237" s="40">
        <f t="shared" ref="F237:O237" si="52">SUM(F235:F236)</f>
        <v>1.4843381538461535</v>
      </c>
      <c r="G237" s="40">
        <f t="shared" si="52"/>
        <v>2.0180170936799997</v>
      </c>
      <c r="H237" s="40">
        <f t="shared" si="52"/>
        <v>2.6673645439988816</v>
      </c>
      <c r="I237" s="40">
        <f t="shared" si="52"/>
        <v>3.4537036115697521</v>
      </c>
      <c r="J237" s="40">
        <f t="shared" si="52"/>
        <v>3.9128735067279514</v>
      </c>
      <c r="K237" s="40">
        <f t="shared" si="52"/>
        <v>4.3418025552721939</v>
      </c>
      <c r="L237" s="40">
        <f t="shared" si="52"/>
        <v>4.6848049571386969</v>
      </c>
      <c r="M237" s="40">
        <f t="shared" si="52"/>
        <v>5.0549045487526545</v>
      </c>
      <c r="N237" s="40">
        <f t="shared" si="52"/>
        <v>5.4542420081041136</v>
      </c>
      <c r="O237" s="40">
        <f t="shared" si="52"/>
        <v>5.8851271267443384</v>
      </c>
      <c r="P237" s="3"/>
      <c r="Q237" s="3"/>
      <c r="R237" s="3"/>
      <c r="S237" s="3"/>
      <c r="T237" s="3"/>
      <c r="U237" s="3"/>
      <c r="V237" s="3"/>
      <c r="W237" s="3"/>
      <c r="X237" s="3"/>
      <c r="Y237" s="3"/>
      <c r="Z237" s="3"/>
    </row>
    <row r="238" spans="1:26" ht="12.75"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x14ac:dyDescent="0.2">
      <c r="A239" s="29" t="s">
        <v>221</v>
      </c>
      <c r="B239" s="2"/>
      <c r="C239" s="2"/>
      <c r="D239" s="6" t="s">
        <v>174</v>
      </c>
      <c r="E239" s="21"/>
      <c r="F239" s="51">
        <v>0</v>
      </c>
      <c r="G239" s="51">
        <v>1</v>
      </c>
      <c r="H239" s="51">
        <v>2</v>
      </c>
      <c r="I239" s="51">
        <v>3</v>
      </c>
      <c r="J239" s="51">
        <v>4</v>
      </c>
      <c r="K239" s="51">
        <v>5</v>
      </c>
      <c r="L239" s="51">
        <v>6</v>
      </c>
      <c r="M239" s="51">
        <v>7</v>
      </c>
      <c r="N239" s="51">
        <v>8</v>
      </c>
      <c r="O239" s="51">
        <v>9</v>
      </c>
      <c r="P239" s="2"/>
      <c r="Q239" s="2"/>
      <c r="R239" s="2"/>
      <c r="S239" s="2"/>
      <c r="T239" s="2"/>
      <c r="U239" s="2"/>
      <c r="V239" s="2"/>
      <c r="W239" s="2"/>
      <c r="X239" s="2"/>
      <c r="Y239" s="2"/>
      <c r="Z239" s="2"/>
    </row>
    <row r="240" spans="1:26" ht="12.75" x14ac:dyDescent="0.2">
      <c r="A240" s="3"/>
      <c r="B240" s="65" t="s">
        <v>244</v>
      </c>
      <c r="C240" s="43"/>
      <c r="D240" s="43"/>
      <c r="E240" s="43"/>
      <c r="F240" s="43"/>
      <c r="G240" s="43"/>
      <c r="H240" s="43"/>
      <c r="I240" s="43"/>
      <c r="J240" s="43"/>
      <c r="K240" s="43"/>
      <c r="L240" s="43"/>
      <c r="M240" s="43"/>
      <c r="N240" s="43"/>
      <c r="O240" s="43"/>
      <c r="P240" s="3"/>
      <c r="Q240" s="3"/>
      <c r="R240" s="3"/>
      <c r="S240" s="3"/>
      <c r="T240" s="3"/>
      <c r="U240" s="3"/>
      <c r="V240" s="3"/>
      <c r="W240" s="3"/>
      <c r="X240" s="3"/>
      <c r="Y240" s="3"/>
      <c r="Z240" s="3"/>
    </row>
    <row r="241" spans="1:26" ht="12.75"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x14ac:dyDescent="0.2">
      <c r="A242" s="3"/>
      <c r="B242" s="32" t="s">
        <v>229</v>
      </c>
      <c r="C242" s="33"/>
      <c r="D242" s="33"/>
      <c r="E242" s="33"/>
      <c r="F242" s="33"/>
      <c r="G242" s="33"/>
      <c r="H242" s="33"/>
      <c r="I242" s="33"/>
      <c r="J242" s="33"/>
      <c r="K242" s="33"/>
      <c r="L242" s="33"/>
      <c r="M242" s="33"/>
      <c r="N242" s="33"/>
      <c r="O242" s="33"/>
      <c r="P242" s="3"/>
      <c r="Q242" s="3"/>
      <c r="R242" s="3"/>
      <c r="S242" s="3"/>
      <c r="T242" s="3"/>
      <c r="U242" s="3"/>
      <c r="V242" s="3"/>
      <c r="W242" s="3"/>
      <c r="X242" s="3"/>
      <c r="Y242" s="3"/>
      <c r="Z242" s="3"/>
    </row>
    <row r="243" spans="1:26" ht="12.75" x14ac:dyDescent="0.2">
      <c r="A243" s="3"/>
      <c r="C243" s="64" t="s">
        <v>222</v>
      </c>
      <c r="D243" s="33"/>
      <c r="E243" s="33"/>
      <c r="F243" s="33"/>
      <c r="G243" s="33"/>
      <c r="H243" s="33"/>
      <c r="I243" s="33"/>
      <c r="J243" s="33"/>
      <c r="K243" s="33"/>
      <c r="L243" s="33"/>
      <c r="M243" s="33"/>
      <c r="N243" s="33"/>
      <c r="O243" s="33"/>
      <c r="P243" s="3"/>
      <c r="Q243" s="3"/>
      <c r="R243" s="3"/>
      <c r="S243" s="3"/>
      <c r="T243" s="3"/>
      <c r="U243" s="3"/>
      <c r="V243" s="3"/>
      <c r="W243" s="3"/>
      <c r="X243" s="3"/>
      <c r="Y243" s="3"/>
      <c r="Z243" s="3"/>
    </row>
    <row r="244" spans="1:26" ht="12.75" x14ac:dyDescent="0.2">
      <c r="A244" s="3"/>
      <c r="B244" s="64"/>
      <c r="C244" s="34" t="s">
        <v>478</v>
      </c>
      <c r="D244" s="33"/>
      <c r="E244" s="33"/>
      <c r="F244" s="33"/>
      <c r="G244" s="33"/>
      <c r="H244" s="33"/>
      <c r="I244" s="33"/>
      <c r="J244" s="33"/>
      <c r="K244" s="33"/>
      <c r="L244" s="33"/>
      <c r="M244" s="33"/>
      <c r="N244" s="33"/>
      <c r="O244" s="33"/>
      <c r="P244" s="3"/>
      <c r="Q244" s="3"/>
      <c r="R244" s="3"/>
      <c r="S244" s="3"/>
      <c r="T244" s="3"/>
      <c r="U244" s="3"/>
      <c r="V244" s="3"/>
      <c r="W244" s="3"/>
      <c r="X244" s="3"/>
      <c r="Y244" s="3"/>
      <c r="Z244" s="3"/>
    </row>
    <row r="245" spans="1:26" ht="12.75" x14ac:dyDescent="0.2">
      <c r="A245" s="3"/>
      <c r="B245" s="33"/>
      <c r="C245" s="9" t="s">
        <v>472</v>
      </c>
      <c r="D245" s="33"/>
      <c r="E245" s="33"/>
      <c r="F245" s="39">
        <f>F165/F$116</f>
        <v>201.60000000000002</v>
      </c>
      <c r="G245" s="39">
        <f>G165/G$116</f>
        <v>201.60000000000002</v>
      </c>
      <c r="H245" s="39">
        <f>H165/H$116</f>
        <v>201.60000000000002</v>
      </c>
      <c r="I245" s="39">
        <f>I165/I$116</f>
        <v>201.60000000000002</v>
      </c>
      <c r="J245" s="39">
        <f>J165/J$116</f>
        <v>201.60000000000005</v>
      </c>
      <c r="K245" s="39">
        <f>K165/K$116</f>
        <v>201.60000000000002</v>
      </c>
      <c r="L245" s="39">
        <f>L165/L$116</f>
        <v>201.60000000000002</v>
      </c>
      <c r="M245" s="39">
        <f>M165/M$116</f>
        <v>201.60000000000002</v>
      </c>
      <c r="N245" s="39">
        <f>N165/N$116</f>
        <v>201.60000000000002</v>
      </c>
      <c r="O245" s="39">
        <f>O165/O$116</f>
        <v>201.60000000000002</v>
      </c>
      <c r="P245" s="3"/>
      <c r="Q245" s="3"/>
      <c r="R245" s="3"/>
      <c r="S245" s="3"/>
      <c r="T245" s="3"/>
      <c r="U245" s="3"/>
      <c r="V245" s="3"/>
      <c r="W245" s="3"/>
      <c r="X245" s="3"/>
      <c r="Y245" s="3"/>
      <c r="Z245" s="3"/>
    </row>
    <row r="246" spans="1:26" ht="12.75" x14ac:dyDescent="0.2">
      <c r="A246" s="3"/>
      <c r="B246" s="33"/>
      <c r="C246" s="27" t="s">
        <v>231</v>
      </c>
      <c r="D246" s="33"/>
      <c r="E246" s="33"/>
      <c r="F246" s="39">
        <f>F166/F$116</f>
        <v>99.917100000000019</v>
      </c>
      <c r="G246" s="39">
        <f>G166/G$116</f>
        <v>99.917100000000019</v>
      </c>
      <c r="H246" s="39">
        <f>H166/H$116</f>
        <v>99.917100000000019</v>
      </c>
      <c r="I246" s="39">
        <f>I166/I$116</f>
        <v>99.917100000000019</v>
      </c>
      <c r="J246" s="39">
        <f>J166/J$116</f>
        <v>99.917100000000019</v>
      </c>
      <c r="K246" s="39">
        <f>K166/K$116</f>
        <v>99.917100000000005</v>
      </c>
      <c r="L246" s="39">
        <f>L166/L$116</f>
        <v>99.917100000000019</v>
      </c>
      <c r="M246" s="39">
        <f>M166/M$116</f>
        <v>99.917100000000019</v>
      </c>
      <c r="N246" s="39">
        <f>N166/N$116</f>
        <v>99.917100000000019</v>
      </c>
      <c r="O246" s="39">
        <f>O166/O$116</f>
        <v>99.917100000000019</v>
      </c>
      <c r="P246" s="3"/>
      <c r="Q246" s="3"/>
      <c r="R246" s="3"/>
      <c r="S246" s="3"/>
      <c r="T246" s="3"/>
      <c r="U246" s="3"/>
      <c r="V246" s="3"/>
      <c r="W246" s="3"/>
      <c r="X246" s="3"/>
      <c r="Y246" s="3"/>
      <c r="Z246" s="3"/>
    </row>
    <row r="247" spans="1:26" ht="12.75" x14ac:dyDescent="0.2">
      <c r="A247" s="3"/>
      <c r="B247" s="33"/>
      <c r="C247" s="27" t="s">
        <v>603</v>
      </c>
      <c r="D247" s="33"/>
      <c r="E247" s="33"/>
      <c r="F247" s="39"/>
      <c r="G247" s="39"/>
      <c r="H247" s="39"/>
      <c r="I247" s="39"/>
      <c r="J247" s="39"/>
      <c r="K247" s="39"/>
      <c r="L247" s="39"/>
      <c r="M247" s="39"/>
      <c r="N247" s="39"/>
      <c r="O247" s="39">
        <f>O135*$F$64*$F$25/1000</f>
        <v>33.33</v>
      </c>
      <c r="P247" s="3"/>
      <c r="Q247" s="3"/>
      <c r="R247" s="3"/>
      <c r="S247" s="3"/>
      <c r="T247" s="3"/>
      <c r="U247" s="3"/>
      <c r="V247" s="3"/>
      <c r="W247" s="3"/>
      <c r="X247" s="3"/>
      <c r="Y247" s="3"/>
      <c r="Z247" s="3"/>
    </row>
    <row r="248" spans="1:26" ht="12.75" x14ac:dyDescent="0.2">
      <c r="A248" s="3"/>
      <c r="B248" s="33"/>
      <c r="C248" s="27" t="s">
        <v>618</v>
      </c>
      <c r="D248" s="33"/>
      <c r="E248" s="33"/>
      <c r="F248" s="39"/>
      <c r="G248" s="39"/>
      <c r="H248" s="39"/>
      <c r="I248" s="39"/>
      <c r="J248" s="39"/>
      <c r="K248" s="39"/>
      <c r="L248" s="39"/>
      <c r="M248" s="39"/>
      <c r="N248" s="39"/>
      <c r="O248" s="39">
        <f>F189</f>
        <v>10.897500000000001</v>
      </c>
      <c r="P248" s="3"/>
      <c r="Q248" s="3"/>
      <c r="R248" s="3"/>
      <c r="S248" s="3"/>
      <c r="T248" s="3"/>
      <c r="U248" s="3"/>
      <c r="V248" s="3"/>
      <c r="W248" s="3"/>
      <c r="X248" s="3"/>
      <c r="Y248" s="3"/>
      <c r="Z248" s="3"/>
    </row>
    <row r="249" spans="1:26" ht="12.75" x14ac:dyDescent="0.2">
      <c r="A249" s="3"/>
      <c r="B249" s="33"/>
      <c r="C249" s="36" t="s">
        <v>479</v>
      </c>
      <c r="D249" s="36"/>
      <c r="E249" s="36"/>
      <c r="F249" s="59">
        <f t="shared" ref="F249:N249" si="53">F245-F246+F247+F248</f>
        <v>101.6829</v>
      </c>
      <c r="G249" s="59">
        <f t="shared" si="53"/>
        <v>101.6829</v>
      </c>
      <c r="H249" s="59">
        <f t="shared" si="53"/>
        <v>101.6829</v>
      </c>
      <c r="I249" s="59">
        <f t="shared" si="53"/>
        <v>101.6829</v>
      </c>
      <c r="J249" s="59">
        <f t="shared" si="53"/>
        <v>101.68290000000003</v>
      </c>
      <c r="K249" s="59">
        <f t="shared" si="53"/>
        <v>101.68290000000002</v>
      </c>
      <c r="L249" s="59">
        <f t="shared" si="53"/>
        <v>101.6829</v>
      </c>
      <c r="M249" s="59">
        <f t="shared" si="53"/>
        <v>101.6829</v>
      </c>
      <c r="N249" s="59">
        <f t="shared" si="53"/>
        <v>101.6829</v>
      </c>
      <c r="O249" s="59">
        <f>O245-O246+O247+O248</f>
        <v>145.91040000000001</v>
      </c>
      <c r="P249" s="3"/>
      <c r="Q249" s="3"/>
      <c r="R249" s="3"/>
      <c r="S249" s="3"/>
      <c r="T249" s="3"/>
      <c r="U249" s="3"/>
      <c r="V249" s="3"/>
      <c r="W249" s="3"/>
      <c r="X249" s="3"/>
      <c r="Y249" s="3"/>
      <c r="Z249" s="3"/>
    </row>
    <row r="250" spans="1:26" ht="12.75" x14ac:dyDescent="0.2">
      <c r="A250" s="3"/>
      <c r="B250" s="33"/>
      <c r="C250" s="27"/>
      <c r="D250" s="33"/>
      <c r="E250" s="33"/>
      <c r="F250" s="41"/>
      <c r="G250" s="37"/>
      <c r="H250" s="37"/>
      <c r="I250" s="37"/>
      <c r="J250" s="37"/>
      <c r="K250" s="37"/>
      <c r="L250" s="37"/>
      <c r="M250" s="37"/>
      <c r="N250" s="37"/>
      <c r="O250" s="37"/>
      <c r="P250" s="3"/>
      <c r="Q250" s="3"/>
      <c r="R250" s="3"/>
      <c r="S250" s="3"/>
      <c r="T250" s="3"/>
      <c r="U250" s="3"/>
      <c r="V250" s="3"/>
      <c r="W250" s="3"/>
      <c r="X250" s="3"/>
      <c r="Y250" s="3"/>
      <c r="Z250" s="3"/>
    </row>
    <row r="251" spans="1:26" ht="12.75" x14ac:dyDescent="0.2">
      <c r="A251" s="3"/>
      <c r="B251" s="33"/>
      <c r="C251" s="34" t="s">
        <v>266</v>
      </c>
      <c r="D251" s="33"/>
      <c r="E251" s="33"/>
      <c r="F251" s="37"/>
      <c r="G251" s="37"/>
      <c r="H251" s="37"/>
      <c r="I251" s="37"/>
      <c r="J251" s="37"/>
      <c r="K251" s="37"/>
      <c r="L251" s="37"/>
      <c r="M251" s="37"/>
      <c r="N251" s="37"/>
      <c r="O251" s="37"/>
      <c r="P251" s="3"/>
      <c r="Q251" s="3"/>
      <c r="R251" s="3"/>
      <c r="S251" s="3"/>
      <c r="T251" s="3"/>
      <c r="U251" s="3"/>
      <c r="V251" s="3"/>
      <c r="W251" s="3"/>
      <c r="X251" s="3"/>
      <c r="Y251" s="3"/>
      <c r="Z251" s="3"/>
    </row>
    <row r="252" spans="1:26" ht="12.75" x14ac:dyDescent="0.2">
      <c r="A252" s="3"/>
      <c r="B252" s="33"/>
      <c r="C252" s="35" t="s">
        <v>267</v>
      </c>
      <c r="D252" s="33"/>
      <c r="E252" s="33"/>
      <c r="F252" s="39">
        <f>$F$92/1000</f>
        <v>0</v>
      </c>
      <c r="G252" s="39">
        <f t="shared" ref="G252:O252" si="54">$F$92/1000</f>
        <v>0</v>
      </c>
      <c r="H252" s="39">
        <f t="shared" si="54"/>
        <v>0</v>
      </c>
      <c r="I252" s="39">
        <f t="shared" si="54"/>
        <v>0</v>
      </c>
      <c r="J252" s="39">
        <f t="shared" si="54"/>
        <v>0</v>
      </c>
      <c r="K252" s="39">
        <f t="shared" si="54"/>
        <v>0</v>
      </c>
      <c r="L252" s="39">
        <f t="shared" si="54"/>
        <v>0</v>
      </c>
      <c r="M252" s="39">
        <f t="shared" si="54"/>
        <v>0</v>
      </c>
      <c r="N252" s="39">
        <f t="shared" si="54"/>
        <v>0</v>
      </c>
      <c r="O252" s="39">
        <f t="shared" si="54"/>
        <v>0</v>
      </c>
      <c r="P252" s="3"/>
      <c r="Q252" s="3"/>
      <c r="R252" s="3"/>
      <c r="S252" s="3"/>
      <c r="T252" s="3"/>
      <c r="U252" s="3"/>
      <c r="V252" s="3"/>
      <c r="W252" s="3"/>
      <c r="X252" s="3"/>
      <c r="Y252" s="3"/>
      <c r="Z252" s="3"/>
    </row>
    <row r="253" spans="1:26" ht="12.75" x14ac:dyDescent="0.2">
      <c r="A253" s="3"/>
      <c r="B253" s="33"/>
      <c r="C253" s="35" t="s">
        <v>138</v>
      </c>
      <c r="D253" s="33"/>
      <c r="E253" s="33"/>
      <c r="F253" s="39">
        <f>$F$88/1000</f>
        <v>0</v>
      </c>
      <c r="G253" s="39">
        <f t="shared" ref="G253:O253" si="55">$F$88/1000</f>
        <v>0</v>
      </c>
      <c r="H253" s="39">
        <f t="shared" si="55"/>
        <v>0</v>
      </c>
      <c r="I253" s="39">
        <f t="shared" si="55"/>
        <v>0</v>
      </c>
      <c r="J253" s="39">
        <f t="shared" si="55"/>
        <v>0</v>
      </c>
      <c r="K253" s="39">
        <f t="shared" si="55"/>
        <v>0</v>
      </c>
      <c r="L253" s="39">
        <f t="shared" si="55"/>
        <v>0</v>
      </c>
      <c r="M253" s="39">
        <f t="shared" si="55"/>
        <v>0</v>
      </c>
      <c r="N253" s="39">
        <f t="shared" si="55"/>
        <v>0</v>
      </c>
      <c r="O253" s="39">
        <f t="shared" si="55"/>
        <v>0</v>
      </c>
      <c r="P253" s="3"/>
      <c r="Q253" s="3"/>
      <c r="R253" s="3"/>
      <c r="S253" s="3"/>
      <c r="T253" s="3"/>
      <c r="U253" s="3"/>
      <c r="V253" s="3"/>
      <c r="W253" s="3"/>
      <c r="X253" s="3"/>
      <c r="Y253" s="3"/>
      <c r="Z253" s="3"/>
    </row>
    <row r="254" spans="1:26" ht="12.75" x14ac:dyDescent="0.2">
      <c r="A254" s="3"/>
      <c r="B254" s="33"/>
      <c r="C254" s="36" t="s">
        <v>247</v>
      </c>
      <c r="D254" s="36"/>
      <c r="E254" s="36"/>
      <c r="F254" s="59">
        <f>SUM(F252:F253)</f>
        <v>0</v>
      </c>
      <c r="G254" s="59">
        <f t="shared" ref="G254:O254" si="56">SUM(G252:G253)</f>
        <v>0</v>
      </c>
      <c r="H254" s="59">
        <f t="shared" si="56"/>
        <v>0</v>
      </c>
      <c r="I254" s="59">
        <f t="shared" si="56"/>
        <v>0</v>
      </c>
      <c r="J254" s="59">
        <f t="shared" si="56"/>
        <v>0</v>
      </c>
      <c r="K254" s="59">
        <f t="shared" si="56"/>
        <v>0</v>
      </c>
      <c r="L254" s="59">
        <f t="shared" si="56"/>
        <v>0</v>
      </c>
      <c r="M254" s="59">
        <f t="shared" si="56"/>
        <v>0</v>
      </c>
      <c r="N254" s="59">
        <f t="shared" si="56"/>
        <v>0</v>
      </c>
      <c r="O254" s="59">
        <f t="shared" si="56"/>
        <v>0</v>
      </c>
      <c r="P254" s="3"/>
      <c r="Q254" s="3"/>
      <c r="R254" s="3"/>
      <c r="S254" s="3"/>
      <c r="T254" s="3"/>
      <c r="U254" s="3"/>
      <c r="V254" s="3"/>
      <c r="W254" s="3"/>
      <c r="X254" s="3"/>
      <c r="Y254" s="3"/>
      <c r="Z254" s="3"/>
    </row>
    <row r="255" spans="1:26" ht="12.75" x14ac:dyDescent="0.2">
      <c r="A255" s="3"/>
      <c r="B255" s="33"/>
      <c r="C255" s="27"/>
      <c r="D255" s="33"/>
      <c r="E255" s="33"/>
      <c r="F255" s="37"/>
      <c r="G255" s="37"/>
      <c r="H255" s="37"/>
      <c r="I255" s="37"/>
      <c r="J255" s="37"/>
      <c r="K255" s="37"/>
      <c r="L255" s="37"/>
      <c r="M255" s="37"/>
      <c r="N255" s="37"/>
      <c r="O255" s="37"/>
      <c r="P255" s="3"/>
      <c r="Q255" s="3"/>
      <c r="R255" s="3"/>
      <c r="S255" s="3"/>
      <c r="T255" s="3"/>
      <c r="U255" s="3"/>
      <c r="V255" s="3"/>
      <c r="W255" s="3"/>
      <c r="X255" s="3"/>
      <c r="Y255" s="3"/>
      <c r="Z255" s="3"/>
    </row>
    <row r="256" spans="1:26" ht="12.75" x14ac:dyDescent="0.2">
      <c r="A256" s="3"/>
      <c r="B256" s="33"/>
      <c r="C256" s="66" t="s">
        <v>230</v>
      </c>
      <c r="D256" s="66"/>
      <c r="E256" s="66"/>
      <c r="F256" s="67">
        <f>F249+F254</f>
        <v>101.6829</v>
      </c>
      <c r="G256" s="67">
        <f t="shared" ref="G256:O256" si="57">G249+G254</f>
        <v>101.6829</v>
      </c>
      <c r="H256" s="67">
        <f t="shared" si="57"/>
        <v>101.6829</v>
      </c>
      <c r="I256" s="67">
        <f t="shared" si="57"/>
        <v>101.6829</v>
      </c>
      <c r="J256" s="67">
        <f t="shared" si="57"/>
        <v>101.68290000000003</v>
      </c>
      <c r="K256" s="67">
        <f t="shared" si="57"/>
        <v>101.68290000000002</v>
      </c>
      <c r="L256" s="67">
        <f t="shared" si="57"/>
        <v>101.6829</v>
      </c>
      <c r="M256" s="67">
        <f t="shared" si="57"/>
        <v>101.6829</v>
      </c>
      <c r="N256" s="67">
        <f t="shared" si="57"/>
        <v>101.6829</v>
      </c>
      <c r="O256" s="67">
        <f t="shared" si="57"/>
        <v>145.91040000000001</v>
      </c>
      <c r="P256" s="3"/>
      <c r="Q256" s="3"/>
      <c r="R256" s="3"/>
      <c r="S256" s="3"/>
      <c r="T256" s="3"/>
      <c r="U256" s="3"/>
      <c r="V256" s="3"/>
      <c r="W256" s="3"/>
      <c r="X256" s="3"/>
      <c r="Y256" s="3"/>
      <c r="Z256" s="3"/>
    </row>
    <row r="257" spans="1:26" ht="12.75" x14ac:dyDescent="0.2">
      <c r="A257" s="3"/>
      <c r="B257" s="33"/>
      <c r="C257" s="33"/>
      <c r="D257" s="33"/>
      <c r="E257" s="33"/>
      <c r="F257" s="33"/>
      <c r="G257" s="33"/>
      <c r="H257" s="33"/>
      <c r="I257" s="33"/>
      <c r="J257" s="33"/>
      <c r="K257" s="33"/>
      <c r="L257" s="33"/>
      <c r="M257" s="33"/>
      <c r="N257" s="33"/>
      <c r="O257" s="33"/>
      <c r="P257" s="3"/>
      <c r="Q257" s="3"/>
      <c r="R257" s="3"/>
      <c r="S257" s="3"/>
      <c r="T257" s="3"/>
      <c r="U257" s="3"/>
      <c r="V257" s="3"/>
      <c r="W257" s="3"/>
      <c r="X257" s="3"/>
      <c r="Y257" s="3"/>
      <c r="Z257" s="3"/>
    </row>
    <row r="258" spans="1:26" ht="12.75" x14ac:dyDescent="0.2">
      <c r="A258" s="3"/>
      <c r="C258" s="64" t="s">
        <v>235</v>
      </c>
      <c r="D258" s="33"/>
      <c r="E258" s="33"/>
      <c r="F258" s="33"/>
      <c r="G258" s="33"/>
      <c r="H258" s="33"/>
      <c r="I258" s="33"/>
      <c r="J258" s="33"/>
      <c r="K258" s="33"/>
      <c r="L258" s="33"/>
      <c r="M258" s="33"/>
      <c r="N258" s="33"/>
      <c r="O258" s="33"/>
      <c r="P258" s="3"/>
      <c r="Q258" s="3"/>
      <c r="R258" s="3"/>
      <c r="S258" s="3"/>
      <c r="T258" s="3"/>
      <c r="U258" s="3"/>
      <c r="V258" s="3"/>
      <c r="W258" s="3"/>
      <c r="X258" s="3"/>
      <c r="Y258" s="3"/>
      <c r="Z258" s="3"/>
    </row>
    <row r="259" spans="1:26" ht="12.75" x14ac:dyDescent="0.2">
      <c r="A259" s="3"/>
      <c r="B259" s="64"/>
      <c r="C259" s="34" t="s">
        <v>144</v>
      </c>
      <c r="D259" s="33"/>
      <c r="E259" s="33"/>
      <c r="F259" s="33"/>
      <c r="G259" s="33"/>
      <c r="H259" s="33"/>
      <c r="I259" s="33"/>
      <c r="J259" s="33"/>
      <c r="K259" s="33"/>
      <c r="L259" s="33"/>
      <c r="M259" s="33"/>
      <c r="N259" s="33"/>
      <c r="O259" s="33"/>
      <c r="P259" s="3"/>
      <c r="Q259" s="3"/>
      <c r="R259" s="3"/>
      <c r="S259" s="3"/>
      <c r="T259" s="3"/>
      <c r="U259" s="3"/>
      <c r="V259" s="3"/>
      <c r="W259" s="3"/>
      <c r="X259" s="3"/>
      <c r="Y259" s="3"/>
      <c r="Z259" s="3"/>
    </row>
    <row r="260" spans="1:26" ht="12.75" x14ac:dyDescent="0.2">
      <c r="A260" s="3"/>
      <c r="B260" s="64"/>
      <c r="C260" s="35" t="s">
        <v>245</v>
      </c>
      <c r="D260" s="33"/>
      <c r="E260" s="33"/>
      <c r="F260" s="39">
        <f>$F$92*(1+$F$93)/1000</f>
        <v>0</v>
      </c>
      <c r="G260" s="39">
        <f t="shared" ref="G260:O260" si="58">$F$92*(1+$F$93)/1000</f>
        <v>0</v>
      </c>
      <c r="H260" s="39">
        <f t="shared" si="58"/>
        <v>0</v>
      </c>
      <c r="I260" s="39">
        <f t="shared" si="58"/>
        <v>0</v>
      </c>
      <c r="J260" s="39">
        <f t="shared" si="58"/>
        <v>0</v>
      </c>
      <c r="K260" s="39">
        <f t="shared" si="58"/>
        <v>0</v>
      </c>
      <c r="L260" s="39">
        <f t="shared" si="58"/>
        <v>0</v>
      </c>
      <c r="M260" s="39">
        <f t="shared" si="58"/>
        <v>0</v>
      </c>
      <c r="N260" s="39">
        <f t="shared" si="58"/>
        <v>0</v>
      </c>
      <c r="O260" s="39">
        <f t="shared" si="58"/>
        <v>0</v>
      </c>
      <c r="P260" s="3"/>
      <c r="Q260" s="3"/>
      <c r="R260" s="3"/>
      <c r="S260" s="3"/>
      <c r="T260" s="3"/>
      <c r="U260" s="3"/>
      <c r="V260" s="3"/>
      <c r="W260" s="3"/>
      <c r="X260" s="3"/>
      <c r="Y260" s="3"/>
      <c r="Z260" s="3"/>
    </row>
    <row r="261" spans="1:26" ht="12.75" x14ac:dyDescent="0.2">
      <c r="A261" s="3"/>
      <c r="B261" s="64"/>
      <c r="C261" s="36" t="s">
        <v>245</v>
      </c>
      <c r="D261" s="36"/>
      <c r="E261" s="36"/>
      <c r="F261" s="59">
        <f>F260</f>
        <v>0</v>
      </c>
      <c r="G261" s="59">
        <f t="shared" ref="G261:O261" si="59">G260</f>
        <v>0</v>
      </c>
      <c r="H261" s="59">
        <f t="shared" si="59"/>
        <v>0</v>
      </c>
      <c r="I261" s="59">
        <f t="shared" si="59"/>
        <v>0</v>
      </c>
      <c r="J261" s="59">
        <f t="shared" si="59"/>
        <v>0</v>
      </c>
      <c r="K261" s="59">
        <f t="shared" si="59"/>
        <v>0</v>
      </c>
      <c r="L261" s="59">
        <f t="shared" si="59"/>
        <v>0</v>
      </c>
      <c r="M261" s="59">
        <f t="shared" si="59"/>
        <v>0</v>
      </c>
      <c r="N261" s="59">
        <f t="shared" si="59"/>
        <v>0</v>
      </c>
      <c r="O261" s="59">
        <f t="shared" si="59"/>
        <v>0</v>
      </c>
      <c r="P261" s="3"/>
      <c r="Q261" s="3"/>
      <c r="R261" s="3"/>
      <c r="S261" s="3"/>
      <c r="T261" s="3"/>
      <c r="U261" s="3"/>
      <c r="V261" s="3"/>
      <c r="W261" s="3"/>
      <c r="X261" s="3"/>
      <c r="Y261" s="3"/>
      <c r="Z261" s="3"/>
    </row>
    <row r="262" spans="1:26" ht="12.75" x14ac:dyDescent="0.2">
      <c r="A262" s="3"/>
      <c r="B262" s="64"/>
      <c r="C262" s="64"/>
      <c r="D262" s="33"/>
      <c r="E262" s="33"/>
      <c r="F262" s="33"/>
      <c r="G262" s="33"/>
      <c r="H262" s="33"/>
      <c r="I262" s="33"/>
      <c r="J262" s="33"/>
      <c r="K262" s="33"/>
      <c r="L262" s="33"/>
      <c r="M262" s="33"/>
      <c r="N262" s="33"/>
      <c r="O262" s="33"/>
      <c r="P262" s="3"/>
      <c r="Q262" s="3"/>
      <c r="R262" s="3"/>
      <c r="S262" s="3"/>
      <c r="T262" s="3"/>
      <c r="U262" s="3"/>
      <c r="V262" s="3"/>
      <c r="W262" s="3"/>
      <c r="X262" s="3"/>
      <c r="Y262" s="3"/>
      <c r="Z262" s="3"/>
    </row>
    <row r="263" spans="1:26" ht="12.75" x14ac:dyDescent="0.2">
      <c r="A263" s="3"/>
      <c r="B263" s="33"/>
      <c r="C263" s="34" t="s">
        <v>218</v>
      </c>
      <c r="D263" s="33"/>
      <c r="E263" s="33"/>
      <c r="F263" s="33"/>
      <c r="G263" s="33"/>
      <c r="H263" s="33"/>
      <c r="I263" s="33"/>
      <c r="J263" s="33"/>
      <c r="K263" s="33"/>
      <c r="L263" s="33"/>
      <c r="M263" s="33"/>
      <c r="N263" s="33"/>
      <c r="O263" s="33"/>
      <c r="P263" s="3"/>
      <c r="Q263" s="3"/>
      <c r="R263" s="3"/>
      <c r="S263" s="3"/>
      <c r="T263" s="3"/>
      <c r="U263" s="3"/>
      <c r="V263" s="3"/>
      <c r="W263" s="3"/>
      <c r="X263" s="3"/>
      <c r="Y263" s="3"/>
      <c r="Z263" s="3"/>
    </row>
    <row r="264" spans="1:26" ht="12.75" x14ac:dyDescent="0.2">
      <c r="A264" s="3"/>
      <c r="B264" s="33"/>
      <c r="C264" s="94" t="s">
        <v>272</v>
      </c>
      <c r="D264" s="33"/>
      <c r="E264" s="41"/>
      <c r="F264" s="39">
        <f>F179/F$116</f>
        <v>1.59</v>
      </c>
      <c r="G264" s="39">
        <f>G179/G$116</f>
        <v>1.5899999999999999</v>
      </c>
      <c r="H264" s="39">
        <f>H179/H$116</f>
        <v>1.5899999999999999</v>
      </c>
      <c r="I264" s="39">
        <f>I179/I$116</f>
        <v>1.5899999999999999</v>
      </c>
      <c r="J264" s="39">
        <f>J179/J$116</f>
        <v>1.5899999999999999</v>
      </c>
      <c r="K264" s="39">
        <f>K179/K$116</f>
        <v>1.59</v>
      </c>
      <c r="L264" s="39">
        <f>L179/L$116</f>
        <v>1.59</v>
      </c>
      <c r="M264" s="39">
        <f>M179/M$116</f>
        <v>1.59</v>
      </c>
      <c r="N264" s="39">
        <f>N179/N$116</f>
        <v>1.59</v>
      </c>
      <c r="O264" s="39">
        <f>O179/O$116</f>
        <v>1.59</v>
      </c>
      <c r="P264" s="3"/>
      <c r="Q264" s="3"/>
      <c r="R264" s="3"/>
      <c r="S264" s="3"/>
      <c r="T264" s="3"/>
      <c r="U264" s="3"/>
      <c r="V264" s="3"/>
      <c r="W264" s="3"/>
      <c r="X264" s="3"/>
      <c r="Y264" s="3"/>
      <c r="Z264" s="3"/>
    </row>
    <row r="265" spans="1:26" ht="12.75" x14ac:dyDescent="0.2">
      <c r="A265" s="3"/>
      <c r="B265" s="33"/>
      <c r="C265" s="115" t="s">
        <v>273</v>
      </c>
      <c r="D265" s="33"/>
      <c r="E265" s="41"/>
      <c r="F265" s="39">
        <f>F180/F$116</f>
        <v>3.3201000000000005</v>
      </c>
      <c r="G265" s="39">
        <f>G180/G$116</f>
        <v>3.3201000000000001</v>
      </c>
      <c r="H265" s="39">
        <f>H180/H$116</f>
        <v>3.3201000000000005</v>
      </c>
      <c r="I265" s="39">
        <f>I180/I$116</f>
        <v>3.3201000000000001</v>
      </c>
      <c r="J265" s="39">
        <f>J180/J$116</f>
        <v>3.3201000000000001</v>
      </c>
      <c r="K265" s="39">
        <f>K180/K$116</f>
        <v>3.3201000000000005</v>
      </c>
      <c r="L265" s="39">
        <f>L180/L$116</f>
        <v>3.3201000000000005</v>
      </c>
      <c r="M265" s="39">
        <f>M180/M$116</f>
        <v>3.3201000000000005</v>
      </c>
      <c r="N265" s="39">
        <f>N180/N$116</f>
        <v>3.3201000000000005</v>
      </c>
      <c r="O265" s="39">
        <f>O180/O$116</f>
        <v>3.3201000000000005</v>
      </c>
      <c r="P265" s="3"/>
      <c r="Q265" s="3"/>
      <c r="R265" s="3"/>
      <c r="S265" s="3"/>
      <c r="T265" s="3"/>
      <c r="U265" s="3"/>
      <c r="V265" s="3"/>
      <c r="W265" s="3"/>
      <c r="X265" s="3"/>
      <c r="Y265" s="3"/>
      <c r="Z265" s="3"/>
    </row>
    <row r="266" spans="1:26" ht="12.75" x14ac:dyDescent="0.2">
      <c r="A266" s="3"/>
      <c r="B266" s="33"/>
      <c r="C266" s="84" t="s">
        <v>323</v>
      </c>
      <c r="D266" s="33"/>
      <c r="E266" s="41"/>
      <c r="F266" s="39">
        <f>F181/F$116</f>
        <v>5.6573999999999991</v>
      </c>
      <c r="G266" s="39">
        <f>G181/G$116</f>
        <v>5.6573999999999991</v>
      </c>
      <c r="H266" s="39">
        <f>H181/H$116</f>
        <v>5.6573999999999991</v>
      </c>
      <c r="I266" s="39">
        <f>I181/I$116</f>
        <v>5.6573999999999982</v>
      </c>
      <c r="J266" s="39">
        <f>J181/J$116</f>
        <v>5.6573999999999991</v>
      </c>
      <c r="K266" s="39">
        <f>K181/K$116</f>
        <v>5.6573999999999991</v>
      </c>
      <c r="L266" s="39">
        <f>L181/L$116</f>
        <v>5.6573999999999982</v>
      </c>
      <c r="M266" s="39">
        <f>M181/M$116</f>
        <v>5.6573999999999991</v>
      </c>
      <c r="N266" s="39">
        <f>N181/N$116</f>
        <v>5.6573999999999991</v>
      </c>
      <c r="O266" s="39">
        <f>O181/O$116</f>
        <v>5.6573999999999982</v>
      </c>
      <c r="P266" s="3"/>
      <c r="Q266" s="3"/>
      <c r="R266" s="3"/>
      <c r="S266" s="3"/>
      <c r="T266" s="3"/>
      <c r="U266" s="3"/>
      <c r="V266" s="3"/>
      <c r="W266" s="3"/>
      <c r="X266" s="3"/>
      <c r="Y266" s="3"/>
      <c r="Z266" s="3"/>
    </row>
    <row r="267" spans="1:26" ht="12.75" x14ac:dyDescent="0.2">
      <c r="A267" s="3"/>
      <c r="B267" s="33"/>
      <c r="C267" s="84" t="s">
        <v>492</v>
      </c>
      <c r="D267" s="33"/>
      <c r="E267" s="41"/>
      <c r="F267" s="39">
        <f>F182/F$116</f>
        <v>8.5175999999999998</v>
      </c>
      <c r="G267" s="39">
        <f>G182/G$116</f>
        <v>8.5175999999999998</v>
      </c>
      <c r="H267" s="39">
        <f>H182/H$116</f>
        <v>8.5175999999999998</v>
      </c>
      <c r="I267" s="39">
        <f>I182/I$116</f>
        <v>8.5175999999999998</v>
      </c>
      <c r="J267" s="39">
        <f>J182/J$116</f>
        <v>8.5175999999999998</v>
      </c>
      <c r="K267" s="39">
        <f>K182/K$116</f>
        <v>8.5176000000000016</v>
      </c>
      <c r="L267" s="39">
        <f>L182/L$116</f>
        <v>8.5176000000000016</v>
      </c>
      <c r="M267" s="39">
        <f>M182/M$116</f>
        <v>8.5175999999999998</v>
      </c>
      <c r="N267" s="39">
        <f>N182/N$116</f>
        <v>8.5176000000000016</v>
      </c>
      <c r="O267" s="39">
        <f>O182/O$116</f>
        <v>8.5176000000000016</v>
      </c>
      <c r="P267" s="3"/>
      <c r="Q267" s="3"/>
      <c r="R267" s="3"/>
      <c r="S267" s="3"/>
      <c r="T267" s="3"/>
      <c r="U267" s="3"/>
      <c r="V267" s="3"/>
      <c r="W267" s="3"/>
      <c r="X267" s="3"/>
      <c r="Y267" s="3"/>
      <c r="Z267" s="3"/>
    </row>
    <row r="268" spans="1:26" s="105" customFormat="1" ht="12.75" x14ac:dyDescent="0.2">
      <c r="A268" s="102"/>
      <c r="B268" s="35"/>
      <c r="C268" s="115" t="s">
        <v>290</v>
      </c>
      <c r="D268" s="35"/>
      <c r="E268" s="41"/>
      <c r="F268" s="104">
        <f>F183/F$116</f>
        <v>32.868449999999996</v>
      </c>
      <c r="G268" s="104">
        <f>G183/G$116</f>
        <v>32.868449999999996</v>
      </c>
      <c r="H268" s="104">
        <f>H183/H$116</f>
        <v>32.868449999999996</v>
      </c>
      <c r="I268" s="104">
        <f>I183/I$116</f>
        <v>32.868449999999996</v>
      </c>
      <c r="J268" s="104">
        <f>J183/J$116</f>
        <v>32.868449999999996</v>
      </c>
      <c r="K268" s="104">
        <f>K183/K$116</f>
        <v>32.868450000000003</v>
      </c>
      <c r="L268" s="104">
        <f>L183/L$116</f>
        <v>32.868449999999996</v>
      </c>
      <c r="M268" s="104">
        <f>M183/M$116</f>
        <v>32.868449999999996</v>
      </c>
      <c r="N268" s="104">
        <f>N183/N$116</f>
        <v>32.868449999999996</v>
      </c>
      <c r="O268" s="104">
        <f>O183/O$116</f>
        <v>32.868449999999996</v>
      </c>
      <c r="P268" s="102"/>
      <c r="Q268" s="102"/>
      <c r="R268" s="102"/>
      <c r="S268" s="102"/>
      <c r="T268" s="102"/>
      <c r="U268" s="102"/>
      <c r="V268" s="102"/>
      <c r="W268" s="102"/>
      <c r="X268" s="102"/>
      <c r="Y268" s="102"/>
      <c r="Z268" s="102"/>
    </row>
    <row r="269" spans="1:26" ht="12.75" x14ac:dyDescent="0.2">
      <c r="A269" s="3"/>
      <c r="B269" s="33"/>
      <c r="C269" s="94" t="s">
        <v>278</v>
      </c>
      <c r="D269" s="33"/>
      <c r="E269" s="33"/>
      <c r="F269" s="39">
        <f>F184/F$116</f>
        <v>12.089100000000002</v>
      </c>
      <c r="G269" s="39">
        <f>G184/G$116</f>
        <v>12.089100000000002</v>
      </c>
      <c r="H269" s="39">
        <f>H184/H$116</f>
        <v>12.089100000000004</v>
      </c>
      <c r="I269" s="39">
        <f>I184/I$116</f>
        <v>12.089100000000002</v>
      </c>
      <c r="J269" s="39">
        <f>J184/J$116</f>
        <v>12.089100000000002</v>
      </c>
      <c r="K269" s="39">
        <f>K184/K$116</f>
        <v>12.089100000000004</v>
      </c>
      <c r="L269" s="39">
        <f>L184/L$116</f>
        <v>12.089100000000004</v>
      </c>
      <c r="M269" s="39">
        <f>M184/M$116</f>
        <v>12.089100000000002</v>
      </c>
      <c r="N269" s="39">
        <f>N184/N$116</f>
        <v>12.089100000000002</v>
      </c>
      <c r="O269" s="39">
        <f>O184/O$116</f>
        <v>12.089100000000002</v>
      </c>
      <c r="P269" s="3"/>
      <c r="Q269" s="3"/>
      <c r="R269" s="3"/>
      <c r="S269" s="3"/>
      <c r="T269" s="3"/>
      <c r="U269" s="3"/>
      <c r="V269" s="3"/>
      <c r="W269" s="3"/>
      <c r="X269" s="3"/>
      <c r="Y269" s="3"/>
      <c r="Z269" s="3"/>
    </row>
    <row r="270" spans="1:26" ht="12.75" x14ac:dyDescent="0.2">
      <c r="A270" s="3"/>
      <c r="B270" s="33"/>
      <c r="C270" s="9" t="s">
        <v>85</v>
      </c>
      <c r="D270" s="33"/>
      <c r="E270" s="33"/>
      <c r="F270" s="39">
        <f>F185/F$116</f>
        <v>0</v>
      </c>
      <c r="G270" s="39">
        <f>G185/G$116</f>
        <v>0</v>
      </c>
      <c r="H270" s="39">
        <f>H185/H$116</f>
        <v>0</v>
      </c>
      <c r="I270" s="39">
        <f>I185/I$116</f>
        <v>0</v>
      </c>
      <c r="J270" s="39">
        <f>J185/J$116</f>
        <v>0</v>
      </c>
      <c r="K270" s="39">
        <f>K185/K$116</f>
        <v>0</v>
      </c>
      <c r="L270" s="39">
        <f>L185/L$116</f>
        <v>0</v>
      </c>
      <c r="M270" s="39">
        <f>M185/M$116</f>
        <v>0</v>
      </c>
      <c r="N270" s="39">
        <f>N185/N$116</f>
        <v>0</v>
      </c>
      <c r="O270" s="39">
        <f>O185/O$116</f>
        <v>0</v>
      </c>
      <c r="P270" s="3"/>
      <c r="Q270" s="3"/>
      <c r="R270" s="3"/>
      <c r="S270" s="3"/>
      <c r="T270" s="3"/>
      <c r="U270" s="3"/>
      <c r="V270" s="3"/>
      <c r="W270" s="3"/>
      <c r="X270" s="3"/>
      <c r="Y270" s="3"/>
      <c r="Z270" s="3"/>
    </row>
    <row r="271" spans="1:26" ht="12.75" x14ac:dyDescent="0.2">
      <c r="A271" s="3"/>
      <c r="B271" s="33"/>
      <c r="C271" s="36" t="s">
        <v>207</v>
      </c>
      <c r="D271" s="36"/>
      <c r="E271" s="36"/>
      <c r="F271" s="59">
        <f>SUM(F264:F270)</f>
        <v>64.042649999999995</v>
      </c>
      <c r="G271" s="59">
        <f t="shared" ref="G271:O271" si="60">SUM(G264:G270)</f>
        <v>64.042649999999995</v>
      </c>
      <c r="H271" s="59">
        <f t="shared" si="60"/>
        <v>64.042649999999995</v>
      </c>
      <c r="I271" s="59">
        <f t="shared" si="60"/>
        <v>64.042649999999995</v>
      </c>
      <c r="J271" s="59">
        <f t="shared" si="60"/>
        <v>64.042649999999995</v>
      </c>
      <c r="K271" s="59">
        <f t="shared" si="60"/>
        <v>64.042650000000009</v>
      </c>
      <c r="L271" s="59">
        <f t="shared" si="60"/>
        <v>64.042649999999995</v>
      </c>
      <c r="M271" s="59">
        <f t="shared" si="60"/>
        <v>64.042649999999995</v>
      </c>
      <c r="N271" s="59">
        <f t="shared" si="60"/>
        <v>64.042649999999995</v>
      </c>
      <c r="O271" s="59">
        <f t="shared" si="60"/>
        <v>64.042649999999995</v>
      </c>
      <c r="P271" s="3"/>
      <c r="Q271" s="3"/>
      <c r="R271" s="3"/>
      <c r="S271" s="3"/>
      <c r="T271" s="3"/>
      <c r="U271" s="3"/>
      <c r="V271" s="3"/>
      <c r="W271" s="3"/>
      <c r="X271" s="3"/>
      <c r="Y271" s="3"/>
      <c r="Z271" s="3"/>
    </row>
    <row r="272" spans="1:26" ht="12.75" x14ac:dyDescent="0.2">
      <c r="A272" s="3"/>
      <c r="B272" s="33"/>
      <c r="C272" s="33"/>
      <c r="D272" s="33"/>
      <c r="E272" s="33"/>
      <c r="F272" s="41"/>
      <c r="G272" s="33"/>
      <c r="H272" s="33"/>
      <c r="I272" s="33"/>
      <c r="J272" s="33"/>
      <c r="K272" s="33"/>
      <c r="L272" s="33"/>
      <c r="M272" s="33"/>
      <c r="N272" s="33"/>
      <c r="O272" s="33"/>
      <c r="P272" s="3"/>
      <c r="Q272" s="3"/>
      <c r="R272" s="3"/>
      <c r="S272" s="3"/>
      <c r="T272" s="3"/>
      <c r="U272" s="3"/>
      <c r="V272" s="3"/>
      <c r="W272" s="3"/>
      <c r="X272" s="3"/>
      <c r="Y272" s="3"/>
      <c r="Z272" s="3"/>
    </row>
    <row r="273" spans="1:26" ht="12.75" x14ac:dyDescent="0.2">
      <c r="A273" s="3"/>
      <c r="B273" s="33"/>
      <c r="C273" s="34" t="s">
        <v>215</v>
      </c>
      <c r="D273" s="33"/>
      <c r="E273" s="33"/>
      <c r="F273" s="41"/>
      <c r="G273" s="41"/>
      <c r="H273" s="41"/>
      <c r="I273" s="41"/>
      <c r="J273" s="41"/>
      <c r="K273" s="41"/>
      <c r="L273" s="41"/>
      <c r="M273" s="41"/>
      <c r="N273" s="41"/>
      <c r="O273" s="41"/>
      <c r="P273" s="3"/>
      <c r="Q273" s="3"/>
      <c r="R273" s="3"/>
      <c r="S273" s="3"/>
      <c r="T273" s="3"/>
      <c r="U273" s="3"/>
      <c r="V273" s="3"/>
      <c r="W273" s="3"/>
      <c r="X273" s="3"/>
      <c r="Y273" s="3"/>
      <c r="Z273" s="3"/>
    </row>
    <row r="274" spans="1:26" ht="12.75" x14ac:dyDescent="0.2">
      <c r="A274" s="3"/>
      <c r="B274" s="33"/>
      <c r="C274" s="393" t="s">
        <v>610</v>
      </c>
      <c r="D274" s="33"/>
      <c r="E274" s="33"/>
      <c r="F274" s="39">
        <f>F189/F$116</f>
        <v>10.897500000000001</v>
      </c>
      <c r="G274" s="39">
        <f>G189/G$116</f>
        <v>0</v>
      </c>
      <c r="H274" s="39">
        <f>H189/H$116</f>
        <v>0</v>
      </c>
      <c r="I274" s="39">
        <f>I189/I$116</f>
        <v>0</v>
      </c>
      <c r="J274" s="39">
        <f>J189/J$116</f>
        <v>0</v>
      </c>
      <c r="K274" s="39">
        <f>K189/K$116</f>
        <v>0</v>
      </c>
      <c r="L274" s="39">
        <f>L189/L$116</f>
        <v>0</v>
      </c>
      <c r="M274" s="39">
        <f>M189/M$116</f>
        <v>0</v>
      </c>
      <c r="N274" s="39">
        <f>N189/N$116</f>
        <v>0</v>
      </c>
      <c r="O274" s="39">
        <f>O189/O$116</f>
        <v>0</v>
      </c>
      <c r="P274" s="3"/>
      <c r="Q274" s="3"/>
      <c r="R274" s="3"/>
      <c r="S274" s="3"/>
      <c r="T274" s="3"/>
      <c r="U274" s="3"/>
      <c r="V274" s="3"/>
      <c r="W274" s="3"/>
      <c r="X274" s="3"/>
      <c r="Y274" s="3"/>
      <c r="Z274" s="3"/>
    </row>
    <row r="275" spans="1:26" ht="12.75" x14ac:dyDescent="0.2">
      <c r="A275" s="3"/>
      <c r="B275" s="33"/>
      <c r="C275" s="27" t="s">
        <v>283</v>
      </c>
      <c r="D275" s="33"/>
      <c r="E275" s="33"/>
      <c r="F275" s="39">
        <f>F190/F$116</f>
        <v>5.7781730769230775</v>
      </c>
      <c r="G275" s="39">
        <f>G190/G$116</f>
        <v>5.7781730769230775</v>
      </c>
      <c r="H275" s="39">
        <f>H190/H$116</f>
        <v>5.7781730769230775</v>
      </c>
      <c r="I275" s="39">
        <f>I190/I$116</f>
        <v>5.7781730769230775</v>
      </c>
      <c r="J275" s="39">
        <f>J190/J$116</f>
        <v>5.7781730769230775</v>
      </c>
      <c r="K275" s="39">
        <f>K190/K$116</f>
        <v>5.7781730769230775</v>
      </c>
      <c r="L275" s="39">
        <f>L190/L$116</f>
        <v>5.7781730769230775</v>
      </c>
      <c r="M275" s="39">
        <f>M190/M$116</f>
        <v>5.7781730769230775</v>
      </c>
      <c r="N275" s="39">
        <f>N190/N$116</f>
        <v>5.7781730769230775</v>
      </c>
      <c r="O275" s="39">
        <f>O190/O$116</f>
        <v>5.7781730769230775</v>
      </c>
      <c r="P275" s="3"/>
      <c r="Q275" s="3"/>
      <c r="R275" s="3"/>
      <c r="S275" s="3"/>
      <c r="T275" s="3"/>
      <c r="U275" s="3"/>
      <c r="V275" s="3"/>
      <c r="W275" s="3"/>
      <c r="X275" s="3"/>
      <c r="Y275" s="3"/>
      <c r="Z275" s="3"/>
    </row>
    <row r="276" spans="1:26" ht="12.75" x14ac:dyDescent="0.2">
      <c r="A276" s="3"/>
      <c r="B276" s="33"/>
      <c r="C276" s="27" t="s">
        <v>614</v>
      </c>
      <c r="D276" s="33"/>
      <c r="E276" s="33"/>
      <c r="F276" s="39">
        <f>F191/F$116</f>
        <v>0</v>
      </c>
      <c r="G276" s="39">
        <f>G191/G$116</f>
        <v>0</v>
      </c>
      <c r="H276" s="39">
        <f>H191/H$116</f>
        <v>0</v>
      </c>
      <c r="I276" s="39">
        <f>I191/I$116</f>
        <v>0</v>
      </c>
      <c r="J276" s="39">
        <f>J191/J$116</f>
        <v>0</v>
      </c>
      <c r="K276" s="39">
        <f>K191/K$116</f>
        <v>0</v>
      </c>
      <c r="L276" s="39">
        <f>L191/L$116</f>
        <v>0</v>
      </c>
      <c r="M276" s="39">
        <f>M191/M$116</f>
        <v>0</v>
      </c>
      <c r="N276" s="39">
        <f>N191/N$116</f>
        <v>0</v>
      </c>
      <c r="O276" s="39">
        <f>O191/O$116</f>
        <v>0</v>
      </c>
      <c r="P276" s="3"/>
      <c r="Q276" s="3"/>
      <c r="R276" s="3"/>
      <c r="S276" s="3"/>
      <c r="T276" s="3"/>
      <c r="U276" s="3"/>
      <c r="V276" s="3"/>
      <c r="W276" s="3"/>
      <c r="X276" s="3"/>
      <c r="Y276" s="3"/>
      <c r="Z276" s="3"/>
    </row>
    <row r="277" spans="1:26" ht="12.75" x14ac:dyDescent="0.2">
      <c r="A277" s="3"/>
      <c r="B277" s="33"/>
      <c r="C277" s="31" t="s">
        <v>216</v>
      </c>
      <c r="D277" s="36"/>
      <c r="E277" s="36"/>
      <c r="F277" s="40">
        <f>SUM(F274:F276)</f>
        <v>16.675673076923079</v>
      </c>
      <c r="G277" s="40">
        <f t="shared" ref="G277:O277" si="61">SUM(G274:G276)</f>
        <v>5.7781730769230775</v>
      </c>
      <c r="H277" s="40">
        <f t="shared" si="61"/>
        <v>5.7781730769230775</v>
      </c>
      <c r="I277" s="40">
        <f t="shared" si="61"/>
        <v>5.7781730769230775</v>
      </c>
      <c r="J277" s="40">
        <f t="shared" si="61"/>
        <v>5.7781730769230775</v>
      </c>
      <c r="K277" s="40">
        <f t="shared" si="61"/>
        <v>5.7781730769230775</v>
      </c>
      <c r="L277" s="40">
        <f t="shared" si="61"/>
        <v>5.7781730769230775</v>
      </c>
      <c r="M277" s="40">
        <f t="shared" si="61"/>
        <v>5.7781730769230775</v>
      </c>
      <c r="N277" s="40">
        <f t="shared" si="61"/>
        <v>5.7781730769230775</v>
      </c>
      <c r="O277" s="40">
        <f t="shared" si="61"/>
        <v>5.7781730769230775</v>
      </c>
      <c r="P277" s="3"/>
      <c r="Q277" s="3"/>
      <c r="R277" s="3"/>
      <c r="S277" s="3"/>
      <c r="T277" s="3"/>
      <c r="U277" s="3"/>
      <c r="V277" s="3"/>
      <c r="W277" s="3"/>
      <c r="X277" s="3"/>
      <c r="Y277" s="3"/>
      <c r="Z277" s="3"/>
    </row>
    <row r="278" spans="1:26" ht="12.75" x14ac:dyDescent="0.2">
      <c r="A278" s="3"/>
      <c r="B278" s="33"/>
      <c r="C278" s="35"/>
      <c r="D278" s="33"/>
      <c r="E278" s="33"/>
      <c r="F278" s="41"/>
      <c r="G278" s="41"/>
      <c r="H278" s="41"/>
      <c r="I278" s="41"/>
      <c r="J278" s="41"/>
      <c r="K278" s="41"/>
      <c r="L278" s="41"/>
      <c r="M278" s="41"/>
      <c r="N278" s="41"/>
      <c r="O278" s="41"/>
      <c r="P278" s="3"/>
      <c r="Q278" s="3"/>
      <c r="R278" s="3"/>
      <c r="S278" s="3"/>
      <c r="T278" s="3"/>
      <c r="U278" s="3"/>
      <c r="V278" s="3"/>
      <c r="W278" s="3"/>
      <c r="X278" s="3"/>
      <c r="Y278" s="3"/>
      <c r="Z278" s="3"/>
    </row>
    <row r="279" spans="1:26" ht="12.75" x14ac:dyDescent="0.2">
      <c r="A279" s="3"/>
      <c r="B279" s="33"/>
      <c r="C279" s="34" t="s">
        <v>219</v>
      </c>
      <c r="D279" s="33"/>
      <c r="E279" s="33"/>
      <c r="F279" s="41"/>
      <c r="G279" s="41"/>
      <c r="H279" s="41"/>
      <c r="I279" s="41"/>
      <c r="J279" s="41"/>
      <c r="K279" s="41"/>
      <c r="L279" s="41"/>
      <c r="M279" s="41"/>
      <c r="N279" s="41"/>
      <c r="O279" s="41"/>
      <c r="P279" s="3"/>
      <c r="Q279" s="3"/>
      <c r="R279" s="3"/>
      <c r="S279" s="3"/>
      <c r="T279" s="3"/>
      <c r="U279" s="3"/>
      <c r="V279" s="3"/>
      <c r="W279" s="3"/>
      <c r="X279" s="3"/>
      <c r="Y279" s="3"/>
      <c r="Z279" s="3"/>
    </row>
    <row r="280" spans="1:26" ht="12.75" x14ac:dyDescent="0.2">
      <c r="A280" s="3"/>
      <c r="B280" s="33"/>
      <c r="C280" s="27" t="s">
        <v>602</v>
      </c>
      <c r="D280" s="33"/>
      <c r="E280" s="33"/>
      <c r="F280" s="39">
        <f>F195/F$116</f>
        <v>49.994999999999997</v>
      </c>
      <c r="G280" s="39">
        <f>G195/G$116</f>
        <v>0</v>
      </c>
      <c r="H280" s="39">
        <f>H195/H$116</f>
        <v>0</v>
      </c>
      <c r="I280" s="39">
        <f>I195/I$116</f>
        <v>0</v>
      </c>
      <c r="J280" s="39">
        <f>J195/J$116</f>
        <v>0</v>
      </c>
      <c r="K280" s="39">
        <f>K195/K$116</f>
        <v>0</v>
      </c>
      <c r="L280" s="39">
        <f>L195/L$116</f>
        <v>0</v>
      </c>
      <c r="M280" s="39">
        <f>M195/M$116</f>
        <v>0</v>
      </c>
      <c r="N280" s="39">
        <f>N195/N$116</f>
        <v>0</v>
      </c>
      <c r="O280" s="39">
        <f>O195/O$116</f>
        <v>0</v>
      </c>
      <c r="P280" s="3"/>
      <c r="Q280" s="3"/>
      <c r="R280" s="3"/>
      <c r="S280" s="3"/>
      <c r="T280" s="3"/>
      <c r="U280" s="3"/>
      <c r="V280" s="3"/>
      <c r="W280" s="3"/>
      <c r="X280" s="3"/>
      <c r="Y280" s="3"/>
      <c r="Z280" s="3"/>
    </row>
    <row r="281" spans="1:26" ht="12.75" x14ac:dyDescent="0.2">
      <c r="A281" s="3"/>
      <c r="B281" s="33"/>
      <c r="C281" s="393" t="s">
        <v>495</v>
      </c>
      <c r="D281" s="33"/>
      <c r="E281" s="33"/>
      <c r="F281" s="39">
        <f>F196/F$116</f>
        <v>0</v>
      </c>
      <c r="G281" s="39">
        <f>G196/G$116</f>
        <v>0</v>
      </c>
      <c r="H281" s="39">
        <f>H196/H$116</f>
        <v>0</v>
      </c>
      <c r="I281" s="39">
        <f>I196/I$116</f>
        <v>0</v>
      </c>
      <c r="J281" s="39">
        <f>J196/J$116</f>
        <v>0</v>
      </c>
      <c r="K281" s="39">
        <f>K196/K$116</f>
        <v>0</v>
      </c>
      <c r="L281" s="39">
        <f>L196/L$116</f>
        <v>0</v>
      </c>
      <c r="M281" s="39">
        <f>M196/M$116</f>
        <v>0</v>
      </c>
      <c r="N281" s="39">
        <f>N196/N$116</f>
        <v>0</v>
      </c>
      <c r="O281" s="39">
        <f>O196/O$116</f>
        <v>0</v>
      </c>
      <c r="P281" s="3"/>
      <c r="Q281" s="3"/>
      <c r="R281" s="3"/>
      <c r="S281" s="3"/>
      <c r="T281" s="3"/>
      <c r="U281" s="3"/>
      <c r="V281" s="3"/>
      <c r="W281" s="3"/>
      <c r="X281" s="3"/>
      <c r="Y281" s="3"/>
      <c r="Z281" s="3"/>
    </row>
    <row r="282" spans="1:26" ht="12.75" x14ac:dyDescent="0.2">
      <c r="A282" s="3"/>
      <c r="B282" s="33"/>
      <c r="C282" s="393" t="s">
        <v>353</v>
      </c>
      <c r="D282" s="33"/>
      <c r="E282" s="33"/>
      <c r="F282" s="39">
        <f>F197/F$116</f>
        <v>5.4900000004500003</v>
      </c>
      <c r="G282" s="39">
        <f>G197/G$116</f>
        <v>5.4900000004499994</v>
      </c>
      <c r="H282" s="39">
        <f>H197/H$116</f>
        <v>5.4900000004499994</v>
      </c>
      <c r="I282" s="39">
        <f>I197/I$116</f>
        <v>5.4900000004500003</v>
      </c>
      <c r="J282" s="39">
        <f>J197/J$116</f>
        <v>5.4900000004499994</v>
      </c>
      <c r="K282" s="39">
        <f>K197/K$116</f>
        <v>5.4900000004500003</v>
      </c>
      <c r="L282" s="39">
        <f>L197/L$116</f>
        <v>5.4900000004500003</v>
      </c>
      <c r="M282" s="39">
        <f>M197/M$116</f>
        <v>5.4900000004500011</v>
      </c>
      <c r="N282" s="39">
        <f>N197/N$116</f>
        <v>5.4900000004500011</v>
      </c>
      <c r="O282" s="39">
        <f>O197/O$116</f>
        <v>5.4900000004500003</v>
      </c>
      <c r="P282" s="3"/>
      <c r="Q282" s="3"/>
      <c r="R282" s="3"/>
      <c r="S282" s="3"/>
      <c r="T282" s="3"/>
      <c r="U282" s="3"/>
      <c r="V282" s="3"/>
      <c r="W282" s="3"/>
      <c r="X282" s="3"/>
      <c r="Y282" s="3"/>
      <c r="Z282" s="3"/>
    </row>
    <row r="283" spans="1:26" s="105" customFormat="1" ht="12.75" x14ac:dyDescent="0.2">
      <c r="A283" s="102"/>
      <c r="B283" s="35"/>
      <c r="C283" s="84" t="s">
        <v>334</v>
      </c>
      <c r="D283" s="35"/>
      <c r="E283" s="35"/>
      <c r="F283" s="39">
        <f>F198/F$116</f>
        <v>5.0160000001477201</v>
      </c>
      <c r="G283" s="39">
        <f>G198/G$116</f>
        <v>5.016000000147721</v>
      </c>
      <c r="H283" s="39">
        <f>H198/H$116</f>
        <v>5.0160000001477201</v>
      </c>
      <c r="I283" s="39">
        <f>I198/I$116</f>
        <v>5.016000000147721</v>
      </c>
      <c r="J283" s="39">
        <f>J198/J$116</f>
        <v>5.0160000001477201</v>
      </c>
      <c r="K283" s="39">
        <f>K198/K$116</f>
        <v>5.016000000147721</v>
      </c>
      <c r="L283" s="39">
        <f>L198/L$116</f>
        <v>5.0160000001477201</v>
      </c>
      <c r="M283" s="39">
        <f>M198/M$116</f>
        <v>5.016000000147721</v>
      </c>
      <c r="N283" s="39">
        <f>N198/N$116</f>
        <v>5.016000000147721</v>
      </c>
      <c r="O283" s="39">
        <f>O198/O$116</f>
        <v>5.0160000001477201</v>
      </c>
      <c r="P283" s="102"/>
      <c r="Q283" s="102"/>
      <c r="R283" s="102"/>
      <c r="S283" s="102"/>
      <c r="T283" s="102"/>
      <c r="U283" s="102"/>
      <c r="V283" s="102"/>
      <c r="W283" s="102"/>
      <c r="X283" s="102"/>
      <c r="Y283" s="102"/>
      <c r="Z283" s="102"/>
    </row>
    <row r="284" spans="1:26" ht="12.75" x14ac:dyDescent="0.2">
      <c r="A284" s="3"/>
      <c r="B284" s="33"/>
      <c r="C284" s="9" t="s">
        <v>105</v>
      </c>
      <c r="D284" s="33"/>
      <c r="E284" s="33"/>
      <c r="F284" s="39">
        <f>F199/F$116</f>
        <v>2.4</v>
      </c>
      <c r="G284" s="39">
        <f>G199/G$116</f>
        <v>2.3999999999999995</v>
      </c>
      <c r="H284" s="39">
        <f>H199/H$116</f>
        <v>2.4</v>
      </c>
      <c r="I284" s="39">
        <f>I199/I$116</f>
        <v>2.4</v>
      </c>
      <c r="J284" s="39">
        <f>J199/J$116</f>
        <v>2.4</v>
      </c>
      <c r="K284" s="39">
        <f>K199/K$116</f>
        <v>2.4</v>
      </c>
      <c r="L284" s="39">
        <f>L199/L$116</f>
        <v>2.4</v>
      </c>
      <c r="M284" s="39">
        <f>M199/M$116</f>
        <v>2.4000000000000004</v>
      </c>
      <c r="N284" s="39">
        <f>N199/N$116</f>
        <v>2.4000000000000004</v>
      </c>
      <c r="O284" s="39">
        <f>O199/O$116</f>
        <v>2.3999999999999995</v>
      </c>
      <c r="P284" s="3"/>
      <c r="Q284" s="3"/>
      <c r="R284" s="3"/>
      <c r="S284" s="3"/>
      <c r="T284" s="3"/>
      <c r="U284" s="3"/>
      <c r="V284" s="3"/>
      <c r="W284" s="3"/>
      <c r="X284" s="3"/>
      <c r="Y284" s="3"/>
      <c r="Z284" s="3"/>
    </row>
    <row r="285" spans="1:26" ht="12.75" x14ac:dyDescent="0.2">
      <c r="A285" s="3"/>
      <c r="B285" s="33"/>
      <c r="C285" s="9" t="s">
        <v>108</v>
      </c>
      <c r="D285" s="33"/>
      <c r="E285" s="33"/>
      <c r="F285" s="39">
        <f>F200/F$116</f>
        <v>0.6</v>
      </c>
      <c r="G285" s="39">
        <f>G200/G$116</f>
        <v>0.6</v>
      </c>
      <c r="H285" s="39">
        <f>H200/H$116</f>
        <v>0.6</v>
      </c>
      <c r="I285" s="39">
        <f>I200/I$116</f>
        <v>0.6</v>
      </c>
      <c r="J285" s="39">
        <f>J200/J$116</f>
        <v>0.6</v>
      </c>
      <c r="K285" s="39">
        <f>K200/K$116</f>
        <v>0.6</v>
      </c>
      <c r="L285" s="39">
        <f>L200/L$116</f>
        <v>0.6</v>
      </c>
      <c r="M285" s="39">
        <f>M200/M$116</f>
        <v>0.6</v>
      </c>
      <c r="N285" s="39">
        <f>N200/N$116</f>
        <v>0.6</v>
      </c>
      <c r="O285" s="39">
        <f>O200/O$116</f>
        <v>0.6</v>
      </c>
      <c r="P285" s="3"/>
      <c r="Q285" s="3"/>
      <c r="R285" s="3"/>
      <c r="S285" s="3"/>
      <c r="T285" s="3"/>
      <c r="U285" s="3"/>
      <c r="V285" s="3"/>
      <c r="W285" s="3"/>
      <c r="X285" s="3"/>
      <c r="Y285" s="3"/>
      <c r="Z285" s="3"/>
    </row>
    <row r="286" spans="1:26" ht="12.75" x14ac:dyDescent="0.2">
      <c r="A286" s="3"/>
      <c r="B286" s="43"/>
      <c r="C286" s="68" t="s">
        <v>217</v>
      </c>
      <c r="D286" s="68"/>
      <c r="E286" s="68"/>
      <c r="F286" s="69">
        <f t="shared" ref="F286:O286" si="62">SUM(F280:F285)</f>
        <v>63.50100000059772</v>
      </c>
      <c r="G286" s="69">
        <f t="shared" si="62"/>
        <v>13.506000000597718</v>
      </c>
      <c r="H286" s="69">
        <f t="shared" si="62"/>
        <v>13.506000000597719</v>
      </c>
      <c r="I286" s="69">
        <f t="shared" si="62"/>
        <v>13.506000000597721</v>
      </c>
      <c r="J286" s="69">
        <f t="shared" si="62"/>
        <v>13.506000000597719</v>
      </c>
      <c r="K286" s="69">
        <f t="shared" si="62"/>
        <v>13.506000000597721</v>
      </c>
      <c r="L286" s="69">
        <f t="shared" si="62"/>
        <v>13.506000000597719</v>
      </c>
      <c r="M286" s="69">
        <f t="shared" si="62"/>
        <v>13.506000000597723</v>
      </c>
      <c r="N286" s="69">
        <f t="shared" si="62"/>
        <v>13.506000000597723</v>
      </c>
      <c r="O286" s="69">
        <f t="shared" si="62"/>
        <v>13.506000000597718</v>
      </c>
      <c r="P286" s="3"/>
      <c r="Q286" s="3"/>
      <c r="R286" s="3"/>
      <c r="S286" s="3"/>
      <c r="T286" s="3"/>
      <c r="U286" s="3"/>
      <c r="V286" s="3"/>
      <c r="W286" s="3"/>
      <c r="X286" s="3"/>
      <c r="Y286" s="3"/>
      <c r="Z286" s="3"/>
    </row>
    <row r="287" spans="1:26" ht="12.75" x14ac:dyDescent="0.2">
      <c r="A287" s="3"/>
      <c r="B287" s="43"/>
      <c r="C287" s="74"/>
      <c r="D287" s="74"/>
      <c r="E287" s="74"/>
      <c r="F287" s="75"/>
      <c r="G287" s="75"/>
      <c r="H287" s="75"/>
      <c r="I287" s="75"/>
      <c r="J287" s="75"/>
      <c r="K287" s="75"/>
      <c r="L287" s="75"/>
      <c r="M287" s="75"/>
      <c r="N287" s="75"/>
      <c r="O287" s="75"/>
      <c r="P287" s="3"/>
      <c r="Q287" s="3"/>
      <c r="R287" s="3"/>
      <c r="S287" s="3"/>
      <c r="T287" s="3"/>
      <c r="U287" s="3"/>
      <c r="V287" s="3"/>
      <c r="W287" s="3"/>
      <c r="X287" s="3"/>
      <c r="Y287" s="3"/>
      <c r="Z287" s="3"/>
    </row>
    <row r="288" spans="1:26" ht="12.75" x14ac:dyDescent="0.2">
      <c r="A288" s="3"/>
      <c r="B288" s="43"/>
      <c r="C288" s="34" t="s">
        <v>287</v>
      </c>
      <c r="D288" s="74"/>
      <c r="E288" s="74"/>
      <c r="F288" s="75"/>
      <c r="G288" s="75"/>
      <c r="H288" s="75"/>
      <c r="I288" s="75"/>
      <c r="J288" s="75"/>
      <c r="K288" s="75"/>
      <c r="L288" s="75"/>
      <c r="M288" s="75"/>
      <c r="N288" s="75"/>
      <c r="O288" s="75"/>
      <c r="P288" s="3"/>
      <c r="Q288" s="3"/>
      <c r="R288" s="3"/>
      <c r="S288" s="3"/>
      <c r="T288" s="3"/>
      <c r="U288" s="3"/>
      <c r="V288" s="3"/>
      <c r="W288" s="3"/>
      <c r="X288" s="3"/>
      <c r="Y288" s="3"/>
      <c r="Z288" s="3"/>
    </row>
    <row r="289" spans="1:26" ht="12.75" x14ac:dyDescent="0.2">
      <c r="A289" s="3"/>
      <c r="B289" s="33"/>
      <c r="C289" s="27" t="s">
        <v>282</v>
      </c>
      <c r="D289" s="33"/>
      <c r="E289" s="33"/>
      <c r="F289" s="39">
        <f>F204/F$116</f>
        <v>0.88290000000000013</v>
      </c>
      <c r="G289" s="39">
        <f>G204/G$116</f>
        <v>0.88290000000000013</v>
      </c>
      <c r="H289" s="39">
        <f>H204/H$116</f>
        <v>0.88290000000000013</v>
      </c>
      <c r="I289" s="39">
        <f>I204/I$116</f>
        <v>0.88290000000000013</v>
      </c>
      <c r="J289" s="39">
        <f>J204/J$116</f>
        <v>0.88290000000000013</v>
      </c>
      <c r="K289" s="39">
        <f>K204/K$116</f>
        <v>0.88290000000000002</v>
      </c>
      <c r="L289" s="39">
        <f>L204/L$116</f>
        <v>0.88290000000000002</v>
      </c>
      <c r="M289" s="39">
        <f>M204/M$116</f>
        <v>0.88290000000000013</v>
      </c>
      <c r="N289" s="39">
        <f>N204/N$116</f>
        <v>0.88290000000000002</v>
      </c>
      <c r="O289" s="39">
        <f>O204/O$116</f>
        <v>0.88290000000000013</v>
      </c>
      <c r="P289" s="3"/>
      <c r="Q289" s="3"/>
      <c r="R289" s="3"/>
      <c r="S289" s="3"/>
      <c r="T289" s="3"/>
      <c r="U289" s="3"/>
      <c r="V289" s="3"/>
      <c r="W289" s="3"/>
      <c r="X289" s="3"/>
      <c r="Y289" s="3"/>
      <c r="Z289" s="3"/>
    </row>
    <row r="290" spans="1:26" ht="12.75" x14ac:dyDescent="0.2">
      <c r="A290" s="3"/>
      <c r="B290" s="33"/>
      <c r="C290" s="27" t="s">
        <v>284</v>
      </c>
      <c r="D290" s="33"/>
      <c r="E290" s="33"/>
      <c r="F290" s="39">
        <f>F205/F$116</f>
        <v>0.17734153846153852</v>
      </c>
      <c r="G290" s="39">
        <f>G205/G$116</f>
        <v>0.17734153846153849</v>
      </c>
      <c r="H290" s="39">
        <f>H205/H$116</f>
        <v>0.17734153846153849</v>
      </c>
      <c r="I290" s="39">
        <f>I205/I$116</f>
        <v>0.17734153846153849</v>
      </c>
      <c r="J290" s="39">
        <f>J205/J$116</f>
        <v>0.17734153846153852</v>
      </c>
      <c r="K290" s="39">
        <f>K205/K$116</f>
        <v>0.17734153846153849</v>
      </c>
      <c r="L290" s="39">
        <f>L205/L$116</f>
        <v>0.17734153846153849</v>
      </c>
      <c r="M290" s="39">
        <f>M205/M$116</f>
        <v>0.17734153846153847</v>
      </c>
      <c r="N290" s="39">
        <f>N205/N$116</f>
        <v>0.17734153846153849</v>
      </c>
      <c r="O290" s="39">
        <f>O205/O$116</f>
        <v>0.17734153846153849</v>
      </c>
      <c r="P290" s="3"/>
      <c r="Q290" s="3"/>
      <c r="R290" s="3"/>
      <c r="S290" s="3"/>
      <c r="T290" s="3"/>
      <c r="U290" s="3"/>
      <c r="V290" s="3"/>
      <c r="W290" s="3"/>
      <c r="X290" s="3"/>
      <c r="Y290" s="3"/>
      <c r="Z290" s="3"/>
    </row>
    <row r="291" spans="1:26" ht="12.75" x14ac:dyDescent="0.2">
      <c r="A291" s="3"/>
      <c r="B291" s="43"/>
      <c r="C291" s="68" t="s">
        <v>289</v>
      </c>
      <c r="D291" s="36"/>
      <c r="E291" s="36"/>
      <c r="F291" s="40">
        <f>SUM(F289:F290)</f>
        <v>1.0602415384615387</v>
      </c>
      <c r="G291" s="40">
        <f t="shared" ref="G291:O291" si="63">SUM(G289:G290)</f>
        <v>1.0602415384615387</v>
      </c>
      <c r="H291" s="40">
        <f t="shared" si="63"/>
        <v>1.0602415384615387</v>
      </c>
      <c r="I291" s="40">
        <f t="shared" si="63"/>
        <v>1.0602415384615387</v>
      </c>
      <c r="J291" s="40">
        <f t="shared" si="63"/>
        <v>1.0602415384615387</v>
      </c>
      <c r="K291" s="40">
        <f t="shared" si="63"/>
        <v>1.0602415384615385</v>
      </c>
      <c r="L291" s="40">
        <f t="shared" si="63"/>
        <v>1.0602415384615385</v>
      </c>
      <c r="M291" s="40">
        <f t="shared" si="63"/>
        <v>1.0602415384615387</v>
      </c>
      <c r="N291" s="40">
        <f t="shared" si="63"/>
        <v>1.0602415384615385</v>
      </c>
      <c r="O291" s="40">
        <f t="shared" si="63"/>
        <v>1.0602415384615387</v>
      </c>
      <c r="P291" s="3"/>
      <c r="Q291" s="3"/>
      <c r="R291" s="3"/>
      <c r="S291" s="3"/>
      <c r="T291" s="3"/>
      <c r="U291" s="3"/>
      <c r="V291" s="3"/>
      <c r="W291" s="3"/>
      <c r="X291" s="3"/>
      <c r="Y291" s="3"/>
      <c r="Z291" s="3"/>
    </row>
    <row r="292" spans="1:26" ht="12.75" x14ac:dyDescent="0.2">
      <c r="A292" s="3"/>
      <c r="B292" s="43"/>
      <c r="C292" s="43"/>
      <c r="D292" s="43"/>
      <c r="E292" s="43"/>
      <c r="F292" s="101"/>
      <c r="G292" s="43"/>
      <c r="H292" s="43"/>
      <c r="I292" s="43"/>
      <c r="J292" s="43"/>
      <c r="K292" s="43"/>
      <c r="L292" s="43"/>
      <c r="M292" s="43"/>
      <c r="N292" s="43"/>
      <c r="O292" s="43"/>
      <c r="P292" s="3"/>
      <c r="Q292" s="3"/>
      <c r="R292" s="3"/>
      <c r="S292" s="3"/>
      <c r="T292" s="3"/>
      <c r="U292" s="3"/>
      <c r="V292" s="3"/>
      <c r="W292" s="3"/>
      <c r="X292" s="3"/>
      <c r="Y292" s="3"/>
      <c r="Z292" s="3"/>
    </row>
    <row r="293" spans="1:26" ht="12.75" x14ac:dyDescent="0.2">
      <c r="A293" s="3"/>
      <c r="B293" s="43"/>
      <c r="C293" s="70" t="s">
        <v>236</v>
      </c>
      <c r="D293" s="70"/>
      <c r="E293" s="70"/>
      <c r="F293" s="71">
        <f t="shared" ref="F293:O293" si="64">F261+F271+F277+F286+F291</f>
        <v>145.27956461598231</v>
      </c>
      <c r="G293" s="71">
        <f t="shared" si="64"/>
        <v>84.387064615982339</v>
      </c>
      <c r="H293" s="71">
        <f t="shared" si="64"/>
        <v>84.387064615982339</v>
      </c>
      <c r="I293" s="71">
        <f t="shared" si="64"/>
        <v>84.387064615982339</v>
      </c>
      <c r="J293" s="71">
        <f t="shared" si="64"/>
        <v>84.387064615982339</v>
      </c>
      <c r="K293" s="71">
        <f t="shared" si="64"/>
        <v>84.387064615982354</v>
      </c>
      <c r="L293" s="71">
        <f t="shared" si="64"/>
        <v>84.387064615982339</v>
      </c>
      <c r="M293" s="71">
        <f t="shared" si="64"/>
        <v>84.387064615982339</v>
      </c>
      <c r="N293" s="71">
        <f t="shared" si="64"/>
        <v>84.387064615982339</v>
      </c>
      <c r="O293" s="71">
        <f t="shared" si="64"/>
        <v>84.387064615982339</v>
      </c>
      <c r="P293" s="3"/>
      <c r="Q293" s="3"/>
      <c r="R293" s="3"/>
      <c r="S293" s="3"/>
      <c r="T293" s="3"/>
      <c r="U293" s="3"/>
      <c r="V293" s="3"/>
      <c r="W293" s="3"/>
      <c r="X293" s="3"/>
      <c r="Y293" s="3"/>
      <c r="Z293" s="3"/>
    </row>
    <row r="294" spans="1:26" ht="12.75" x14ac:dyDescent="0.2">
      <c r="A294" s="3"/>
      <c r="B294" s="43"/>
      <c r="C294" s="43"/>
      <c r="D294" s="43"/>
      <c r="E294" s="43"/>
      <c r="F294" s="43"/>
      <c r="G294" s="43"/>
      <c r="H294" s="43"/>
      <c r="I294" s="43"/>
      <c r="J294" s="43"/>
      <c r="K294" s="43"/>
      <c r="L294" s="43"/>
      <c r="M294" s="43"/>
      <c r="N294" s="43"/>
      <c r="O294" s="43"/>
      <c r="P294" s="3"/>
      <c r="Q294" s="3"/>
      <c r="R294" s="3"/>
      <c r="S294" s="3"/>
      <c r="T294" s="3"/>
      <c r="U294" s="3"/>
      <c r="V294" s="3"/>
      <c r="W294" s="3"/>
      <c r="X294" s="3"/>
      <c r="Y294" s="3"/>
      <c r="Z294" s="3"/>
    </row>
    <row r="295" spans="1:26" ht="12.75" x14ac:dyDescent="0.2">
      <c r="A295" s="3"/>
      <c r="C295" s="72" t="s">
        <v>238</v>
      </c>
      <c r="D295" s="70"/>
      <c r="E295" s="70"/>
      <c r="F295" s="73">
        <f t="shared" ref="F295:O295" si="65">F256-F293</f>
        <v>-43.596664615982306</v>
      </c>
      <c r="G295" s="73">
        <f t="shared" si="65"/>
        <v>17.295835384017664</v>
      </c>
      <c r="H295" s="73">
        <f t="shared" si="65"/>
        <v>17.295835384017664</v>
      </c>
      <c r="I295" s="73">
        <f t="shared" si="65"/>
        <v>17.295835384017664</v>
      </c>
      <c r="J295" s="73">
        <f t="shared" si="65"/>
        <v>17.295835384017693</v>
      </c>
      <c r="K295" s="73">
        <f t="shared" si="65"/>
        <v>17.295835384017664</v>
      </c>
      <c r="L295" s="73">
        <f t="shared" si="65"/>
        <v>17.295835384017664</v>
      </c>
      <c r="M295" s="73">
        <f t="shared" si="65"/>
        <v>17.295835384017664</v>
      </c>
      <c r="N295" s="73">
        <f t="shared" si="65"/>
        <v>17.295835384017664</v>
      </c>
      <c r="O295" s="73">
        <f t="shared" si="65"/>
        <v>61.52333538401767</v>
      </c>
      <c r="P295" s="3"/>
      <c r="Q295" s="3"/>
      <c r="R295" s="3"/>
      <c r="S295" s="3"/>
      <c r="T295" s="3"/>
      <c r="U295" s="3"/>
      <c r="V295" s="3"/>
      <c r="W295" s="3"/>
      <c r="X295" s="3"/>
      <c r="Y295" s="3"/>
      <c r="Z295" s="3"/>
    </row>
    <row r="296" spans="1:26" ht="12.75" x14ac:dyDescent="0.2">
      <c r="A296" s="3"/>
      <c r="B296" s="3"/>
      <c r="C296" s="3"/>
      <c r="D296" s="3"/>
      <c r="E296" s="3"/>
      <c r="F296" s="882"/>
      <c r="G296" s="3"/>
      <c r="H296" s="3"/>
      <c r="I296" s="3"/>
      <c r="J296" s="3"/>
      <c r="K296" s="3"/>
      <c r="L296" s="3"/>
      <c r="M296" s="3"/>
      <c r="N296" s="3"/>
      <c r="O296" s="3"/>
      <c r="P296" s="3"/>
      <c r="Q296" s="3"/>
      <c r="R296" s="3"/>
      <c r="S296" s="3"/>
      <c r="T296" s="3"/>
      <c r="U296" s="3"/>
      <c r="V296" s="3"/>
      <c r="W296" s="3"/>
      <c r="X296" s="3"/>
      <c r="Y296" s="3"/>
      <c r="Z296" s="3"/>
    </row>
    <row r="297" spans="1:26" ht="12.75" x14ac:dyDescent="0.2">
      <c r="A297" s="3"/>
      <c r="B297" s="567" t="s">
        <v>890</v>
      </c>
      <c r="C297" s="33"/>
      <c r="D297" s="33"/>
      <c r="E297" s="33"/>
      <c r="F297" s="33"/>
      <c r="G297" s="33"/>
      <c r="H297" s="33"/>
      <c r="I297" s="33"/>
      <c r="J297" s="33"/>
      <c r="K297" s="33"/>
      <c r="L297" s="33"/>
      <c r="M297" s="33"/>
      <c r="N297" s="33"/>
      <c r="O297" s="33"/>
      <c r="P297" s="3"/>
      <c r="Q297" s="3"/>
      <c r="R297" s="3"/>
      <c r="S297" s="3"/>
      <c r="T297" s="3"/>
      <c r="U297" s="3"/>
      <c r="V297" s="3"/>
      <c r="W297" s="3"/>
      <c r="X297" s="3"/>
      <c r="Y297" s="3"/>
      <c r="Z297" s="3"/>
    </row>
    <row r="298" spans="1:26" ht="12.75" x14ac:dyDescent="0.2">
      <c r="A298" s="3"/>
      <c r="C298" s="64" t="s">
        <v>222</v>
      </c>
      <c r="D298" s="33"/>
      <c r="E298" s="33"/>
      <c r="F298" s="33"/>
      <c r="G298" s="33"/>
      <c r="H298" s="33"/>
      <c r="I298" s="33"/>
      <c r="J298" s="33"/>
      <c r="K298" s="33"/>
      <c r="L298" s="33"/>
      <c r="M298" s="33"/>
      <c r="N298" s="33"/>
      <c r="O298" s="33"/>
      <c r="P298" s="3"/>
      <c r="Q298" s="3"/>
      <c r="R298" s="3"/>
      <c r="S298" s="3"/>
      <c r="T298" s="3"/>
      <c r="U298" s="3"/>
      <c r="V298" s="3"/>
      <c r="W298" s="3"/>
      <c r="X298" s="3"/>
      <c r="Y298" s="3"/>
      <c r="Z298" s="3"/>
    </row>
    <row r="299" spans="1:26" ht="12.75" x14ac:dyDescent="0.2">
      <c r="A299" s="3"/>
      <c r="B299" s="33"/>
      <c r="C299" s="9" t="s">
        <v>472</v>
      </c>
      <c r="D299" s="33"/>
      <c r="E299" s="33"/>
      <c r="F299" s="39">
        <f>F171/F$116</f>
        <v>335.99999999999994</v>
      </c>
      <c r="G299" s="39">
        <f>G171/G$116</f>
        <v>352.79999999999995</v>
      </c>
      <c r="H299" s="39">
        <f>H171/H$116</f>
        <v>370.43999999999994</v>
      </c>
      <c r="I299" s="39">
        <f>I171/I$116</f>
        <v>388.96199999999999</v>
      </c>
      <c r="J299" s="39">
        <f>J171/J$116</f>
        <v>408.41010000000006</v>
      </c>
      <c r="K299" s="39">
        <f>K171/K$116</f>
        <v>420</v>
      </c>
      <c r="L299" s="39">
        <f>L171/L$116</f>
        <v>419.99999999999994</v>
      </c>
      <c r="M299" s="39">
        <f>M171/M$116</f>
        <v>419.99999999999994</v>
      </c>
      <c r="N299" s="39">
        <f>N171/N$116</f>
        <v>419.99999999999994</v>
      </c>
      <c r="O299" s="39">
        <f>O171/O$116</f>
        <v>419.99999999999994</v>
      </c>
      <c r="P299" s="3"/>
      <c r="Q299" s="3"/>
      <c r="R299" s="3"/>
      <c r="S299" s="3"/>
      <c r="T299" s="3"/>
      <c r="U299" s="3"/>
      <c r="V299" s="3"/>
      <c r="W299" s="3"/>
      <c r="X299" s="3"/>
      <c r="Y299" s="3"/>
      <c r="Z299" s="3"/>
    </row>
    <row r="300" spans="1:26" ht="12.75" x14ac:dyDescent="0.2">
      <c r="A300" s="3"/>
      <c r="B300" s="33"/>
      <c r="C300" s="27" t="s">
        <v>231</v>
      </c>
      <c r="D300" s="33"/>
      <c r="E300" s="33"/>
      <c r="F300" s="39">
        <f>F172/F$116</f>
        <v>166.76393999999999</v>
      </c>
      <c r="G300" s="39">
        <f>G172/G$116</f>
        <v>140.08170960000001</v>
      </c>
      <c r="H300" s="39">
        <f>H172/H$116</f>
        <v>110.31434631000003</v>
      </c>
      <c r="I300" s="39">
        <f>I172/I$116</f>
        <v>77.220042417000016</v>
      </c>
      <c r="J300" s="39">
        <f>J172/J$116</f>
        <v>81.081044537850019</v>
      </c>
      <c r="K300" s="39">
        <f>K172/K$116</f>
        <v>83.381969999999995</v>
      </c>
      <c r="L300" s="39">
        <f>L172/L$116</f>
        <v>83.381969999999995</v>
      </c>
      <c r="M300" s="39">
        <f>M172/M$116</f>
        <v>83.381969999999995</v>
      </c>
      <c r="N300" s="39">
        <f>N172/N$116</f>
        <v>83.381969999999995</v>
      </c>
      <c r="O300" s="39">
        <f>O172/O$116</f>
        <v>83.381969999999995</v>
      </c>
      <c r="P300" s="3"/>
      <c r="Q300" s="3"/>
      <c r="R300" s="3"/>
      <c r="S300" s="3"/>
      <c r="T300" s="3"/>
      <c r="U300" s="3"/>
      <c r="V300" s="3"/>
      <c r="W300" s="3"/>
      <c r="X300" s="3"/>
      <c r="Y300" s="3"/>
      <c r="Z300" s="3"/>
    </row>
    <row r="301" spans="1:26" ht="12.75" x14ac:dyDescent="0.2">
      <c r="A301" s="3"/>
      <c r="B301" s="33"/>
      <c r="C301" s="27" t="s">
        <v>626</v>
      </c>
      <c r="D301" s="33"/>
      <c r="E301" s="33"/>
      <c r="F301" s="39"/>
      <c r="G301" s="39"/>
      <c r="H301" s="39"/>
      <c r="I301" s="39"/>
      <c r="J301" s="39"/>
      <c r="K301" s="39"/>
      <c r="L301" s="39"/>
      <c r="M301" s="39"/>
      <c r="N301" s="39"/>
      <c r="O301" s="39">
        <f>O142*$I$59*$I$25/1000</f>
        <v>0</v>
      </c>
      <c r="P301" s="3"/>
      <c r="Q301" s="3"/>
      <c r="R301" s="3"/>
      <c r="S301" s="3"/>
      <c r="T301" s="3"/>
      <c r="U301" s="3"/>
      <c r="V301" s="3"/>
      <c r="W301" s="3"/>
      <c r="X301" s="3"/>
      <c r="Y301" s="3"/>
      <c r="Z301" s="3"/>
    </row>
    <row r="302" spans="1:26" ht="12.75" x14ac:dyDescent="0.2">
      <c r="A302" s="3"/>
      <c r="B302" s="33"/>
      <c r="C302" s="27" t="s">
        <v>603</v>
      </c>
      <c r="D302" s="33"/>
      <c r="E302" s="33"/>
      <c r="F302" s="39"/>
      <c r="G302" s="39"/>
      <c r="H302" s="39"/>
      <c r="I302" s="39"/>
      <c r="J302" s="39"/>
      <c r="K302" s="39"/>
      <c r="L302" s="39"/>
      <c r="M302" s="39"/>
      <c r="N302" s="39"/>
      <c r="O302" s="39">
        <f>$O$135*$I$64*$I$25/1000</f>
        <v>33.33</v>
      </c>
      <c r="P302" s="3"/>
      <c r="Q302" s="3"/>
      <c r="R302" s="3"/>
      <c r="S302" s="3"/>
      <c r="T302" s="3"/>
      <c r="U302" s="3"/>
      <c r="V302" s="3"/>
      <c r="W302" s="3"/>
      <c r="X302" s="3"/>
      <c r="Y302" s="3"/>
      <c r="Z302" s="3"/>
    </row>
    <row r="303" spans="1:26" ht="12.75" x14ac:dyDescent="0.2">
      <c r="A303" s="3"/>
      <c r="B303" s="33"/>
      <c r="C303" s="27" t="s">
        <v>618</v>
      </c>
      <c r="D303" s="33"/>
      <c r="E303" s="33"/>
      <c r="F303" s="39"/>
      <c r="G303" s="39"/>
      <c r="H303" s="39"/>
      <c r="I303" s="39"/>
      <c r="J303" s="39"/>
      <c r="K303" s="39"/>
      <c r="L303" s="39"/>
      <c r="M303" s="39"/>
      <c r="N303" s="39"/>
      <c r="O303" s="39">
        <f>F220</f>
        <v>10.897500000000001</v>
      </c>
      <c r="P303" s="3"/>
      <c r="Q303" s="3"/>
      <c r="R303" s="3"/>
      <c r="S303" s="3"/>
      <c r="T303" s="3"/>
      <c r="U303" s="3"/>
      <c r="V303" s="3"/>
      <c r="W303" s="3"/>
      <c r="X303" s="3"/>
      <c r="Y303" s="3"/>
      <c r="Z303" s="3"/>
    </row>
    <row r="304" spans="1:26" ht="12.75" x14ac:dyDescent="0.2">
      <c r="A304" s="3"/>
      <c r="B304" s="33"/>
      <c r="C304" s="36" t="s">
        <v>479</v>
      </c>
      <c r="D304" s="36"/>
      <c r="E304" s="36"/>
      <c r="F304" s="59">
        <f t="shared" ref="F304:N304" si="66">F299-F300+F302+F303+F301</f>
        <v>169.23605999999995</v>
      </c>
      <c r="G304" s="59">
        <f t="shared" si="66"/>
        <v>212.71829039999994</v>
      </c>
      <c r="H304" s="59">
        <f t="shared" si="66"/>
        <v>260.12565368999992</v>
      </c>
      <c r="I304" s="59">
        <f t="shared" si="66"/>
        <v>311.74195758299999</v>
      </c>
      <c r="J304" s="59">
        <f t="shared" si="66"/>
        <v>327.32905546215005</v>
      </c>
      <c r="K304" s="59">
        <f t="shared" si="66"/>
        <v>336.61802999999998</v>
      </c>
      <c r="L304" s="59">
        <f t="shared" si="66"/>
        <v>336.61802999999998</v>
      </c>
      <c r="M304" s="59">
        <f t="shared" si="66"/>
        <v>336.61802999999998</v>
      </c>
      <c r="N304" s="59">
        <f t="shared" si="66"/>
        <v>336.61802999999998</v>
      </c>
      <c r="O304" s="59">
        <f>O299-O300+O302+O303+O301</f>
        <v>380.84552999999994</v>
      </c>
      <c r="P304" s="3"/>
      <c r="Q304" s="3"/>
      <c r="R304" s="3"/>
      <c r="S304" s="3"/>
      <c r="T304" s="3"/>
      <c r="U304" s="3"/>
      <c r="V304" s="3"/>
      <c r="W304" s="3"/>
      <c r="X304" s="3"/>
      <c r="Y304" s="3"/>
      <c r="Z304" s="3"/>
    </row>
    <row r="305" spans="1:26" ht="12.75" x14ac:dyDescent="0.2">
      <c r="A305" s="3"/>
      <c r="B305" s="33"/>
      <c r="C305" s="27"/>
      <c r="D305" s="33"/>
      <c r="E305" s="33"/>
      <c r="F305" s="37"/>
      <c r="G305" s="37"/>
      <c r="H305" s="37"/>
      <c r="I305" s="37"/>
      <c r="J305" s="37"/>
      <c r="K305" s="37"/>
      <c r="L305" s="37"/>
      <c r="M305" s="37"/>
      <c r="N305" s="37"/>
      <c r="O305" s="37"/>
      <c r="P305" s="3"/>
      <c r="Q305" s="3"/>
      <c r="R305" s="3"/>
      <c r="S305" s="3"/>
      <c r="T305" s="3"/>
      <c r="U305" s="3"/>
      <c r="V305" s="3"/>
      <c r="W305" s="3"/>
      <c r="X305" s="3"/>
      <c r="Y305" s="3"/>
      <c r="Z305" s="3"/>
    </row>
    <row r="306" spans="1:26" ht="12.75" x14ac:dyDescent="0.2">
      <c r="A306" s="3"/>
      <c r="B306" s="33"/>
      <c r="C306" s="34" t="s">
        <v>266</v>
      </c>
      <c r="D306" s="33"/>
      <c r="E306" s="33"/>
      <c r="F306" s="37"/>
      <c r="G306" s="37"/>
      <c r="H306" s="37"/>
      <c r="I306" s="37"/>
      <c r="J306" s="37"/>
      <c r="K306" s="37"/>
      <c r="L306" s="37"/>
      <c r="M306" s="37"/>
      <c r="N306" s="37"/>
      <c r="O306" s="37"/>
      <c r="P306" s="3"/>
      <c r="Q306" s="3"/>
      <c r="R306" s="3"/>
      <c r="S306" s="3"/>
      <c r="T306" s="3"/>
      <c r="U306" s="3"/>
      <c r="V306" s="3"/>
      <c r="W306" s="3"/>
      <c r="X306" s="3"/>
      <c r="Y306" s="3"/>
      <c r="Z306" s="3"/>
    </row>
    <row r="307" spans="1:26" ht="12.75" x14ac:dyDescent="0.2">
      <c r="A307" s="3"/>
      <c r="B307" s="33"/>
      <c r="C307" s="35" t="s">
        <v>267</v>
      </c>
      <c r="D307" s="33"/>
      <c r="E307" s="33"/>
      <c r="F307" s="39">
        <f>$I$92/1000</f>
        <v>0</v>
      </c>
      <c r="G307" s="39">
        <f t="shared" ref="G307:O307" si="67">$I$92/1000</f>
        <v>0</v>
      </c>
      <c r="H307" s="39">
        <f t="shared" si="67"/>
        <v>0</v>
      </c>
      <c r="I307" s="39">
        <f t="shared" si="67"/>
        <v>0</v>
      </c>
      <c r="J307" s="39">
        <f t="shared" si="67"/>
        <v>0</v>
      </c>
      <c r="K307" s="39">
        <f t="shared" si="67"/>
        <v>0</v>
      </c>
      <c r="L307" s="39">
        <f t="shared" si="67"/>
        <v>0</v>
      </c>
      <c r="M307" s="39">
        <f t="shared" si="67"/>
        <v>0</v>
      </c>
      <c r="N307" s="39">
        <f t="shared" si="67"/>
        <v>0</v>
      </c>
      <c r="O307" s="39">
        <f t="shared" si="67"/>
        <v>0</v>
      </c>
      <c r="P307" s="3"/>
      <c r="Q307" s="3"/>
      <c r="R307" s="3"/>
      <c r="S307" s="3"/>
      <c r="T307" s="3"/>
      <c r="U307" s="3"/>
      <c r="V307" s="3"/>
      <c r="W307" s="3"/>
      <c r="X307" s="3"/>
      <c r="Y307" s="3"/>
      <c r="Z307" s="3"/>
    </row>
    <row r="308" spans="1:26" ht="12.75" x14ac:dyDescent="0.2">
      <c r="A308" s="3"/>
      <c r="B308" s="33"/>
      <c r="C308" s="35" t="s">
        <v>138</v>
      </c>
      <c r="D308" s="33"/>
      <c r="E308" s="33"/>
      <c r="F308" s="39">
        <f>$I$88/1000</f>
        <v>0</v>
      </c>
      <c r="G308" s="39">
        <f t="shared" ref="G308:O308" si="68">$I$88/1000</f>
        <v>0</v>
      </c>
      <c r="H308" s="39">
        <f t="shared" si="68"/>
        <v>0</v>
      </c>
      <c r="I308" s="39">
        <f t="shared" si="68"/>
        <v>0</v>
      </c>
      <c r="J308" s="39">
        <f t="shared" si="68"/>
        <v>0</v>
      </c>
      <c r="K308" s="39">
        <f t="shared" si="68"/>
        <v>0</v>
      </c>
      <c r="L308" s="39">
        <f t="shared" si="68"/>
        <v>0</v>
      </c>
      <c r="M308" s="39">
        <f t="shared" si="68"/>
        <v>0</v>
      </c>
      <c r="N308" s="39">
        <f t="shared" si="68"/>
        <v>0</v>
      </c>
      <c r="O308" s="39">
        <f t="shared" si="68"/>
        <v>0</v>
      </c>
      <c r="P308" s="3"/>
      <c r="Q308" s="3"/>
      <c r="R308" s="3"/>
      <c r="S308" s="3"/>
      <c r="T308" s="3"/>
      <c r="U308" s="3"/>
      <c r="V308" s="3"/>
      <c r="W308" s="3"/>
      <c r="X308" s="3"/>
      <c r="Y308" s="3"/>
      <c r="Z308" s="3"/>
    </row>
    <row r="309" spans="1:26" ht="12.75" x14ac:dyDescent="0.2">
      <c r="A309" s="3"/>
      <c r="B309" s="33"/>
      <c r="C309" s="36" t="s">
        <v>247</v>
      </c>
      <c r="D309" s="36"/>
      <c r="E309" s="36"/>
      <c r="F309" s="40">
        <f>SUM(F307:F308)</f>
        <v>0</v>
      </c>
      <c r="G309" s="40">
        <f t="shared" ref="G309:O309" si="69">SUM(G307:G308)</f>
        <v>0</v>
      </c>
      <c r="H309" s="40">
        <f t="shared" si="69"/>
        <v>0</v>
      </c>
      <c r="I309" s="40">
        <f t="shared" si="69"/>
        <v>0</v>
      </c>
      <c r="J309" s="40">
        <f t="shared" si="69"/>
        <v>0</v>
      </c>
      <c r="K309" s="40">
        <f t="shared" si="69"/>
        <v>0</v>
      </c>
      <c r="L309" s="40">
        <f t="shared" si="69"/>
        <v>0</v>
      </c>
      <c r="M309" s="40">
        <f t="shared" si="69"/>
        <v>0</v>
      </c>
      <c r="N309" s="40">
        <f t="shared" si="69"/>
        <v>0</v>
      </c>
      <c r="O309" s="40">
        <f t="shared" si="69"/>
        <v>0</v>
      </c>
      <c r="P309" s="3"/>
      <c r="Q309" s="3"/>
      <c r="R309" s="3"/>
      <c r="S309" s="3"/>
      <c r="T309" s="3"/>
      <c r="U309" s="3"/>
      <c r="V309" s="3"/>
      <c r="W309" s="3"/>
      <c r="X309" s="3"/>
      <c r="Y309" s="3"/>
      <c r="Z309" s="3"/>
    </row>
    <row r="310" spans="1:26" ht="12.75" x14ac:dyDescent="0.2">
      <c r="A310" s="3"/>
      <c r="B310" s="33"/>
      <c r="C310" s="27"/>
      <c r="D310" s="33"/>
      <c r="E310" s="33"/>
      <c r="F310" s="37"/>
      <c r="G310" s="37"/>
      <c r="H310" s="37"/>
      <c r="I310" s="37"/>
      <c r="J310" s="37"/>
      <c r="K310" s="37"/>
      <c r="L310" s="37"/>
      <c r="M310" s="37"/>
      <c r="N310" s="37"/>
      <c r="O310" s="37"/>
      <c r="P310" s="3"/>
      <c r="Q310" s="3"/>
      <c r="R310" s="3"/>
      <c r="S310" s="3"/>
      <c r="T310" s="3"/>
      <c r="U310" s="3"/>
      <c r="V310" s="3"/>
      <c r="W310" s="3"/>
      <c r="X310" s="3"/>
      <c r="Y310" s="3"/>
      <c r="Z310" s="3"/>
    </row>
    <row r="311" spans="1:26" ht="12.75" x14ac:dyDescent="0.2">
      <c r="A311" s="3"/>
      <c r="B311" s="33"/>
      <c r="C311" s="66" t="s">
        <v>230</v>
      </c>
      <c r="D311" s="66"/>
      <c r="E311" s="66"/>
      <c r="F311" s="67">
        <f>F304+F309</f>
        <v>169.23605999999995</v>
      </c>
      <c r="G311" s="67">
        <f t="shared" ref="G311:O311" si="70">G304+G309</f>
        <v>212.71829039999994</v>
      </c>
      <c r="H311" s="67">
        <f>H304+H309</f>
        <v>260.12565368999992</v>
      </c>
      <c r="I311" s="67">
        <f t="shared" si="70"/>
        <v>311.74195758299999</v>
      </c>
      <c r="J311" s="67">
        <f t="shared" si="70"/>
        <v>327.32905546215005</v>
      </c>
      <c r="K311" s="67">
        <f t="shared" si="70"/>
        <v>336.61802999999998</v>
      </c>
      <c r="L311" s="67">
        <f t="shared" si="70"/>
        <v>336.61802999999998</v>
      </c>
      <c r="M311" s="67">
        <f t="shared" si="70"/>
        <v>336.61802999999998</v>
      </c>
      <c r="N311" s="67">
        <f t="shared" si="70"/>
        <v>336.61802999999998</v>
      </c>
      <c r="O311" s="67">
        <f t="shared" si="70"/>
        <v>380.84552999999994</v>
      </c>
      <c r="P311" s="3"/>
      <c r="Q311" s="3"/>
      <c r="R311" s="3"/>
      <c r="S311" s="3"/>
      <c r="T311" s="3"/>
      <c r="U311" s="3"/>
      <c r="V311" s="3"/>
      <c r="W311" s="3"/>
      <c r="X311" s="3"/>
      <c r="Y311" s="3"/>
      <c r="Z311" s="3"/>
    </row>
    <row r="312" spans="1:26" ht="12.75" x14ac:dyDescent="0.2">
      <c r="A312" s="3"/>
      <c r="B312" s="33"/>
      <c r="C312" s="33"/>
      <c r="D312" s="33"/>
      <c r="E312" s="33"/>
      <c r="F312" s="33"/>
      <c r="G312" s="33"/>
      <c r="H312" s="33"/>
      <c r="I312" s="33"/>
      <c r="J312" s="33"/>
      <c r="K312" s="33"/>
      <c r="L312" s="33"/>
      <c r="M312" s="33"/>
      <c r="N312" s="33"/>
      <c r="O312" s="33"/>
      <c r="P312" s="3"/>
      <c r="Q312" s="3"/>
      <c r="R312" s="3"/>
      <c r="S312" s="3"/>
      <c r="T312" s="3"/>
      <c r="U312" s="3"/>
      <c r="V312" s="3"/>
      <c r="W312" s="3"/>
      <c r="X312" s="3"/>
      <c r="Y312" s="3"/>
      <c r="Z312" s="3"/>
    </row>
    <row r="313" spans="1:26" ht="12.75" x14ac:dyDescent="0.2">
      <c r="A313" s="3"/>
      <c r="C313" s="64" t="s">
        <v>235</v>
      </c>
      <c r="D313" s="33"/>
      <c r="E313" s="33"/>
      <c r="F313" s="33"/>
      <c r="G313" s="33"/>
      <c r="H313" s="33"/>
      <c r="I313" s="33"/>
      <c r="J313" s="33"/>
      <c r="K313" s="33"/>
      <c r="L313" s="33"/>
      <c r="M313" s="33"/>
      <c r="N313" s="33"/>
      <c r="O313" s="33"/>
      <c r="P313" s="3"/>
      <c r="Q313" s="3"/>
      <c r="R313" s="3"/>
      <c r="S313" s="3"/>
      <c r="T313" s="3"/>
      <c r="U313" s="3"/>
      <c r="V313" s="3"/>
      <c r="W313" s="3"/>
      <c r="X313" s="3"/>
      <c r="Y313" s="3"/>
      <c r="Z313" s="3"/>
    </row>
    <row r="314" spans="1:26" ht="12.75" x14ac:dyDescent="0.2">
      <c r="A314" s="3"/>
      <c r="B314" s="64"/>
      <c r="C314" s="34" t="s">
        <v>144</v>
      </c>
      <c r="D314" s="33"/>
      <c r="E314" s="33"/>
      <c r="F314" s="33"/>
      <c r="G314" s="33"/>
      <c r="H314" s="33"/>
      <c r="I314" s="33"/>
      <c r="J314" s="33"/>
      <c r="K314" s="33"/>
      <c r="L314" s="33"/>
      <c r="M314" s="33"/>
      <c r="N314" s="33"/>
      <c r="O314" s="33"/>
      <c r="P314" s="3"/>
      <c r="Q314" s="3"/>
      <c r="R314" s="3"/>
      <c r="S314" s="3"/>
      <c r="T314" s="3"/>
      <c r="U314" s="3"/>
      <c r="V314" s="3"/>
      <c r="W314" s="3"/>
      <c r="X314" s="3"/>
      <c r="Y314" s="3"/>
      <c r="Z314" s="3"/>
    </row>
    <row r="315" spans="1:26" ht="12.75" x14ac:dyDescent="0.2">
      <c r="A315" s="3"/>
      <c r="B315" s="64"/>
      <c r="C315" s="35" t="s">
        <v>245</v>
      </c>
      <c r="D315" s="33"/>
      <c r="E315" s="33"/>
      <c r="F315" s="39">
        <f>$I$92*(1+$I$93)/1000</f>
        <v>0</v>
      </c>
      <c r="G315" s="39">
        <f t="shared" ref="G315:O315" si="71">$I$92*(1+$I$93)/1000</f>
        <v>0</v>
      </c>
      <c r="H315" s="39">
        <f t="shared" si="71"/>
        <v>0</v>
      </c>
      <c r="I315" s="39">
        <f t="shared" si="71"/>
        <v>0</v>
      </c>
      <c r="J315" s="39">
        <f t="shared" si="71"/>
        <v>0</v>
      </c>
      <c r="K315" s="39">
        <f t="shared" si="71"/>
        <v>0</v>
      </c>
      <c r="L315" s="39">
        <f t="shared" si="71"/>
        <v>0</v>
      </c>
      <c r="M315" s="39">
        <f t="shared" si="71"/>
        <v>0</v>
      </c>
      <c r="N315" s="39">
        <f t="shared" si="71"/>
        <v>0</v>
      </c>
      <c r="O315" s="39">
        <f t="shared" si="71"/>
        <v>0</v>
      </c>
      <c r="P315" s="3"/>
      <c r="Q315" s="28"/>
      <c r="R315" s="3"/>
      <c r="S315" s="3"/>
      <c r="T315" s="3"/>
      <c r="U315" s="3"/>
      <c r="V315" s="3"/>
      <c r="W315" s="3"/>
      <c r="X315" s="3"/>
      <c r="Y315" s="3"/>
      <c r="Z315" s="3"/>
    </row>
    <row r="316" spans="1:26" ht="12.75" x14ac:dyDescent="0.2">
      <c r="A316" s="3"/>
      <c r="B316" s="64"/>
      <c r="C316" s="36" t="s">
        <v>245</v>
      </c>
      <c r="D316" s="36"/>
      <c r="E316" s="36"/>
      <c r="F316" s="76">
        <f>F315</f>
        <v>0</v>
      </c>
      <c r="G316" s="76">
        <f t="shared" ref="G316:O316" si="72">G315</f>
        <v>0</v>
      </c>
      <c r="H316" s="76">
        <f t="shared" si="72"/>
        <v>0</v>
      </c>
      <c r="I316" s="76">
        <f t="shared" si="72"/>
        <v>0</v>
      </c>
      <c r="J316" s="76">
        <f t="shared" si="72"/>
        <v>0</v>
      </c>
      <c r="K316" s="76">
        <f t="shared" si="72"/>
        <v>0</v>
      </c>
      <c r="L316" s="76">
        <f t="shared" si="72"/>
        <v>0</v>
      </c>
      <c r="M316" s="76">
        <f t="shared" si="72"/>
        <v>0</v>
      </c>
      <c r="N316" s="76">
        <f t="shared" si="72"/>
        <v>0</v>
      </c>
      <c r="O316" s="76">
        <f t="shared" si="72"/>
        <v>0</v>
      </c>
      <c r="P316" s="3"/>
      <c r="Q316" s="28"/>
      <c r="R316" s="3"/>
      <c r="S316" s="3"/>
      <c r="T316" s="3"/>
      <c r="U316" s="3"/>
      <c r="V316" s="3"/>
      <c r="W316" s="3"/>
      <c r="X316" s="3"/>
      <c r="Y316" s="3"/>
      <c r="Z316" s="3"/>
    </row>
    <row r="317" spans="1:26" ht="12.75" x14ac:dyDescent="0.2">
      <c r="A317" s="3"/>
      <c r="B317" s="64"/>
      <c r="C317" s="64"/>
      <c r="D317" s="33"/>
      <c r="E317" s="33"/>
      <c r="F317" s="33"/>
      <c r="G317" s="33"/>
      <c r="H317" s="33"/>
      <c r="I317" s="33"/>
      <c r="J317" s="33"/>
      <c r="K317" s="33"/>
      <c r="L317" s="33"/>
      <c r="M317" s="33"/>
      <c r="N317" s="33"/>
      <c r="O317" s="33"/>
      <c r="P317" s="3"/>
      <c r="Q317" s="3"/>
      <c r="R317" s="3"/>
      <c r="S317" s="3"/>
      <c r="T317" s="3"/>
      <c r="U317" s="3"/>
      <c r="V317" s="3"/>
      <c r="W317" s="3"/>
      <c r="X317" s="3"/>
      <c r="Y317" s="3"/>
      <c r="Z317" s="3"/>
    </row>
    <row r="318" spans="1:26" ht="12.75" x14ac:dyDescent="0.2">
      <c r="A318" s="3"/>
      <c r="B318" s="33"/>
      <c r="C318" s="34" t="s">
        <v>218</v>
      </c>
      <c r="D318" s="33"/>
      <c r="E318" s="33"/>
      <c r="F318" s="33"/>
      <c r="G318" s="33"/>
      <c r="H318" s="33"/>
      <c r="I318" s="33"/>
      <c r="J318" s="33"/>
      <c r="K318" s="33"/>
      <c r="L318" s="33"/>
      <c r="M318" s="33"/>
      <c r="N318" s="33"/>
      <c r="O318" s="33"/>
      <c r="P318" s="3"/>
      <c r="Q318" s="3"/>
      <c r="R318" s="3"/>
      <c r="S318" s="3"/>
      <c r="T318" s="3"/>
      <c r="U318" s="3"/>
      <c r="V318" s="3"/>
      <c r="W318" s="3"/>
      <c r="X318" s="3"/>
      <c r="Y318" s="3"/>
      <c r="Z318" s="3"/>
    </row>
    <row r="319" spans="1:26" ht="12.75" x14ac:dyDescent="0.2">
      <c r="A319" s="3"/>
      <c r="B319" s="33"/>
      <c r="C319" s="94" t="s">
        <v>272</v>
      </c>
      <c r="D319" s="33"/>
      <c r="E319" s="33"/>
      <c r="F319" s="39">
        <f>F210/F$116</f>
        <v>1.59</v>
      </c>
      <c r="G319" s="39">
        <f>G210/G$116</f>
        <v>1.5899999999999999</v>
      </c>
      <c r="H319" s="39">
        <f>H210/H$116</f>
        <v>1.5899999999999999</v>
      </c>
      <c r="I319" s="39">
        <f>I210/I$116</f>
        <v>1.5899999999999999</v>
      </c>
      <c r="J319" s="39">
        <f>J210/J$116</f>
        <v>1.5899999999999999</v>
      </c>
      <c r="K319" s="39">
        <f>K210/K$116</f>
        <v>1.59</v>
      </c>
      <c r="L319" s="39">
        <f>L210/L$116</f>
        <v>1.59</v>
      </c>
      <c r="M319" s="39">
        <f>M210/M$116</f>
        <v>1.59</v>
      </c>
      <c r="N319" s="39">
        <f>N210/N$116</f>
        <v>1.59</v>
      </c>
      <c r="O319" s="39">
        <f>O210/O$116</f>
        <v>1.59</v>
      </c>
      <c r="P319" s="3"/>
      <c r="Q319" s="3"/>
      <c r="R319" s="3"/>
      <c r="S319" s="3"/>
      <c r="T319" s="3"/>
      <c r="U319" s="3"/>
      <c r="V319" s="3"/>
      <c r="W319" s="3"/>
      <c r="X319" s="3"/>
      <c r="Y319" s="3"/>
      <c r="Z319" s="3"/>
    </row>
    <row r="320" spans="1:26" ht="12.75" x14ac:dyDescent="0.2">
      <c r="A320" s="3"/>
      <c r="B320" s="33"/>
      <c r="C320" s="115" t="s">
        <v>273</v>
      </c>
      <c r="D320" s="33"/>
      <c r="E320" s="33"/>
      <c r="F320" s="39">
        <f>F211/F$116</f>
        <v>3.3201000000000005</v>
      </c>
      <c r="G320" s="39">
        <f>G211/G$116</f>
        <v>3.3201000000000001</v>
      </c>
      <c r="H320" s="39">
        <f>H211/H$116</f>
        <v>3.3201000000000005</v>
      </c>
      <c r="I320" s="39">
        <f>I211/I$116</f>
        <v>3.3201000000000001</v>
      </c>
      <c r="J320" s="39">
        <f>J211/J$116</f>
        <v>3.3201000000000001</v>
      </c>
      <c r="K320" s="39">
        <f>K211/K$116</f>
        <v>3.3201000000000005</v>
      </c>
      <c r="L320" s="39">
        <f>L211/L$116</f>
        <v>3.3201000000000005</v>
      </c>
      <c r="M320" s="39">
        <f>M211/M$116</f>
        <v>3.3201000000000005</v>
      </c>
      <c r="N320" s="39">
        <f>N211/N$116</f>
        <v>3.3201000000000005</v>
      </c>
      <c r="O320" s="39">
        <f>O211/O$116</f>
        <v>3.3201000000000005</v>
      </c>
      <c r="P320" s="3"/>
      <c r="Q320" s="3"/>
      <c r="R320" s="3"/>
      <c r="S320" s="3"/>
      <c r="T320" s="3"/>
      <c r="U320" s="3"/>
      <c r="V320" s="3"/>
      <c r="W320" s="3"/>
      <c r="X320" s="3"/>
      <c r="Y320" s="3"/>
      <c r="Z320" s="3"/>
    </row>
    <row r="321" spans="1:26" ht="12.75" x14ac:dyDescent="0.2">
      <c r="A321" s="3"/>
      <c r="B321" s="33"/>
      <c r="C321" s="84" t="s">
        <v>323</v>
      </c>
      <c r="D321" s="33"/>
      <c r="E321" s="33"/>
      <c r="F321" s="39">
        <f>F212/F$116</f>
        <v>5.6573999999999991</v>
      </c>
      <c r="G321" s="39">
        <f>G212/G$116</f>
        <v>5.6573999999999991</v>
      </c>
      <c r="H321" s="39">
        <f>H212/H$116</f>
        <v>5.6573999999999991</v>
      </c>
      <c r="I321" s="39">
        <f>I212/I$116</f>
        <v>5.6573999999999982</v>
      </c>
      <c r="J321" s="39">
        <f>J212/J$116</f>
        <v>5.6573999999999991</v>
      </c>
      <c r="K321" s="39">
        <f>K212/K$116</f>
        <v>5.6573999999999991</v>
      </c>
      <c r="L321" s="39">
        <f>L212/L$116</f>
        <v>5.6573999999999982</v>
      </c>
      <c r="M321" s="39">
        <f>M212/M$116</f>
        <v>5.6573999999999991</v>
      </c>
      <c r="N321" s="39">
        <f>N212/N$116</f>
        <v>5.6573999999999991</v>
      </c>
      <c r="O321" s="39">
        <f>O212/O$116</f>
        <v>5.6573999999999982</v>
      </c>
      <c r="P321" s="3"/>
      <c r="Q321" s="3"/>
      <c r="R321" s="3"/>
      <c r="S321" s="3"/>
      <c r="T321" s="3"/>
      <c r="U321" s="3"/>
      <c r="V321" s="3"/>
      <c r="W321" s="3"/>
      <c r="X321" s="3"/>
      <c r="Y321" s="3"/>
      <c r="Z321" s="3"/>
    </row>
    <row r="322" spans="1:26" ht="12.75" x14ac:dyDescent="0.2">
      <c r="A322" s="3"/>
      <c r="B322" s="33"/>
      <c r="C322" s="84" t="s">
        <v>492</v>
      </c>
      <c r="D322" s="33"/>
      <c r="E322" s="33"/>
      <c r="F322" s="39">
        <f>F213/F$116</f>
        <v>12.167999999999999</v>
      </c>
      <c r="G322" s="39">
        <f>G213/G$116</f>
        <v>12.167999999999999</v>
      </c>
      <c r="H322" s="39">
        <f>H213/H$116</f>
        <v>12.167999999999999</v>
      </c>
      <c r="I322" s="39">
        <f>I213/I$116</f>
        <v>12.167999999999999</v>
      </c>
      <c r="J322" s="39">
        <f>J213/J$116</f>
        <v>12.168000000000001</v>
      </c>
      <c r="K322" s="39">
        <f>K213/K$116</f>
        <v>12.168000000000001</v>
      </c>
      <c r="L322" s="39">
        <f>L213/L$116</f>
        <v>12.168000000000001</v>
      </c>
      <c r="M322" s="39">
        <f>M213/M$116</f>
        <v>12.167999999999999</v>
      </c>
      <c r="N322" s="39">
        <f>N213/N$116</f>
        <v>12.167999999999999</v>
      </c>
      <c r="O322" s="39">
        <f>O213/O$116</f>
        <v>12.167999999999999</v>
      </c>
      <c r="P322" s="3"/>
      <c r="Q322" s="3"/>
      <c r="R322" s="3"/>
      <c r="S322" s="3"/>
      <c r="T322" s="3"/>
      <c r="U322" s="3"/>
      <c r="V322" s="3"/>
      <c r="W322" s="3"/>
      <c r="X322" s="3"/>
      <c r="Y322" s="3"/>
      <c r="Z322" s="3"/>
    </row>
    <row r="323" spans="1:26" s="105" customFormat="1" ht="12.75" x14ac:dyDescent="0.2">
      <c r="A323" s="102"/>
      <c r="B323" s="35"/>
      <c r="C323" s="115" t="s">
        <v>290</v>
      </c>
      <c r="D323" s="35"/>
      <c r="E323" s="35"/>
      <c r="F323" s="104">
        <f>F214/F$116</f>
        <v>32.868449999999996</v>
      </c>
      <c r="G323" s="104">
        <f>G214/G$116</f>
        <v>32.868449999999996</v>
      </c>
      <c r="H323" s="104">
        <f>H214/H$116</f>
        <v>32.868449999999996</v>
      </c>
      <c r="I323" s="104">
        <f>I214/I$116</f>
        <v>32.868449999999996</v>
      </c>
      <c r="J323" s="104">
        <f>J214/J$116</f>
        <v>32.868449999999996</v>
      </c>
      <c r="K323" s="104">
        <f>K214/K$116</f>
        <v>32.868450000000003</v>
      </c>
      <c r="L323" s="104">
        <f>L214/L$116</f>
        <v>32.868449999999996</v>
      </c>
      <c r="M323" s="104">
        <f>M214/M$116</f>
        <v>32.868449999999996</v>
      </c>
      <c r="N323" s="104">
        <f>N214/N$116</f>
        <v>32.868449999999996</v>
      </c>
      <c r="O323" s="104">
        <f>O214/O$116</f>
        <v>32.868449999999996</v>
      </c>
      <c r="P323" s="102"/>
      <c r="Q323" s="102"/>
      <c r="R323" s="102"/>
      <c r="S323" s="102"/>
      <c r="T323" s="102"/>
      <c r="U323" s="102"/>
      <c r="V323" s="102"/>
      <c r="W323" s="102"/>
      <c r="X323" s="102"/>
      <c r="Y323" s="102"/>
      <c r="Z323" s="102"/>
    </row>
    <row r="324" spans="1:26" ht="12.75" x14ac:dyDescent="0.2">
      <c r="A324" s="3"/>
      <c r="B324" s="33"/>
      <c r="C324" s="94" t="s">
        <v>278</v>
      </c>
      <c r="D324" s="33"/>
      <c r="E324" s="33"/>
      <c r="F324" s="39">
        <f>F215/F$116</f>
        <v>12.089100000000002</v>
      </c>
      <c r="G324" s="39">
        <f>G215/G$116</f>
        <v>12.089100000000002</v>
      </c>
      <c r="H324" s="39">
        <f>H215/H$116</f>
        <v>12.089100000000004</v>
      </c>
      <c r="I324" s="39">
        <f>I215/I$116</f>
        <v>12.089100000000002</v>
      </c>
      <c r="J324" s="39">
        <f>J215/J$116</f>
        <v>12.089100000000002</v>
      </c>
      <c r="K324" s="39">
        <f>K215/K$116</f>
        <v>12.089100000000004</v>
      </c>
      <c r="L324" s="39">
        <f>L215/L$116</f>
        <v>12.089100000000004</v>
      </c>
      <c r="M324" s="39">
        <f>M215/M$116</f>
        <v>12.089100000000002</v>
      </c>
      <c r="N324" s="39">
        <f>N215/N$116</f>
        <v>12.089100000000002</v>
      </c>
      <c r="O324" s="39">
        <f>O215/O$116</f>
        <v>12.089100000000002</v>
      </c>
      <c r="P324" s="3"/>
      <c r="Q324" s="3"/>
      <c r="R324" s="3"/>
      <c r="S324" s="3"/>
      <c r="T324" s="3"/>
      <c r="U324" s="3"/>
      <c r="V324" s="3"/>
      <c r="W324" s="3"/>
      <c r="X324" s="3"/>
      <c r="Y324" s="3"/>
      <c r="Z324" s="3"/>
    </row>
    <row r="325" spans="1:26" ht="12.75" x14ac:dyDescent="0.2">
      <c r="A325" s="3"/>
      <c r="B325" s="33"/>
      <c r="C325" s="9" t="s">
        <v>85</v>
      </c>
      <c r="D325" s="33"/>
      <c r="E325" s="33"/>
      <c r="F325" s="39">
        <f>F216/F$116</f>
        <v>13.66</v>
      </c>
      <c r="G325" s="39">
        <f>G216/G$116</f>
        <v>13.66</v>
      </c>
      <c r="H325" s="39">
        <f>H216/H$116</f>
        <v>13.66</v>
      </c>
      <c r="I325" s="39">
        <f>I216/I$116</f>
        <v>13.66</v>
      </c>
      <c r="J325" s="39">
        <f>J216/J$116</f>
        <v>0</v>
      </c>
      <c r="K325" s="39">
        <f>K216/K$116</f>
        <v>0</v>
      </c>
      <c r="L325" s="39">
        <f>L216/L$116</f>
        <v>0</v>
      </c>
      <c r="M325" s="39">
        <f>M216/M$116</f>
        <v>0</v>
      </c>
      <c r="N325" s="39">
        <f>N216/N$116</f>
        <v>0</v>
      </c>
      <c r="O325" s="39">
        <f>O216/O$116</f>
        <v>0</v>
      </c>
      <c r="P325" s="3"/>
      <c r="Q325" s="3"/>
      <c r="R325" s="3"/>
      <c r="S325" s="3"/>
      <c r="T325" s="3"/>
      <c r="U325" s="3"/>
      <c r="V325" s="3"/>
      <c r="W325" s="3"/>
      <c r="X325" s="3"/>
      <c r="Y325" s="3"/>
      <c r="Z325" s="3"/>
    </row>
    <row r="326" spans="1:26" ht="12.75" x14ac:dyDescent="0.2">
      <c r="A326" s="3"/>
      <c r="B326" s="33"/>
      <c r="C326" s="36" t="s">
        <v>207</v>
      </c>
      <c r="D326" s="36"/>
      <c r="E326" s="36"/>
      <c r="F326" s="59">
        <f>SUM(F319:F325)</f>
        <v>81.353049999999996</v>
      </c>
      <c r="G326" s="59">
        <f t="shared" ref="G326:O326" si="73">SUM(G319:G325)</f>
        <v>81.353049999999996</v>
      </c>
      <c r="H326" s="59">
        <f t="shared" si="73"/>
        <v>81.353049999999996</v>
      </c>
      <c r="I326" s="59">
        <f t="shared" si="73"/>
        <v>81.353049999999996</v>
      </c>
      <c r="J326" s="59">
        <f t="shared" si="73"/>
        <v>67.693049999999999</v>
      </c>
      <c r="K326" s="59">
        <f t="shared" si="73"/>
        <v>67.693050000000014</v>
      </c>
      <c r="L326" s="59">
        <f t="shared" si="73"/>
        <v>67.693049999999999</v>
      </c>
      <c r="M326" s="59">
        <f t="shared" si="73"/>
        <v>67.693049999999999</v>
      </c>
      <c r="N326" s="59">
        <f t="shared" si="73"/>
        <v>67.693049999999999</v>
      </c>
      <c r="O326" s="59">
        <f t="shared" si="73"/>
        <v>67.693049999999999</v>
      </c>
      <c r="P326" s="3"/>
      <c r="Q326" s="3"/>
      <c r="R326" s="3"/>
      <c r="S326" s="3"/>
      <c r="T326" s="3"/>
      <c r="U326" s="3"/>
      <c r="V326" s="3"/>
      <c r="W326" s="3"/>
      <c r="X326" s="3"/>
      <c r="Y326" s="3"/>
      <c r="Z326" s="3"/>
    </row>
    <row r="327" spans="1:26" ht="12.75" x14ac:dyDescent="0.2">
      <c r="A327" s="3"/>
      <c r="B327" s="33"/>
      <c r="C327" s="33"/>
      <c r="D327" s="33"/>
      <c r="E327" s="33"/>
      <c r="F327" s="33"/>
      <c r="G327" s="33"/>
      <c r="H327" s="33"/>
      <c r="I327" s="33"/>
      <c r="J327" s="33"/>
      <c r="K327" s="33"/>
      <c r="L327" s="33"/>
      <c r="M327" s="33"/>
      <c r="N327" s="33"/>
      <c r="O327" s="33"/>
      <c r="P327" s="3"/>
      <c r="Q327" s="3"/>
      <c r="R327" s="3"/>
      <c r="S327" s="3"/>
      <c r="T327" s="3"/>
      <c r="U327" s="3"/>
      <c r="V327" s="3"/>
      <c r="W327" s="3"/>
      <c r="X327" s="3"/>
      <c r="Y327" s="3"/>
      <c r="Z327" s="3"/>
    </row>
    <row r="328" spans="1:26" ht="12.75" x14ac:dyDescent="0.2">
      <c r="A328" s="3"/>
      <c r="B328" s="33"/>
      <c r="C328" s="34" t="s">
        <v>215</v>
      </c>
      <c r="D328" s="33"/>
      <c r="E328" s="33"/>
      <c r="F328" s="41"/>
      <c r="G328" s="41"/>
      <c r="H328" s="41"/>
      <c r="I328" s="41"/>
      <c r="J328" s="41"/>
      <c r="K328" s="41"/>
      <c r="L328" s="41"/>
      <c r="M328" s="41"/>
      <c r="N328" s="41"/>
      <c r="O328" s="41"/>
      <c r="P328" s="3"/>
      <c r="Q328" s="3"/>
      <c r="R328" s="3"/>
      <c r="S328" s="3"/>
      <c r="T328" s="3"/>
      <c r="U328" s="3"/>
      <c r="V328" s="3"/>
      <c r="W328" s="3"/>
      <c r="X328" s="3"/>
      <c r="Y328" s="3"/>
      <c r="Z328" s="3"/>
    </row>
    <row r="329" spans="1:26" ht="12.75" x14ac:dyDescent="0.2">
      <c r="A329" s="3"/>
      <c r="B329" s="33"/>
      <c r="C329" s="393" t="s">
        <v>893</v>
      </c>
      <c r="D329" s="33"/>
      <c r="E329" s="33"/>
      <c r="F329" s="39">
        <f>F220/F$116</f>
        <v>10.897500000000001</v>
      </c>
      <c r="G329" s="39">
        <f>G220/G$116</f>
        <v>0</v>
      </c>
      <c r="H329" s="39">
        <f>H220/H$116</f>
        <v>0</v>
      </c>
      <c r="I329" s="39">
        <f>I220/I$116</f>
        <v>0</v>
      </c>
      <c r="J329" s="39">
        <f>J220/J$116</f>
        <v>0</v>
      </c>
      <c r="K329" s="39">
        <f>K220/K$116</f>
        <v>0</v>
      </c>
      <c r="L329" s="39">
        <f>L220/L$116</f>
        <v>0</v>
      </c>
      <c r="M329" s="39">
        <f>M220/M$116</f>
        <v>0</v>
      </c>
      <c r="N329" s="39">
        <f>N220/N$116</f>
        <v>0</v>
      </c>
      <c r="O329" s="39">
        <f>O220/O$116</f>
        <v>0</v>
      </c>
      <c r="P329" s="3"/>
      <c r="Q329" s="3"/>
      <c r="R329" s="3"/>
      <c r="S329" s="3"/>
      <c r="T329" s="3"/>
      <c r="U329" s="3"/>
      <c r="V329" s="3"/>
      <c r="W329" s="3"/>
      <c r="X329" s="3"/>
      <c r="Y329" s="3"/>
      <c r="Z329" s="3"/>
    </row>
    <row r="330" spans="1:26" ht="12.75" x14ac:dyDescent="0.2">
      <c r="A330" s="3"/>
      <c r="B330" s="33"/>
      <c r="C330" s="27" t="s">
        <v>283</v>
      </c>
      <c r="D330" s="33"/>
      <c r="E330" s="33"/>
      <c r="F330" s="39">
        <f>F221/F$116</f>
        <v>5.7781730769230775</v>
      </c>
      <c r="G330" s="39">
        <f>G221/G$116</f>
        <v>5.7781730769230775</v>
      </c>
      <c r="H330" s="39">
        <f>H221/H$116</f>
        <v>5.7781730769230775</v>
      </c>
      <c r="I330" s="39">
        <f>I221/I$116</f>
        <v>5.7781730769230775</v>
      </c>
      <c r="J330" s="39">
        <f>J221/J$116</f>
        <v>5.7781730769230775</v>
      </c>
      <c r="K330" s="39">
        <f>K221/K$116</f>
        <v>5.7781730769230775</v>
      </c>
      <c r="L330" s="39">
        <f>L221/L$116</f>
        <v>5.7781730769230775</v>
      </c>
      <c r="M330" s="39">
        <f>M221/M$116</f>
        <v>5.7781730769230775</v>
      </c>
      <c r="N330" s="39">
        <f>N221/N$116</f>
        <v>5.7781730769230775</v>
      </c>
      <c r="O330" s="39">
        <f>O221/O$116</f>
        <v>5.7781730769230775</v>
      </c>
      <c r="P330" s="3"/>
      <c r="Q330" s="3"/>
      <c r="R330" s="3"/>
      <c r="S330" s="3"/>
      <c r="T330" s="3"/>
      <c r="U330" s="3"/>
      <c r="V330" s="3"/>
      <c r="W330" s="3"/>
      <c r="X330" s="3"/>
      <c r="Y330" s="3"/>
      <c r="Z330" s="3"/>
    </row>
    <row r="331" spans="1:26" ht="12.75" x14ac:dyDescent="0.2">
      <c r="A331" s="3"/>
      <c r="B331" s="33"/>
      <c r="C331" s="27" t="s">
        <v>614</v>
      </c>
      <c r="D331" s="33"/>
      <c r="E331" s="33"/>
      <c r="F331" s="39">
        <f>F222/F$116</f>
        <v>84</v>
      </c>
      <c r="G331" s="39">
        <f>G222/G$116</f>
        <v>0</v>
      </c>
      <c r="H331" s="39">
        <f>H222/H$116</f>
        <v>0</v>
      </c>
      <c r="I331" s="39">
        <f>I222/I$116</f>
        <v>0</v>
      </c>
      <c r="J331" s="39">
        <f>J222/J$116</f>
        <v>0</v>
      </c>
      <c r="K331" s="39">
        <f>K222/K$116</f>
        <v>0</v>
      </c>
      <c r="L331" s="39">
        <f>L222/L$116</f>
        <v>0</v>
      </c>
      <c r="M331" s="39">
        <f>M222/M$116</f>
        <v>0</v>
      </c>
      <c r="N331" s="39">
        <f>N222/N$116</f>
        <v>0</v>
      </c>
      <c r="O331" s="39">
        <f>O222/O$116</f>
        <v>0</v>
      </c>
      <c r="P331" s="3"/>
      <c r="Q331" s="3"/>
      <c r="R331" s="3"/>
      <c r="S331" s="3"/>
      <c r="T331" s="3"/>
      <c r="U331" s="3"/>
      <c r="V331" s="3"/>
      <c r="W331" s="3"/>
      <c r="X331" s="3"/>
      <c r="Y331" s="3"/>
      <c r="Z331" s="3"/>
    </row>
    <row r="332" spans="1:26" ht="12.75" x14ac:dyDescent="0.2">
      <c r="A332" s="3"/>
      <c r="B332" s="33"/>
      <c r="C332" s="31" t="s">
        <v>216</v>
      </c>
      <c r="D332" s="36"/>
      <c r="E332" s="36"/>
      <c r="F332" s="40">
        <f>SUM(F329:F331)</f>
        <v>100.67567307692308</v>
      </c>
      <c r="G332" s="40">
        <f t="shared" ref="G332:O332" si="74">SUM(G329:G331)</f>
        <v>5.7781730769230775</v>
      </c>
      <c r="H332" s="40">
        <f t="shared" si="74"/>
        <v>5.7781730769230775</v>
      </c>
      <c r="I332" s="40">
        <f t="shared" si="74"/>
        <v>5.7781730769230775</v>
      </c>
      <c r="J332" s="40">
        <f t="shared" si="74"/>
        <v>5.7781730769230775</v>
      </c>
      <c r="K332" s="40">
        <f t="shared" si="74"/>
        <v>5.7781730769230775</v>
      </c>
      <c r="L332" s="40">
        <f t="shared" si="74"/>
        <v>5.7781730769230775</v>
      </c>
      <c r="M332" s="40">
        <f t="shared" si="74"/>
        <v>5.7781730769230775</v>
      </c>
      <c r="N332" s="40">
        <f t="shared" si="74"/>
        <v>5.7781730769230775</v>
      </c>
      <c r="O332" s="40">
        <f t="shared" si="74"/>
        <v>5.7781730769230775</v>
      </c>
      <c r="P332" s="3"/>
      <c r="Q332" s="3"/>
      <c r="R332" s="3"/>
      <c r="S332" s="3"/>
      <c r="T332" s="3"/>
      <c r="U332" s="3"/>
      <c r="V332" s="3"/>
      <c r="W332" s="3"/>
      <c r="X332" s="3"/>
      <c r="Y332" s="3"/>
      <c r="Z332" s="3"/>
    </row>
    <row r="333" spans="1:26" ht="12.75" x14ac:dyDescent="0.2">
      <c r="A333" s="3"/>
      <c r="B333" s="33"/>
      <c r="C333" s="35"/>
      <c r="D333" s="33"/>
      <c r="E333" s="33"/>
      <c r="F333" s="41"/>
      <c r="G333" s="41"/>
      <c r="H333" s="41"/>
      <c r="I333" s="41"/>
      <c r="J333" s="41"/>
      <c r="K333" s="41"/>
      <c r="L333" s="41"/>
      <c r="M333" s="41"/>
      <c r="N333" s="41"/>
      <c r="O333" s="41"/>
      <c r="P333" s="3"/>
      <c r="Q333" s="3"/>
      <c r="R333" s="3"/>
      <c r="S333" s="3"/>
      <c r="T333" s="3"/>
      <c r="U333" s="3"/>
      <c r="V333" s="3"/>
      <c r="W333" s="3"/>
      <c r="X333" s="3"/>
      <c r="Y333" s="3"/>
      <c r="Z333" s="3"/>
    </row>
    <row r="334" spans="1:26" ht="12.75" x14ac:dyDescent="0.2">
      <c r="A334" s="3"/>
      <c r="B334" s="33"/>
      <c r="C334" s="34" t="s">
        <v>219</v>
      </c>
      <c r="D334" s="33"/>
      <c r="E334" s="33"/>
      <c r="F334" s="41"/>
      <c r="G334" s="41"/>
      <c r="H334" s="41"/>
      <c r="I334" s="41"/>
      <c r="J334" s="41"/>
      <c r="K334" s="41"/>
      <c r="L334" s="41"/>
      <c r="M334" s="41"/>
      <c r="N334" s="41"/>
      <c r="O334" s="41"/>
      <c r="P334" s="3"/>
      <c r="Q334" s="3"/>
      <c r="R334" s="3"/>
      <c r="S334" s="3"/>
      <c r="T334" s="3"/>
      <c r="U334" s="3"/>
      <c r="V334" s="3"/>
      <c r="W334" s="3"/>
      <c r="X334" s="3"/>
      <c r="Y334" s="3"/>
      <c r="Z334" s="3"/>
    </row>
    <row r="335" spans="1:26" ht="12.75" x14ac:dyDescent="0.2">
      <c r="A335" s="3"/>
      <c r="B335" s="33"/>
      <c r="C335" s="27" t="s">
        <v>602</v>
      </c>
      <c r="D335" s="33"/>
      <c r="E335" s="33"/>
      <c r="F335" s="39">
        <f>F226/F$116</f>
        <v>49.994999999999997</v>
      </c>
      <c r="G335" s="39">
        <f>G226/G$116</f>
        <v>0</v>
      </c>
      <c r="H335" s="39">
        <f>H226/H$116</f>
        <v>0</v>
      </c>
      <c r="I335" s="39">
        <f>I226/I$116</f>
        <v>0</v>
      </c>
      <c r="J335" s="39">
        <f>J226/J$116</f>
        <v>0</v>
      </c>
      <c r="K335" s="39">
        <f>K226/K$116</f>
        <v>0</v>
      </c>
      <c r="L335" s="39">
        <f>L226/L$116</f>
        <v>0</v>
      </c>
      <c r="M335" s="39">
        <f>M226/M$116</f>
        <v>0</v>
      </c>
      <c r="N335" s="39">
        <f>N226/N$116</f>
        <v>0</v>
      </c>
      <c r="O335" s="39">
        <f>O226/O$116</f>
        <v>0</v>
      </c>
      <c r="P335" s="3"/>
      <c r="Q335" s="3"/>
      <c r="R335" s="3"/>
      <c r="S335" s="3"/>
      <c r="T335" s="3"/>
      <c r="U335" s="3"/>
      <c r="V335" s="3"/>
      <c r="W335" s="3"/>
      <c r="X335" s="3"/>
      <c r="Y335" s="3"/>
      <c r="Z335" s="3"/>
    </row>
    <row r="336" spans="1:26" ht="12.75" x14ac:dyDescent="0.2">
      <c r="A336" s="3"/>
      <c r="B336" s="33"/>
      <c r="C336" s="393" t="s">
        <v>495</v>
      </c>
      <c r="D336" s="33"/>
      <c r="E336" s="33"/>
      <c r="F336" s="39">
        <f>F227/F$116</f>
        <v>28.782</v>
      </c>
      <c r="G336" s="39">
        <f>G227/G$116</f>
        <v>28.782</v>
      </c>
      <c r="H336" s="39">
        <f>H227/H$116</f>
        <v>28.781999999999996</v>
      </c>
      <c r="I336" s="39">
        <f>I227/I$116</f>
        <v>28.782000000000004</v>
      </c>
      <c r="J336" s="39">
        <f>J227/J$116</f>
        <v>28.782</v>
      </c>
      <c r="K336" s="39">
        <f>K227/K$116</f>
        <v>28.782</v>
      </c>
      <c r="L336" s="39">
        <f>L227/L$116</f>
        <v>28.782</v>
      </c>
      <c r="M336" s="39">
        <f>M227/M$116</f>
        <v>28.782</v>
      </c>
      <c r="N336" s="39">
        <f>N227/N$116</f>
        <v>28.782000000000004</v>
      </c>
      <c r="O336" s="39">
        <f>O227/O$116</f>
        <v>28.782</v>
      </c>
      <c r="P336" s="3"/>
      <c r="Q336" s="3"/>
      <c r="R336" s="3"/>
      <c r="S336" s="3"/>
      <c r="T336" s="3"/>
      <c r="U336" s="3"/>
      <c r="V336" s="3"/>
      <c r="W336" s="3"/>
      <c r="X336" s="3"/>
      <c r="Y336" s="3"/>
      <c r="Z336" s="3"/>
    </row>
    <row r="337" spans="1:26" ht="12.75" x14ac:dyDescent="0.2">
      <c r="A337" s="3"/>
      <c r="B337" s="33"/>
      <c r="C337" s="393" t="s">
        <v>353</v>
      </c>
      <c r="D337" s="33"/>
      <c r="E337" s="33"/>
      <c r="F337" s="39">
        <f>F228/F$116</f>
        <v>5.4900000004500003</v>
      </c>
      <c r="G337" s="39">
        <f>G228/G$116</f>
        <v>5.4900000004499994</v>
      </c>
      <c r="H337" s="39">
        <f>H228/H$116</f>
        <v>5.4900000004499994</v>
      </c>
      <c r="I337" s="39">
        <f>I228/I$116</f>
        <v>5.4900000004500003</v>
      </c>
      <c r="J337" s="39">
        <f>J228/J$116</f>
        <v>5.4900000004499994</v>
      </c>
      <c r="K337" s="39">
        <f>K228/K$116</f>
        <v>5.4900000004500003</v>
      </c>
      <c r="L337" s="39">
        <f>L228/L$116</f>
        <v>5.4900000004500003</v>
      </c>
      <c r="M337" s="39">
        <f>M228/M$116</f>
        <v>5.4900000004500011</v>
      </c>
      <c r="N337" s="39">
        <f>N228/N$116</f>
        <v>5.4900000004500011</v>
      </c>
      <c r="O337" s="39">
        <f>O228/O$116</f>
        <v>5.4900000004500003</v>
      </c>
      <c r="P337" s="3"/>
      <c r="Q337" s="3"/>
      <c r="R337" s="3"/>
      <c r="S337" s="3"/>
      <c r="T337" s="3"/>
      <c r="U337" s="3"/>
      <c r="V337" s="3"/>
      <c r="W337" s="3"/>
      <c r="X337" s="3"/>
      <c r="Y337" s="3"/>
      <c r="Z337" s="3"/>
    </row>
    <row r="338" spans="1:26" s="105" customFormat="1" ht="12.75" x14ac:dyDescent="0.2">
      <c r="A338" s="102"/>
      <c r="B338" s="35"/>
      <c r="C338" s="84" t="s">
        <v>334</v>
      </c>
      <c r="D338" s="35"/>
      <c r="E338" s="35"/>
      <c r="F338" s="39">
        <f>F229/F$116</f>
        <v>5.0160000001477201</v>
      </c>
      <c r="G338" s="39">
        <f>G229/G$116</f>
        <v>5.016000000147721</v>
      </c>
      <c r="H338" s="39">
        <f>H229/H$116</f>
        <v>5.0160000001477201</v>
      </c>
      <c r="I338" s="39">
        <f>I229/I$116</f>
        <v>5.016000000147721</v>
      </c>
      <c r="J338" s="39">
        <f>J229/J$116</f>
        <v>5.0160000001477201</v>
      </c>
      <c r="K338" s="39">
        <f>K229/K$116</f>
        <v>5.016000000147721</v>
      </c>
      <c r="L338" s="39">
        <f>L229/L$116</f>
        <v>5.0160000001477201</v>
      </c>
      <c r="M338" s="39">
        <f>M229/M$116</f>
        <v>5.016000000147721</v>
      </c>
      <c r="N338" s="39">
        <f>N229/N$116</f>
        <v>5.016000000147721</v>
      </c>
      <c r="O338" s="39">
        <f>O229/O$116</f>
        <v>5.0160000001477201</v>
      </c>
      <c r="P338" s="102"/>
      <c r="Q338" s="102"/>
      <c r="R338" s="102"/>
      <c r="S338" s="102"/>
      <c r="T338" s="102"/>
      <c r="U338" s="102"/>
      <c r="V338" s="102"/>
      <c r="W338" s="102"/>
      <c r="X338" s="102"/>
      <c r="Y338" s="102"/>
      <c r="Z338" s="102"/>
    </row>
    <row r="339" spans="1:26" ht="12.75" x14ac:dyDescent="0.2">
      <c r="A339" s="3"/>
      <c r="B339" s="33"/>
      <c r="C339" s="9" t="s">
        <v>105</v>
      </c>
      <c r="D339" s="33"/>
      <c r="E339" s="33"/>
      <c r="F339" s="39">
        <f>F230/F$116</f>
        <v>2.4</v>
      </c>
      <c r="G339" s="39">
        <f>G230/G$116</f>
        <v>2.3999999999999995</v>
      </c>
      <c r="H339" s="39">
        <f>H230/H$116</f>
        <v>2.4</v>
      </c>
      <c r="I339" s="39">
        <f>I230/I$116</f>
        <v>2.4</v>
      </c>
      <c r="J339" s="39">
        <f>J230/J$116</f>
        <v>2.4</v>
      </c>
      <c r="K339" s="39">
        <f>K230/K$116</f>
        <v>2.4</v>
      </c>
      <c r="L339" s="39">
        <f>L230/L$116</f>
        <v>2.4</v>
      </c>
      <c r="M339" s="39">
        <f>M230/M$116</f>
        <v>2.4000000000000004</v>
      </c>
      <c r="N339" s="39">
        <f>N230/N$116</f>
        <v>2.4000000000000004</v>
      </c>
      <c r="O339" s="39">
        <f>O230/O$116</f>
        <v>2.3999999999999995</v>
      </c>
      <c r="P339" s="3"/>
      <c r="Q339" s="3"/>
      <c r="R339" s="3"/>
      <c r="S339" s="3"/>
      <c r="T339" s="3"/>
      <c r="U339" s="3"/>
      <c r="V339" s="3"/>
      <c r="W339" s="3"/>
      <c r="X339" s="3"/>
      <c r="Y339" s="3"/>
      <c r="Z339" s="3"/>
    </row>
    <row r="340" spans="1:26" ht="12.75" x14ac:dyDescent="0.2">
      <c r="A340" s="3"/>
      <c r="B340" s="33"/>
      <c r="C340" s="9" t="s">
        <v>108</v>
      </c>
      <c r="D340" s="33"/>
      <c r="E340" s="33"/>
      <c r="F340" s="39">
        <f>F231/F$116</f>
        <v>0.9</v>
      </c>
      <c r="G340" s="39">
        <f>G231/G$116</f>
        <v>1.1000000000000001</v>
      </c>
      <c r="H340" s="39">
        <f>H231/H$116</f>
        <v>1.3</v>
      </c>
      <c r="I340" s="39">
        <f>I231/I$116</f>
        <v>1.6</v>
      </c>
      <c r="J340" s="39">
        <f>J231/J$116</f>
        <v>1.7000000000000002</v>
      </c>
      <c r="K340" s="39">
        <f>K231/K$116</f>
        <v>1.7</v>
      </c>
      <c r="L340" s="39">
        <f>L231/L$116</f>
        <v>1.7</v>
      </c>
      <c r="M340" s="39">
        <f>M231/M$116</f>
        <v>1.7</v>
      </c>
      <c r="N340" s="39">
        <f>N231/N$116</f>
        <v>1.7</v>
      </c>
      <c r="O340" s="39">
        <f>O231/O$116</f>
        <v>1.7</v>
      </c>
      <c r="P340" s="3"/>
      <c r="Q340" s="3"/>
      <c r="R340" s="3"/>
      <c r="S340" s="3"/>
      <c r="T340" s="3"/>
      <c r="U340" s="3"/>
      <c r="V340" s="3"/>
      <c r="W340" s="3"/>
      <c r="X340" s="3"/>
      <c r="Y340" s="3"/>
      <c r="Z340" s="3"/>
    </row>
    <row r="341" spans="1:26" ht="12.75" x14ac:dyDescent="0.2">
      <c r="A341" s="3"/>
      <c r="B341" s="43"/>
      <c r="C341" s="68" t="s">
        <v>217</v>
      </c>
      <c r="D341" s="68"/>
      <c r="E341" s="68"/>
      <c r="F341" s="69">
        <f t="shared" ref="F341:O341" si="75">SUM(F335:F340)</f>
        <v>92.583000000597735</v>
      </c>
      <c r="G341" s="69">
        <f t="shared" si="75"/>
        <v>42.788000000597719</v>
      </c>
      <c r="H341" s="69">
        <f t="shared" si="75"/>
        <v>42.988000000597708</v>
      </c>
      <c r="I341" s="69">
        <f t="shared" si="75"/>
        <v>43.288000000597727</v>
      </c>
      <c r="J341" s="69">
        <f t="shared" si="75"/>
        <v>43.388000000597721</v>
      </c>
      <c r="K341" s="69">
        <f t="shared" si="75"/>
        <v>43.388000000597721</v>
      </c>
      <c r="L341" s="69">
        <f t="shared" si="75"/>
        <v>43.388000000597721</v>
      </c>
      <c r="M341" s="69">
        <f t="shared" si="75"/>
        <v>43.388000000597721</v>
      </c>
      <c r="N341" s="69">
        <f t="shared" si="75"/>
        <v>43.388000000597728</v>
      </c>
      <c r="O341" s="69">
        <f t="shared" si="75"/>
        <v>43.388000000597721</v>
      </c>
      <c r="P341" s="3"/>
      <c r="Q341" s="3"/>
      <c r="R341" s="3"/>
      <c r="S341" s="3"/>
      <c r="T341" s="3"/>
      <c r="U341" s="3"/>
      <c r="V341" s="3"/>
      <c r="W341" s="3"/>
      <c r="X341" s="3"/>
      <c r="Y341" s="3"/>
      <c r="Z341" s="3"/>
    </row>
    <row r="342" spans="1:26" ht="12.75" x14ac:dyDescent="0.2">
      <c r="A342" s="3"/>
      <c r="B342" s="43"/>
      <c r="C342" s="74"/>
      <c r="D342" s="74"/>
      <c r="E342" s="74"/>
      <c r="F342" s="75"/>
      <c r="G342" s="75"/>
      <c r="H342" s="75"/>
      <c r="I342" s="75"/>
      <c r="J342" s="75"/>
      <c r="K342" s="75"/>
      <c r="L342" s="75"/>
      <c r="M342" s="75"/>
      <c r="N342" s="75"/>
      <c r="O342" s="75"/>
      <c r="P342" s="3"/>
      <c r="Q342" s="3"/>
      <c r="R342" s="3"/>
      <c r="S342" s="3"/>
      <c r="T342" s="3"/>
      <c r="U342" s="3"/>
      <c r="V342" s="3"/>
      <c r="W342" s="3"/>
      <c r="X342" s="3"/>
      <c r="Y342" s="3"/>
      <c r="Z342" s="3"/>
    </row>
    <row r="343" spans="1:26" ht="12.75" x14ac:dyDescent="0.2">
      <c r="A343" s="3"/>
      <c r="B343" s="43"/>
      <c r="C343" s="34" t="s">
        <v>287</v>
      </c>
      <c r="D343" s="74"/>
      <c r="E343" s="74"/>
      <c r="F343" s="75"/>
      <c r="G343" s="75"/>
      <c r="H343" s="75"/>
      <c r="I343" s="75"/>
      <c r="J343" s="75"/>
      <c r="K343" s="75"/>
      <c r="L343" s="75"/>
      <c r="M343" s="75"/>
      <c r="N343" s="75"/>
      <c r="O343" s="75"/>
      <c r="P343" s="3"/>
      <c r="Q343" s="3"/>
      <c r="R343" s="3"/>
      <c r="S343" s="3"/>
      <c r="T343" s="3"/>
      <c r="U343" s="3"/>
      <c r="V343" s="3"/>
      <c r="W343" s="3"/>
      <c r="X343" s="3"/>
      <c r="Y343" s="3"/>
      <c r="Z343" s="3"/>
    </row>
    <row r="344" spans="1:26" ht="12.75" x14ac:dyDescent="0.2">
      <c r="A344" s="3"/>
      <c r="B344" s="33"/>
      <c r="C344" s="27" t="s">
        <v>282</v>
      </c>
      <c r="D344" s="33"/>
      <c r="E344" s="33"/>
      <c r="F344" s="39">
        <f>F235/F$116</f>
        <v>1.2360599999999997</v>
      </c>
      <c r="G344" s="39">
        <f>G235/G$116</f>
        <v>1.5574355999999996</v>
      </c>
      <c r="H344" s="39">
        <f>H235/H$116</f>
        <v>1.9078586099999999</v>
      </c>
      <c r="I344" s="39">
        <f>I235/I$116</f>
        <v>2.2894303320000002</v>
      </c>
      <c r="J344" s="39">
        <f>J235/J$116</f>
        <v>2.4039018486000003</v>
      </c>
      <c r="K344" s="39">
        <f>K235/K$116</f>
        <v>2.4721199999999994</v>
      </c>
      <c r="L344" s="39">
        <f>L235/L$116</f>
        <v>2.4721199999999994</v>
      </c>
      <c r="M344" s="39">
        <f>M235/M$116</f>
        <v>2.4721199999999999</v>
      </c>
      <c r="N344" s="39">
        <f>N235/N$116</f>
        <v>2.4721199999999994</v>
      </c>
      <c r="O344" s="39">
        <f>O235/O$116</f>
        <v>2.4721199999999999</v>
      </c>
      <c r="P344" s="3"/>
      <c r="Q344" s="3"/>
      <c r="R344" s="3"/>
      <c r="S344" s="3"/>
      <c r="T344" s="3"/>
      <c r="U344" s="3"/>
      <c r="V344" s="3"/>
      <c r="W344" s="3"/>
      <c r="X344" s="3"/>
      <c r="Y344" s="3"/>
      <c r="Z344" s="3"/>
    </row>
    <row r="345" spans="1:26" ht="12.75" x14ac:dyDescent="0.2">
      <c r="A345" s="3"/>
      <c r="B345" s="33"/>
      <c r="C345" s="27" t="s">
        <v>284</v>
      </c>
      <c r="D345" s="33"/>
      <c r="E345" s="33"/>
      <c r="F345" s="39">
        <f>F236/F$116</f>
        <v>0.24827815384615384</v>
      </c>
      <c r="G345" s="39">
        <f>G236/G$116</f>
        <v>0.31283047384615381</v>
      </c>
      <c r="H345" s="39">
        <f>H236/H$116</f>
        <v>0.38321733046153839</v>
      </c>
      <c r="I345" s="39">
        <f>I236/I$116</f>
        <v>0.4598607965538461</v>
      </c>
      <c r="J345" s="39">
        <f>J236/J$116</f>
        <v>0.48285383638153861</v>
      </c>
      <c r="K345" s="39">
        <f>K236/K$116</f>
        <v>0.49655630769230763</v>
      </c>
      <c r="L345" s="39">
        <f>L236/L$116</f>
        <v>0.49655630769230757</v>
      </c>
      <c r="M345" s="39">
        <f>M236/M$116</f>
        <v>0.49655630769230763</v>
      </c>
      <c r="N345" s="39">
        <f>N236/N$116</f>
        <v>0.49655630769230763</v>
      </c>
      <c r="O345" s="39">
        <f>O236/O$116</f>
        <v>0.49655630769230769</v>
      </c>
      <c r="P345" s="3"/>
      <c r="Q345" s="3"/>
      <c r="R345" s="3"/>
      <c r="S345" s="3"/>
      <c r="T345" s="3"/>
      <c r="U345" s="3"/>
      <c r="V345" s="3"/>
      <c r="W345" s="3"/>
      <c r="X345" s="3"/>
      <c r="Y345" s="3"/>
      <c r="Z345" s="3"/>
    </row>
    <row r="346" spans="1:26" ht="12.75" x14ac:dyDescent="0.2">
      <c r="A346" s="3"/>
      <c r="B346" s="43"/>
      <c r="C346" s="68" t="s">
        <v>289</v>
      </c>
      <c r="D346" s="36"/>
      <c r="E346" s="36"/>
      <c r="F346" s="40">
        <f>SUM(F344:F345)</f>
        <v>1.4843381538461535</v>
      </c>
      <c r="G346" s="40">
        <f t="shared" ref="G346:O346" si="76">SUM(G344:G345)</f>
        <v>1.8702660738461534</v>
      </c>
      <c r="H346" s="40">
        <f t="shared" si="76"/>
        <v>2.2910759404615382</v>
      </c>
      <c r="I346" s="40">
        <f t="shared" si="76"/>
        <v>2.7492911285538462</v>
      </c>
      <c r="J346" s="40">
        <f t="shared" si="76"/>
        <v>2.886755684981539</v>
      </c>
      <c r="K346" s="40">
        <f t="shared" si="76"/>
        <v>2.9686763076923071</v>
      </c>
      <c r="L346" s="40">
        <f t="shared" si="76"/>
        <v>2.9686763076923071</v>
      </c>
      <c r="M346" s="40">
        <f t="shared" si="76"/>
        <v>2.9686763076923075</v>
      </c>
      <c r="N346" s="40">
        <f t="shared" si="76"/>
        <v>2.9686763076923071</v>
      </c>
      <c r="O346" s="40">
        <f t="shared" si="76"/>
        <v>2.9686763076923075</v>
      </c>
      <c r="P346" s="3"/>
      <c r="Q346" s="3"/>
      <c r="R346" s="3"/>
      <c r="S346" s="3"/>
      <c r="T346" s="3"/>
      <c r="U346" s="3"/>
      <c r="V346" s="3"/>
      <c r="W346" s="3"/>
      <c r="X346" s="3"/>
      <c r="Y346" s="3"/>
      <c r="Z346" s="3"/>
    </row>
    <row r="347" spans="1:26" ht="12.75" x14ac:dyDescent="0.2">
      <c r="A347" s="3"/>
      <c r="B347" s="43"/>
      <c r="C347" s="43"/>
      <c r="D347" s="43"/>
      <c r="E347" s="43"/>
      <c r="F347" s="101"/>
      <c r="G347" s="43"/>
      <c r="H347" s="43"/>
      <c r="I347" s="43"/>
      <c r="J347" s="43"/>
      <c r="K347" s="43"/>
      <c r="L347" s="43"/>
      <c r="M347" s="43"/>
      <c r="N347" s="43"/>
      <c r="O347" s="43"/>
      <c r="P347" s="3"/>
      <c r="Q347" s="3"/>
      <c r="R347" s="3"/>
      <c r="S347" s="3"/>
      <c r="T347" s="3"/>
      <c r="U347" s="3"/>
      <c r="V347" s="3"/>
      <c r="W347" s="3"/>
      <c r="X347" s="3"/>
      <c r="Y347" s="3"/>
      <c r="Z347" s="3"/>
    </row>
    <row r="348" spans="1:26" ht="12.75" x14ac:dyDescent="0.2">
      <c r="A348" s="3"/>
      <c r="B348" s="43"/>
      <c r="C348" s="70" t="s">
        <v>236</v>
      </c>
      <c r="D348" s="70"/>
      <c r="E348" s="70"/>
      <c r="F348" s="71">
        <f t="shared" ref="F348:O348" si="77">F316+F326+F332+F341+F346</f>
        <v>276.096061231367</v>
      </c>
      <c r="G348" s="71">
        <f t="shared" si="77"/>
        <v>131.78948915136695</v>
      </c>
      <c r="H348" s="71">
        <f t="shared" si="77"/>
        <v>132.41029901798231</v>
      </c>
      <c r="I348" s="71">
        <f t="shared" si="77"/>
        <v>133.16851420607463</v>
      </c>
      <c r="J348" s="71">
        <f t="shared" si="77"/>
        <v>119.74597876250233</v>
      </c>
      <c r="K348" s="71">
        <f t="shared" si="77"/>
        <v>119.82789938521313</v>
      </c>
      <c r="L348" s="71">
        <f t="shared" si="77"/>
        <v>119.8278993852131</v>
      </c>
      <c r="M348" s="71">
        <f t="shared" si="77"/>
        <v>119.8278993852131</v>
      </c>
      <c r="N348" s="71">
        <f t="shared" si="77"/>
        <v>119.82789938521312</v>
      </c>
      <c r="O348" s="71">
        <f t="shared" si="77"/>
        <v>119.8278993852131</v>
      </c>
      <c r="P348" s="3"/>
      <c r="Q348" s="3"/>
      <c r="R348" s="3"/>
      <c r="S348" s="3"/>
      <c r="T348" s="3"/>
      <c r="U348" s="3"/>
      <c r="V348" s="3"/>
      <c r="W348" s="3"/>
      <c r="X348" s="3"/>
      <c r="Y348" s="3"/>
      <c r="Z348" s="3"/>
    </row>
    <row r="349" spans="1:26" ht="12.75" x14ac:dyDescent="0.2">
      <c r="A349" s="3"/>
      <c r="B349" s="43"/>
      <c r="C349" s="43"/>
      <c r="D349" s="43"/>
      <c r="E349" s="43"/>
      <c r="F349" s="43"/>
      <c r="G349" s="43"/>
      <c r="H349" s="43"/>
      <c r="I349" s="43"/>
      <c r="J349" s="43"/>
      <c r="K349" s="43"/>
      <c r="L349" s="43"/>
      <c r="M349" s="43"/>
      <c r="N349" s="43"/>
      <c r="O349" s="43"/>
      <c r="P349" s="3"/>
      <c r="Q349" s="3"/>
      <c r="R349" s="3"/>
      <c r="S349" s="3"/>
      <c r="T349" s="3"/>
      <c r="U349" s="3"/>
      <c r="V349" s="3"/>
      <c r="W349" s="3"/>
      <c r="X349" s="3"/>
      <c r="Y349" s="3"/>
      <c r="Z349" s="3"/>
    </row>
    <row r="350" spans="1:26" ht="12.75" x14ac:dyDescent="0.2">
      <c r="A350" s="3"/>
      <c r="C350" s="72" t="s">
        <v>861</v>
      </c>
      <c r="D350" s="70"/>
      <c r="E350" s="70"/>
      <c r="F350" s="73">
        <f t="shared" ref="F350:O350" si="78">F311-F348</f>
        <v>-106.86000123136705</v>
      </c>
      <c r="G350" s="73">
        <f t="shared" si="78"/>
        <v>80.928801248632993</v>
      </c>
      <c r="H350" s="73">
        <f t="shared" si="78"/>
        <v>127.71535467201761</v>
      </c>
      <c r="I350" s="73">
        <f t="shared" si="78"/>
        <v>178.57344337692535</v>
      </c>
      <c r="J350" s="73">
        <f t="shared" si="78"/>
        <v>207.58307669964773</v>
      </c>
      <c r="K350" s="73">
        <f t="shared" si="78"/>
        <v>216.79013061478685</v>
      </c>
      <c r="L350" s="73">
        <f t="shared" si="78"/>
        <v>216.79013061478688</v>
      </c>
      <c r="M350" s="73">
        <f t="shared" si="78"/>
        <v>216.79013061478688</v>
      </c>
      <c r="N350" s="73">
        <f t="shared" si="78"/>
        <v>216.79013061478685</v>
      </c>
      <c r="O350" s="73">
        <f t="shared" si="78"/>
        <v>261.01763061478687</v>
      </c>
      <c r="P350" s="3"/>
      <c r="Q350" s="3"/>
      <c r="R350" s="3"/>
      <c r="S350" s="3"/>
      <c r="T350" s="3"/>
      <c r="U350" s="3"/>
      <c r="V350" s="3"/>
      <c r="W350" s="3"/>
      <c r="X350" s="3"/>
      <c r="Y350" s="3"/>
      <c r="Z350" s="3"/>
    </row>
    <row r="351" spans="1:26" ht="12.75"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x14ac:dyDescent="0.2">
      <c r="A352" s="29" t="s">
        <v>240</v>
      </c>
      <c r="B352" s="2"/>
      <c r="C352" s="2"/>
      <c r="D352" s="6" t="s">
        <v>174</v>
      </c>
      <c r="E352" s="21"/>
      <c r="F352" s="51">
        <v>0</v>
      </c>
      <c r="G352" s="51">
        <v>1</v>
      </c>
      <c r="H352" s="51">
        <v>2</v>
      </c>
      <c r="I352" s="51">
        <v>3</v>
      </c>
      <c r="J352" s="51">
        <v>4</v>
      </c>
      <c r="K352" s="51">
        <v>5</v>
      </c>
      <c r="L352" s="51">
        <v>6</v>
      </c>
      <c r="M352" s="51">
        <v>7</v>
      </c>
      <c r="N352" s="51">
        <v>8</v>
      </c>
      <c r="O352" s="51">
        <v>9</v>
      </c>
      <c r="P352" s="2"/>
      <c r="Q352" s="2"/>
      <c r="R352" s="2"/>
      <c r="S352" s="2"/>
      <c r="T352" s="2"/>
      <c r="U352" s="2"/>
      <c r="V352" s="2"/>
      <c r="W352" s="2"/>
      <c r="X352" s="2"/>
      <c r="Y352" s="2"/>
      <c r="Z352" s="2"/>
    </row>
    <row r="353" spans="1:26" ht="12.75" x14ac:dyDescent="0.2">
      <c r="A353" s="3"/>
      <c r="B353" s="479" t="s">
        <v>891</v>
      </c>
      <c r="C353" s="43"/>
      <c r="D353" s="43"/>
      <c r="E353" s="43"/>
      <c r="F353" s="43"/>
      <c r="G353" s="43"/>
      <c r="H353" s="43"/>
      <c r="I353" s="43"/>
      <c r="J353" s="43"/>
      <c r="K353" s="43"/>
      <c r="L353" s="43"/>
      <c r="M353" s="43"/>
      <c r="N353" s="43"/>
      <c r="O353" s="43"/>
      <c r="P353" s="3"/>
      <c r="Q353" s="3"/>
      <c r="R353" s="3"/>
      <c r="S353" s="3"/>
      <c r="T353" s="3"/>
      <c r="U353" s="3"/>
      <c r="V353" s="3"/>
      <c r="W353" s="3"/>
      <c r="X353" s="3"/>
      <c r="Y353" s="3"/>
      <c r="Z353" s="3"/>
    </row>
    <row r="354" spans="1:26" ht="12.75" x14ac:dyDescent="0.2">
      <c r="A354" s="3"/>
      <c r="B354" s="43"/>
      <c r="C354" s="46" t="s">
        <v>241</v>
      </c>
      <c r="D354" s="43"/>
      <c r="E354" s="43"/>
      <c r="F354" s="39">
        <f>F311-F$256</f>
        <v>67.553159999999949</v>
      </c>
      <c r="G354" s="39">
        <f>G311-G$256</f>
        <v>111.03539039999994</v>
      </c>
      <c r="H354" s="39">
        <f>H311-H$256</f>
        <v>158.4427536899999</v>
      </c>
      <c r="I354" s="39">
        <f>I311-I$256</f>
        <v>210.05905758299997</v>
      </c>
      <c r="J354" s="39">
        <f>J311-J$256</f>
        <v>225.64615546215003</v>
      </c>
      <c r="K354" s="39">
        <f>K311-K$256</f>
        <v>234.93512999999996</v>
      </c>
      <c r="L354" s="39">
        <f>L311-L$256</f>
        <v>234.93512999999996</v>
      </c>
      <c r="M354" s="39">
        <f>M311-M$256</f>
        <v>234.93512999999996</v>
      </c>
      <c r="N354" s="39">
        <f>N311-N$256</f>
        <v>234.93512999999996</v>
      </c>
      <c r="O354" s="39">
        <f>O311-O$256</f>
        <v>234.93512999999993</v>
      </c>
      <c r="P354" s="3"/>
      <c r="Q354" s="3"/>
      <c r="R354" s="3"/>
      <c r="S354" s="3"/>
      <c r="T354" s="3"/>
      <c r="U354" s="3"/>
      <c r="V354" s="3"/>
      <c r="W354" s="3"/>
      <c r="X354" s="3"/>
      <c r="Y354" s="3"/>
      <c r="Z354" s="3"/>
    </row>
    <row r="355" spans="1:26" ht="12.75" x14ac:dyDescent="0.2">
      <c r="A355" s="3"/>
      <c r="B355" s="43"/>
      <c r="C355" s="46" t="s">
        <v>242</v>
      </c>
      <c r="D355" s="43"/>
      <c r="E355" s="43"/>
      <c r="F355" s="39">
        <f>F348-F$293</f>
        <v>130.81649661538469</v>
      </c>
      <c r="G355" s="39">
        <f>G348-G$293</f>
        <v>47.402424535384611</v>
      </c>
      <c r="H355" s="39">
        <f>H348-H$293</f>
        <v>48.023234401999972</v>
      </c>
      <c r="I355" s="39">
        <f>I348-I$293</f>
        <v>48.781449590092294</v>
      </c>
      <c r="J355" s="39">
        <f>J348-J$293</f>
        <v>35.358914146519993</v>
      </c>
      <c r="K355" s="39">
        <f>K348-K$293</f>
        <v>35.440834769230776</v>
      </c>
      <c r="L355" s="39">
        <f>L348-L$293</f>
        <v>35.440834769230761</v>
      </c>
      <c r="M355" s="39">
        <f>M348-M$293</f>
        <v>35.440834769230761</v>
      </c>
      <c r="N355" s="39">
        <f>N348-N$293</f>
        <v>35.440834769230776</v>
      </c>
      <c r="O355" s="39">
        <f>O348-O$293</f>
        <v>35.440834769230761</v>
      </c>
      <c r="P355" s="3"/>
      <c r="Q355" s="3"/>
      <c r="R355" s="3"/>
      <c r="S355" s="3"/>
      <c r="T355" s="3"/>
      <c r="U355" s="3"/>
      <c r="V355" s="3"/>
      <c r="W355" s="3"/>
      <c r="X355" s="3"/>
      <c r="Y355" s="3"/>
      <c r="Z355" s="3"/>
    </row>
    <row r="356" spans="1:26" ht="12.75" x14ac:dyDescent="0.2">
      <c r="A356" s="3"/>
      <c r="B356" s="43"/>
      <c r="C356" s="46" t="s">
        <v>243</v>
      </c>
      <c r="D356" s="43"/>
      <c r="E356" s="43"/>
      <c r="F356" s="39">
        <f>F354-F355</f>
        <v>-63.263336615384745</v>
      </c>
      <c r="G356" s="39">
        <f t="shared" ref="G356:O356" si="79">G354-G355</f>
        <v>63.632965864615329</v>
      </c>
      <c r="H356" s="39">
        <f t="shared" si="79"/>
        <v>110.41951928799993</v>
      </c>
      <c r="I356" s="39">
        <f t="shared" si="79"/>
        <v>161.27760799290769</v>
      </c>
      <c r="J356" s="39">
        <f t="shared" si="79"/>
        <v>190.28724131563004</v>
      </c>
      <c r="K356" s="39">
        <f t="shared" si="79"/>
        <v>199.49429523076918</v>
      </c>
      <c r="L356" s="39">
        <f t="shared" si="79"/>
        <v>199.49429523076918</v>
      </c>
      <c r="M356" s="39">
        <f t="shared" si="79"/>
        <v>199.49429523076918</v>
      </c>
      <c r="N356" s="39">
        <f t="shared" si="79"/>
        <v>199.49429523076918</v>
      </c>
      <c r="O356" s="39">
        <f t="shared" si="79"/>
        <v>199.49429523076918</v>
      </c>
      <c r="P356" s="3"/>
      <c r="Q356" s="3"/>
      <c r="R356" s="3"/>
      <c r="S356" s="3"/>
      <c r="T356" s="3"/>
      <c r="U356" s="3"/>
      <c r="V356" s="3"/>
      <c r="W356" s="3"/>
      <c r="X356" s="3"/>
      <c r="Y356" s="3"/>
      <c r="Z356" s="3"/>
    </row>
    <row r="357" spans="1:26" ht="13.5" thickBot="1" x14ac:dyDescent="0.25">
      <c r="A357" s="3"/>
      <c r="B357" s="43"/>
      <c r="C357" s="43"/>
      <c r="D357" s="43"/>
      <c r="E357" s="43"/>
      <c r="F357" s="79">
        <f>IRR(F356:O356)</f>
        <v>1.4703503768521724</v>
      </c>
      <c r="G357" s="3"/>
      <c r="H357" s="3"/>
      <c r="I357" s="3"/>
      <c r="J357" s="3"/>
      <c r="K357" s="3"/>
      <c r="L357" s="3"/>
      <c r="M357" s="3"/>
      <c r="N357" s="3"/>
      <c r="O357" s="3"/>
      <c r="P357" s="3"/>
      <c r="Q357" s="3"/>
      <c r="R357" s="3"/>
      <c r="S357" s="3"/>
      <c r="T357" s="3"/>
      <c r="U357" s="3"/>
      <c r="V357" s="3"/>
      <c r="W357" s="3"/>
      <c r="X357" s="3"/>
      <c r="Y357" s="3"/>
      <c r="Z357" s="3"/>
    </row>
    <row r="358" spans="1:26" ht="13.5" thickTop="1" x14ac:dyDescent="0.2">
      <c r="A358" s="3"/>
      <c r="B358" s="43"/>
      <c r="C358" s="86" t="s">
        <v>249</v>
      </c>
      <c r="D358" s="86"/>
      <c r="E358" s="86"/>
      <c r="F358" s="92">
        <f>NPV($F$19,G356:O356)+F356</f>
        <v>620.13987441764527</v>
      </c>
      <c r="G358" s="3"/>
      <c r="H358" s="3"/>
      <c r="I358" s="3"/>
      <c r="J358" s="3"/>
      <c r="K358" s="3"/>
      <c r="L358" s="3"/>
      <c r="M358" s="3"/>
      <c r="N358" s="3"/>
      <c r="O358" s="3"/>
      <c r="P358" s="3"/>
      <c r="Q358" s="3"/>
      <c r="R358" s="3"/>
      <c r="S358" s="3"/>
      <c r="T358" s="3"/>
      <c r="U358" s="3"/>
      <c r="V358" s="3"/>
      <c r="W358" s="3"/>
      <c r="X358" s="3"/>
      <c r="Y358" s="3"/>
      <c r="Z358" s="3"/>
    </row>
    <row r="359" spans="1:26" ht="13.5" thickBot="1" x14ac:dyDescent="0.25">
      <c r="A359" s="3"/>
      <c r="B359" s="43"/>
      <c r="C359" s="87" t="s">
        <v>390</v>
      </c>
      <c r="D359" s="87"/>
      <c r="E359" s="87"/>
      <c r="F359" s="240">
        <f>F358/$F$10*1000</f>
        <v>3936.3963083511826</v>
      </c>
      <c r="G359" s="3"/>
      <c r="H359" s="3"/>
      <c r="I359" s="3"/>
      <c r="J359" s="3"/>
      <c r="K359" s="3"/>
      <c r="L359" s="3"/>
      <c r="M359" s="3"/>
      <c r="N359" s="3"/>
      <c r="O359" s="3"/>
      <c r="P359" s="3"/>
      <c r="Q359" s="3"/>
      <c r="R359" s="3"/>
      <c r="S359" s="3"/>
      <c r="T359" s="3"/>
      <c r="U359" s="3"/>
      <c r="V359" s="3"/>
      <c r="W359" s="3"/>
      <c r="X359" s="3"/>
      <c r="Y359" s="3"/>
      <c r="Z359" s="3"/>
    </row>
    <row r="360" spans="1:26" ht="13.5" thickTop="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x14ac:dyDescent="0.2">
      <c r="A361" s="29" t="s">
        <v>705</v>
      </c>
      <c r="B361" s="2"/>
      <c r="C361" s="2"/>
      <c r="D361" s="6" t="s">
        <v>174</v>
      </c>
      <c r="E361" s="21"/>
      <c r="F361" s="51">
        <v>0</v>
      </c>
      <c r="G361" s="51">
        <v>1</v>
      </c>
      <c r="H361" s="51">
        <v>2</v>
      </c>
      <c r="I361" s="51">
        <v>3</v>
      </c>
      <c r="J361" s="51">
        <v>4</v>
      </c>
      <c r="K361" s="51">
        <v>5</v>
      </c>
      <c r="L361" s="51">
        <v>6</v>
      </c>
      <c r="M361" s="51">
        <v>7</v>
      </c>
      <c r="N361" s="51">
        <v>8</v>
      </c>
      <c r="O361" s="51">
        <v>9</v>
      </c>
      <c r="P361" s="2"/>
      <c r="Q361" s="2"/>
      <c r="R361" s="2"/>
      <c r="S361" s="2"/>
      <c r="T361" s="2"/>
      <c r="U361" s="2"/>
      <c r="V361" s="2"/>
      <c r="W361" s="2"/>
      <c r="X361" s="2"/>
      <c r="Y361" s="2"/>
      <c r="Z361" s="2"/>
    </row>
    <row r="362" spans="1:26" ht="12.75" x14ac:dyDescent="0.2">
      <c r="A362" s="3"/>
      <c r="B362" s="32" t="s">
        <v>678</v>
      </c>
      <c r="C362" s="33"/>
      <c r="D362" s="33"/>
      <c r="E362" s="33"/>
      <c r="F362" s="33"/>
      <c r="G362" s="33"/>
      <c r="H362" s="33"/>
      <c r="I362" s="33"/>
      <c r="J362" s="33"/>
      <c r="K362" s="33"/>
      <c r="L362" s="33"/>
      <c r="M362" s="33"/>
      <c r="N362" s="33"/>
      <c r="O362" s="33"/>
      <c r="P362" s="3"/>
      <c r="Q362" s="3"/>
      <c r="R362" s="3"/>
      <c r="S362" s="3"/>
      <c r="T362" s="3"/>
      <c r="U362" s="3"/>
      <c r="V362" s="3"/>
      <c r="W362" s="3"/>
      <c r="X362" s="3"/>
      <c r="Y362" s="3"/>
      <c r="Z362" s="3"/>
    </row>
    <row r="363" spans="1:26" ht="12.75" x14ac:dyDescent="0.2">
      <c r="A363" s="3"/>
      <c r="C363" s="64" t="s">
        <v>671</v>
      </c>
      <c r="D363" s="33"/>
      <c r="E363" s="33"/>
      <c r="F363" s="33"/>
      <c r="G363" s="33"/>
      <c r="H363" s="33"/>
      <c r="I363" s="33"/>
      <c r="J363" s="33"/>
      <c r="K363" s="33"/>
      <c r="L363" s="33"/>
      <c r="M363" s="33"/>
      <c r="N363" s="33"/>
      <c r="O363" s="33"/>
      <c r="P363" s="3"/>
      <c r="Q363" s="3"/>
      <c r="R363" s="3"/>
      <c r="S363" s="3"/>
      <c r="T363" s="3"/>
      <c r="U363" s="3"/>
      <c r="V363" s="3"/>
      <c r="W363" s="3"/>
      <c r="X363" s="3"/>
      <c r="Y363" s="3"/>
      <c r="Z363" s="3"/>
    </row>
    <row r="364" spans="1:26" ht="12.75" x14ac:dyDescent="0.2">
      <c r="A364" s="3"/>
      <c r="B364" s="64"/>
      <c r="C364" s="34" t="s">
        <v>478</v>
      </c>
      <c r="D364" s="33"/>
      <c r="E364" s="279" t="s">
        <v>666</v>
      </c>
      <c r="F364" s="33"/>
      <c r="G364" s="33"/>
      <c r="H364" s="33"/>
      <c r="I364" s="33"/>
      <c r="J364" s="33"/>
      <c r="K364" s="33"/>
      <c r="L364" s="33"/>
      <c r="M364" s="33"/>
      <c r="N364" s="33"/>
      <c r="O364" s="33"/>
      <c r="P364" s="3"/>
      <c r="Q364" s="3"/>
      <c r="R364" s="3"/>
      <c r="S364" s="3"/>
      <c r="T364" s="3"/>
      <c r="U364" s="3"/>
      <c r="V364" s="3"/>
      <c r="W364" s="3"/>
      <c r="X364" s="3"/>
      <c r="Y364" s="3"/>
      <c r="Z364" s="3"/>
    </row>
    <row r="365" spans="1:26" ht="12.75" x14ac:dyDescent="0.2">
      <c r="A365" s="3"/>
      <c r="B365" s="33"/>
      <c r="C365" s="9" t="s">
        <v>472</v>
      </c>
      <c r="D365" s="33"/>
      <c r="E365" s="299">
        <f>CFs!$C$173</f>
        <v>1.0951756336981811</v>
      </c>
      <c r="F365" s="39">
        <f>$E365*F245</f>
        <v>220.78740775355334</v>
      </c>
      <c r="G365" s="39">
        <f>$E365*G245</f>
        <v>220.78740775355334</v>
      </c>
      <c r="H365" s="39">
        <f>$E365*H245</f>
        <v>220.78740775355334</v>
      </c>
      <c r="I365" s="39">
        <f>$E365*I245</f>
        <v>220.78740775355334</v>
      </c>
      <c r="J365" s="39">
        <f>$E365*J245</f>
        <v>220.78740775355337</v>
      </c>
      <c r="K365" s="39">
        <f>$E365*K245</f>
        <v>220.78740775355334</v>
      </c>
      <c r="L365" s="39">
        <f>$E365*L245</f>
        <v>220.78740775355334</v>
      </c>
      <c r="M365" s="39">
        <f>$E365*M245</f>
        <v>220.78740775355334</v>
      </c>
      <c r="N365" s="39">
        <f>$E365*N245</f>
        <v>220.78740775355334</v>
      </c>
      <c r="O365" s="39">
        <f>$E365*O245</f>
        <v>220.78740775355334</v>
      </c>
      <c r="P365" s="3"/>
      <c r="Q365" s="3"/>
      <c r="R365" s="3"/>
      <c r="S365" s="3"/>
      <c r="T365" s="3"/>
      <c r="U365" s="3"/>
      <c r="V365" s="3"/>
      <c r="W365" s="3"/>
      <c r="X365" s="3"/>
      <c r="Y365" s="3"/>
      <c r="Z365" s="3"/>
    </row>
    <row r="366" spans="1:26" ht="12.75" x14ac:dyDescent="0.2">
      <c r="A366" s="3"/>
      <c r="B366" s="33"/>
      <c r="C366" s="27" t="s">
        <v>231</v>
      </c>
      <c r="D366" s="33"/>
      <c r="E366" s="299">
        <f>CFs!$C$173</f>
        <v>1.0951756336981811</v>
      </c>
      <c r="F366" s="39">
        <f>$E366*F246</f>
        <v>109.42677330978455</v>
      </c>
      <c r="G366" s="39">
        <f>$E366*G246</f>
        <v>109.42677330978455</v>
      </c>
      <c r="H366" s="39">
        <f>$E366*H246</f>
        <v>109.42677330978455</v>
      </c>
      <c r="I366" s="39">
        <f>$E366*I246</f>
        <v>109.42677330978455</v>
      </c>
      <c r="J366" s="39">
        <f>$E366*J246</f>
        <v>109.42677330978455</v>
      </c>
      <c r="K366" s="39">
        <f>$E366*K246</f>
        <v>109.42677330978454</v>
      </c>
      <c r="L366" s="39">
        <f>$E366*L246</f>
        <v>109.42677330978455</v>
      </c>
      <c r="M366" s="39">
        <f>$E366*M246</f>
        <v>109.42677330978455</v>
      </c>
      <c r="N366" s="39">
        <f>$E366*N246</f>
        <v>109.42677330978455</v>
      </c>
      <c r="O366" s="39">
        <f>$E366*O246</f>
        <v>109.42677330978455</v>
      </c>
      <c r="P366" s="3"/>
      <c r="Q366" s="3"/>
      <c r="R366" s="3"/>
      <c r="S366" s="3"/>
      <c r="T366" s="3"/>
      <c r="U366" s="3"/>
      <c r="V366" s="3"/>
      <c r="W366" s="3"/>
      <c r="X366" s="3"/>
      <c r="Y366" s="3"/>
      <c r="Z366" s="3"/>
    </row>
    <row r="367" spans="1:26" ht="12.75" x14ac:dyDescent="0.2">
      <c r="A367" s="3"/>
      <c r="B367" s="33"/>
      <c r="C367" s="27" t="s">
        <v>603</v>
      </c>
      <c r="D367" s="33"/>
      <c r="E367" s="301">
        <v>1</v>
      </c>
      <c r="F367" s="39"/>
      <c r="G367" s="39"/>
      <c r="H367" s="39"/>
      <c r="I367" s="39"/>
      <c r="J367" s="39"/>
      <c r="K367" s="39"/>
      <c r="L367" s="39"/>
      <c r="M367" s="39"/>
      <c r="N367" s="39"/>
      <c r="O367" s="39">
        <f>$E367*O247</f>
        <v>33.33</v>
      </c>
      <c r="P367" s="3"/>
      <c r="Q367" s="3"/>
      <c r="R367" s="3"/>
      <c r="S367" s="3"/>
      <c r="T367" s="3"/>
      <c r="U367" s="3"/>
      <c r="V367" s="3"/>
      <c r="W367" s="3"/>
      <c r="X367" s="3"/>
      <c r="Y367" s="3"/>
      <c r="Z367" s="3"/>
    </row>
    <row r="368" spans="1:26" ht="12.75" x14ac:dyDescent="0.2">
      <c r="A368" s="3"/>
      <c r="B368" s="33"/>
      <c r="C368" s="27" t="s">
        <v>618</v>
      </c>
      <c r="D368" s="33"/>
      <c r="E368" s="301">
        <v>1</v>
      </c>
      <c r="F368" s="39"/>
      <c r="G368" s="39"/>
      <c r="H368" s="39"/>
      <c r="I368" s="39"/>
      <c r="J368" s="39"/>
      <c r="K368" s="39"/>
      <c r="L368" s="39"/>
      <c r="M368" s="39"/>
      <c r="N368" s="39"/>
      <c r="O368" s="39">
        <f>$E368*O248</f>
        <v>10.897500000000001</v>
      </c>
      <c r="P368" s="3"/>
      <c r="Q368" s="3"/>
      <c r="R368" s="3"/>
      <c r="S368" s="3"/>
      <c r="T368" s="3"/>
      <c r="U368" s="3"/>
      <c r="V368" s="3"/>
      <c r="W368" s="3"/>
      <c r="X368" s="3"/>
      <c r="Y368" s="3"/>
      <c r="Z368" s="3"/>
    </row>
    <row r="369" spans="1:26" ht="12.75" x14ac:dyDescent="0.2">
      <c r="A369" s="3"/>
      <c r="B369" s="33"/>
      <c r="C369" s="36" t="s">
        <v>479</v>
      </c>
      <c r="D369" s="36"/>
      <c r="E369" s="36"/>
      <c r="F369" s="59">
        <f>F365-F366+F367+F368</f>
        <v>111.36063444376879</v>
      </c>
      <c r="G369" s="59">
        <f t="shared" ref="G369:N369" si="80">G365-G366+G367+G368</f>
        <v>111.36063444376879</v>
      </c>
      <c r="H369" s="59">
        <f t="shared" si="80"/>
        <v>111.36063444376879</v>
      </c>
      <c r="I369" s="59">
        <f t="shared" si="80"/>
        <v>111.36063444376879</v>
      </c>
      <c r="J369" s="59">
        <f t="shared" si="80"/>
        <v>111.36063444376882</v>
      </c>
      <c r="K369" s="59">
        <f t="shared" si="80"/>
        <v>111.3606344437688</v>
      </c>
      <c r="L369" s="59">
        <f t="shared" si="80"/>
        <v>111.36063444376879</v>
      </c>
      <c r="M369" s="59">
        <f t="shared" si="80"/>
        <v>111.36063444376879</v>
      </c>
      <c r="N369" s="59">
        <f t="shared" si="80"/>
        <v>111.36063444376879</v>
      </c>
      <c r="O369" s="59">
        <f>O365-O366+O367+O368</f>
        <v>155.58813444376878</v>
      </c>
      <c r="P369" s="3"/>
      <c r="Q369" s="3"/>
      <c r="R369" s="3"/>
      <c r="S369" s="3"/>
      <c r="T369" s="3"/>
      <c r="U369" s="3"/>
      <c r="V369" s="3"/>
      <c r="W369" s="3"/>
      <c r="X369" s="3"/>
      <c r="Y369" s="3"/>
      <c r="Z369" s="3"/>
    </row>
    <row r="370" spans="1:26" ht="12.75" x14ac:dyDescent="0.2">
      <c r="A370" s="3"/>
      <c r="B370" s="33"/>
      <c r="C370" s="27"/>
      <c r="D370" s="33"/>
      <c r="E370" s="33"/>
      <c r="F370" s="37"/>
      <c r="G370" s="37"/>
      <c r="H370" s="37"/>
      <c r="I370" s="37"/>
      <c r="J370" s="37"/>
      <c r="K370" s="37"/>
      <c r="L370" s="37"/>
      <c r="M370" s="37"/>
      <c r="N370" s="37"/>
      <c r="O370" s="37"/>
      <c r="P370" s="3"/>
      <c r="Q370" s="3"/>
      <c r="R370" s="3"/>
      <c r="S370" s="3"/>
      <c r="T370" s="3"/>
      <c r="U370" s="3"/>
      <c r="V370" s="3"/>
      <c r="W370" s="3"/>
      <c r="X370" s="3"/>
      <c r="Y370" s="3"/>
      <c r="Z370" s="3"/>
    </row>
    <row r="371" spans="1:26" ht="12.75" x14ac:dyDescent="0.2">
      <c r="A371" s="3"/>
      <c r="B371" s="33"/>
      <c r="C371" s="66" t="s">
        <v>675</v>
      </c>
      <c r="D371" s="66"/>
      <c r="E371" s="66"/>
      <c r="F371" s="67">
        <f>F369</f>
        <v>111.36063444376879</v>
      </c>
      <c r="G371" s="67">
        <f t="shared" ref="G371:O371" si="81">G369</f>
        <v>111.36063444376879</v>
      </c>
      <c r="H371" s="67">
        <f t="shared" si="81"/>
        <v>111.36063444376879</v>
      </c>
      <c r="I371" s="67">
        <f t="shared" si="81"/>
        <v>111.36063444376879</v>
      </c>
      <c r="J371" s="67">
        <f t="shared" si="81"/>
        <v>111.36063444376882</v>
      </c>
      <c r="K371" s="67">
        <f t="shared" si="81"/>
        <v>111.3606344437688</v>
      </c>
      <c r="L371" s="67">
        <f t="shared" si="81"/>
        <v>111.36063444376879</v>
      </c>
      <c r="M371" s="67">
        <f t="shared" si="81"/>
        <v>111.36063444376879</v>
      </c>
      <c r="N371" s="67">
        <f t="shared" si="81"/>
        <v>111.36063444376879</v>
      </c>
      <c r="O371" s="67">
        <f t="shared" si="81"/>
        <v>155.58813444376878</v>
      </c>
      <c r="P371" s="3"/>
      <c r="Q371" s="3"/>
      <c r="R371" s="3"/>
      <c r="S371" s="3"/>
      <c r="T371" s="3"/>
      <c r="U371" s="3"/>
      <c r="V371" s="3"/>
      <c r="W371" s="3"/>
      <c r="X371" s="3"/>
      <c r="Y371" s="3"/>
      <c r="Z371" s="3"/>
    </row>
    <row r="372" spans="1:26" ht="12.75" x14ac:dyDescent="0.2">
      <c r="A372" s="3"/>
      <c r="B372" s="33"/>
      <c r="C372" s="33"/>
      <c r="D372" s="33"/>
      <c r="E372" s="33"/>
      <c r="F372" s="33"/>
      <c r="G372" s="33"/>
      <c r="H372" s="33"/>
      <c r="I372" s="33"/>
      <c r="J372" s="33"/>
      <c r="K372" s="33"/>
      <c r="L372" s="33"/>
      <c r="M372" s="33"/>
      <c r="N372" s="33"/>
      <c r="O372" s="33"/>
      <c r="P372" s="3"/>
      <c r="Q372" s="3"/>
      <c r="R372" s="3"/>
      <c r="S372" s="3"/>
      <c r="T372" s="3"/>
      <c r="U372" s="3"/>
      <c r="V372" s="3"/>
      <c r="W372" s="3"/>
      <c r="X372" s="3"/>
      <c r="Y372" s="3"/>
      <c r="Z372" s="3"/>
    </row>
    <row r="373" spans="1:26" ht="12.75" x14ac:dyDescent="0.2">
      <c r="A373" s="3"/>
      <c r="C373" s="64" t="s">
        <v>670</v>
      </c>
      <c r="D373" s="33"/>
      <c r="E373" s="33"/>
      <c r="F373" s="33"/>
      <c r="G373" s="33"/>
      <c r="H373" s="33"/>
      <c r="I373" s="33"/>
      <c r="J373" s="33"/>
      <c r="K373" s="33"/>
      <c r="L373" s="33"/>
      <c r="M373" s="33"/>
      <c r="N373" s="33"/>
      <c r="O373" s="33"/>
      <c r="P373" s="3"/>
      <c r="Q373" s="3"/>
      <c r="R373" s="3"/>
      <c r="S373" s="3"/>
      <c r="T373" s="3"/>
      <c r="U373" s="3"/>
      <c r="V373" s="3"/>
      <c r="W373" s="3"/>
      <c r="X373" s="3"/>
      <c r="Y373" s="3"/>
      <c r="Z373" s="3"/>
    </row>
    <row r="374" spans="1:26" ht="12.75" x14ac:dyDescent="0.2">
      <c r="A374" s="3"/>
      <c r="B374" s="33"/>
      <c r="C374" s="34" t="s">
        <v>218</v>
      </c>
      <c r="D374" s="33"/>
      <c r="E374" s="33"/>
      <c r="F374" s="33"/>
      <c r="G374" s="33"/>
      <c r="H374" s="33"/>
      <c r="I374" s="33"/>
      <c r="J374" s="33"/>
      <c r="K374" s="33"/>
      <c r="L374" s="33"/>
      <c r="M374" s="33"/>
      <c r="N374" s="33"/>
      <c r="O374" s="33"/>
      <c r="P374" s="3"/>
      <c r="Q374" s="3"/>
      <c r="R374" s="3"/>
      <c r="S374" s="3"/>
      <c r="T374" s="3"/>
      <c r="U374" s="3"/>
      <c r="V374" s="3"/>
      <c r="W374" s="3"/>
      <c r="X374" s="3"/>
      <c r="Y374" s="3"/>
      <c r="Z374" s="3"/>
    </row>
    <row r="375" spans="1:26" ht="12.75" x14ac:dyDescent="0.2">
      <c r="A375" s="3"/>
      <c r="B375" s="33"/>
      <c r="C375" s="94" t="s">
        <v>272</v>
      </c>
      <c r="D375" s="33"/>
      <c r="E375" s="301">
        <v>1</v>
      </c>
      <c r="F375" s="39">
        <f>$E375*F264</f>
        <v>1.59</v>
      </c>
      <c r="G375" s="39">
        <f>$E375*G264</f>
        <v>1.5899999999999999</v>
      </c>
      <c r="H375" s="39">
        <f>$E375*H264</f>
        <v>1.5899999999999999</v>
      </c>
      <c r="I375" s="39">
        <f>$E375*I264</f>
        <v>1.5899999999999999</v>
      </c>
      <c r="J375" s="39">
        <f>$E375*J264</f>
        <v>1.5899999999999999</v>
      </c>
      <c r="K375" s="39">
        <f>$E375*K264</f>
        <v>1.59</v>
      </c>
      <c r="L375" s="39">
        <f>$E375*L264</f>
        <v>1.59</v>
      </c>
      <c r="M375" s="39">
        <f>$E375*M264</f>
        <v>1.59</v>
      </c>
      <c r="N375" s="39">
        <f>$E375*N264</f>
        <v>1.59</v>
      </c>
      <c r="O375" s="39">
        <f>$E375*O264</f>
        <v>1.59</v>
      </c>
      <c r="P375" s="3"/>
      <c r="Q375" s="3"/>
      <c r="R375" s="3"/>
      <c r="S375" s="3"/>
      <c r="T375" s="3"/>
      <c r="U375" s="3"/>
      <c r="V375" s="3"/>
      <c r="W375" s="3"/>
      <c r="X375" s="3"/>
      <c r="Y375" s="3"/>
      <c r="Z375" s="3"/>
    </row>
    <row r="376" spans="1:26" ht="12.75" x14ac:dyDescent="0.2">
      <c r="A376" s="3"/>
      <c r="B376" s="33"/>
      <c r="C376" s="115" t="s">
        <v>273</v>
      </c>
      <c r="D376" s="33"/>
      <c r="E376" s="301">
        <v>1</v>
      </c>
      <c r="F376" s="39">
        <f>$E376*F265</f>
        <v>3.3201000000000005</v>
      </c>
      <c r="G376" s="39">
        <f>$E376*G265</f>
        <v>3.3201000000000001</v>
      </c>
      <c r="H376" s="39">
        <f>$E376*H265</f>
        <v>3.3201000000000005</v>
      </c>
      <c r="I376" s="39">
        <f>$E376*I265</f>
        <v>3.3201000000000001</v>
      </c>
      <c r="J376" s="39">
        <f>$E376*J265</f>
        <v>3.3201000000000001</v>
      </c>
      <c r="K376" s="39">
        <f>$E376*K265</f>
        <v>3.3201000000000005</v>
      </c>
      <c r="L376" s="39">
        <f>$E376*L265</f>
        <v>3.3201000000000005</v>
      </c>
      <c r="M376" s="39">
        <f>$E376*M265</f>
        <v>3.3201000000000005</v>
      </c>
      <c r="N376" s="39">
        <f>$E376*N265</f>
        <v>3.3201000000000005</v>
      </c>
      <c r="O376" s="39">
        <f>$E376*O265</f>
        <v>3.3201000000000005</v>
      </c>
      <c r="P376" s="3"/>
      <c r="Q376" s="3"/>
      <c r="R376" s="3"/>
      <c r="S376" s="3"/>
      <c r="T376" s="3"/>
      <c r="U376" s="3"/>
      <c r="V376" s="3"/>
      <c r="W376" s="3"/>
      <c r="X376" s="3"/>
      <c r="Y376" s="3"/>
      <c r="Z376" s="3"/>
    </row>
    <row r="377" spans="1:26" ht="12.75" x14ac:dyDescent="0.2">
      <c r="A377" s="3"/>
      <c r="B377" s="33"/>
      <c r="C377" s="84" t="s">
        <v>323</v>
      </c>
      <c r="D377" s="33"/>
      <c r="E377" s="301">
        <v>1</v>
      </c>
      <c r="F377" s="39">
        <f>$E377*F266</f>
        <v>5.6573999999999991</v>
      </c>
      <c r="G377" s="39">
        <f>$E377*G266</f>
        <v>5.6573999999999991</v>
      </c>
      <c r="H377" s="39">
        <f>$E377*H266</f>
        <v>5.6573999999999991</v>
      </c>
      <c r="I377" s="39">
        <f>$E377*I266</f>
        <v>5.6573999999999982</v>
      </c>
      <c r="J377" s="39">
        <f>$E377*J266</f>
        <v>5.6573999999999991</v>
      </c>
      <c r="K377" s="39">
        <f>$E377*K266</f>
        <v>5.6573999999999991</v>
      </c>
      <c r="L377" s="39">
        <f>$E377*L266</f>
        <v>5.6573999999999982</v>
      </c>
      <c r="M377" s="39">
        <f>$E377*M266</f>
        <v>5.6573999999999991</v>
      </c>
      <c r="N377" s="39">
        <f>$E377*N266</f>
        <v>5.6573999999999991</v>
      </c>
      <c r="O377" s="39">
        <f>$E377*O266</f>
        <v>5.6573999999999982</v>
      </c>
      <c r="P377" s="3"/>
      <c r="Q377" s="3"/>
      <c r="R377" s="3"/>
      <c r="S377" s="3"/>
      <c r="T377" s="3"/>
      <c r="U377" s="3"/>
      <c r="V377" s="3"/>
      <c r="W377" s="3"/>
      <c r="X377" s="3"/>
      <c r="Y377" s="3"/>
      <c r="Z377" s="3"/>
    </row>
    <row r="378" spans="1:26" ht="12.75" x14ac:dyDescent="0.2">
      <c r="A378" s="3"/>
      <c r="B378" s="33"/>
      <c r="C378" s="84" t="s">
        <v>492</v>
      </c>
      <c r="D378" s="33"/>
      <c r="E378" s="301">
        <v>1</v>
      </c>
      <c r="F378" s="39">
        <f>$E378*F267</f>
        <v>8.5175999999999998</v>
      </c>
      <c r="G378" s="39">
        <f>$E378*G267</f>
        <v>8.5175999999999998</v>
      </c>
      <c r="H378" s="39">
        <f>$E378*H267</f>
        <v>8.5175999999999998</v>
      </c>
      <c r="I378" s="39">
        <f>$E378*I267</f>
        <v>8.5175999999999998</v>
      </c>
      <c r="J378" s="39">
        <f>$E378*J267</f>
        <v>8.5175999999999998</v>
      </c>
      <c r="K378" s="39">
        <f>$E378*K267</f>
        <v>8.5176000000000016</v>
      </c>
      <c r="L378" s="39">
        <f>$E378*L267</f>
        <v>8.5176000000000016</v>
      </c>
      <c r="M378" s="39">
        <f>$E378*M267</f>
        <v>8.5175999999999998</v>
      </c>
      <c r="N378" s="39">
        <f>$E378*N267</f>
        <v>8.5176000000000016</v>
      </c>
      <c r="O378" s="39">
        <f>$E378*O267</f>
        <v>8.5176000000000016</v>
      </c>
      <c r="P378" s="3"/>
      <c r="Q378" s="3"/>
      <c r="R378" s="3"/>
      <c r="S378" s="3"/>
      <c r="T378" s="3"/>
      <c r="U378" s="3"/>
      <c r="V378" s="3"/>
      <c r="W378" s="3"/>
      <c r="X378" s="3"/>
      <c r="Y378" s="3"/>
      <c r="Z378" s="3"/>
    </row>
    <row r="379" spans="1:26" ht="12.75" x14ac:dyDescent="0.2">
      <c r="A379" s="3"/>
      <c r="B379" s="35"/>
      <c r="C379" s="115" t="s">
        <v>290</v>
      </c>
      <c r="D379" s="35"/>
      <c r="E379" s="301">
        <v>1</v>
      </c>
      <c r="F379" s="39">
        <f>$E379*F268</f>
        <v>32.868449999999996</v>
      </c>
      <c r="G379" s="39">
        <f>$E379*G268</f>
        <v>32.868449999999996</v>
      </c>
      <c r="H379" s="39">
        <f>$E379*H268</f>
        <v>32.868449999999996</v>
      </c>
      <c r="I379" s="39">
        <f>$E379*I268</f>
        <v>32.868449999999996</v>
      </c>
      <c r="J379" s="39">
        <f>$E379*J268</f>
        <v>32.868449999999996</v>
      </c>
      <c r="K379" s="39">
        <f>$E379*K268</f>
        <v>32.868450000000003</v>
      </c>
      <c r="L379" s="39">
        <f>$E379*L268</f>
        <v>32.868449999999996</v>
      </c>
      <c r="M379" s="39">
        <f>$E379*M268</f>
        <v>32.868449999999996</v>
      </c>
      <c r="N379" s="39">
        <f>$E379*N268</f>
        <v>32.868449999999996</v>
      </c>
      <c r="O379" s="39">
        <f>$E379*O268</f>
        <v>32.868449999999996</v>
      </c>
      <c r="P379" s="3"/>
      <c r="Q379" s="3"/>
      <c r="R379" s="3"/>
      <c r="S379" s="3"/>
      <c r="T379" s="3"/>
      <c r="U379" s="3"/>
      <c r="V379" s="3"/>
      <c r="W379" s="3"/>
      <c r="X379" s="3"/>
      <c r="Y379" s="3"/>
      <c r="Z379" s="3"/>
    </row>
    <row r="380" spans="1:26" ht="12.75" x14ac:dyDescent="0.2">
      <c r="A380" s="3"/>
      <c r="B380" s="33"/>
      <c r="C380" s="94" t="s">
        <v>278</v>
      </c>
      <c r="D380" s="33"/>
      <c r="E380" s="301">
        <v>1</v>
      </c>
      <c r="F380" s="39">
        <f>$E380*F269</f>
        <v>12.089100000000002</v>
      </c>
      <c r="G380" s="39">
        <f>$E380*G269</f>
        <v>12.089100000000002</v>
      </c>
      <c r="H380" s="39">
        <f>$E380*H269</f>
        <v>12.089100000000004</v>
      </c>
      <c r="I380" s="39">
        <f>$E380*I269</f>
        <v>12.089100000000002</v>
      </c>
      <c r="J380" s="39">
        <f>$E380*J269</f>
        <v>12.089100000000002</v>
      </c>
      <c r="K380" s="39">
        <f>$E380*K269</f>
        <v>12.089100000000004</v>
      </c>
      <c r="L380" s="39">
        <f>$E380*L269</f>
        <v>12.089100000000004</v>
      </c>
      <c r="M380" s="39">
        <f>$E380*M269</f>
        <v>12.089100000000002</v>
      </c>
      <c r="N380" s="39">
        <f>$E380*N269</f>
        <v>12.089100000000002</v>
      </c>
      <c r="O380" s="39">
        <f>$E380*O269</f>
        <v>12.089100000000002</v>
      </c>
      <c r="P380" s="3"/>
      <c r="Q380" s="3"/>
      <c r="R380" s="3"/>
      <c r="S380" s="3"/>
      <c r="T380" s="3"/>
      <c r="U380" s="3"/>
      <c r="V380" s="3"/>
      <c r="W380" s="3"/>
      <c r="X380" s="3"/>
      <c r="Y380" s="3"/>
      <c r="Z380" s="3"/>
    </row>
    <row r="381" spans="1:26" ht="12.75" x14ac:dyDescent="0.2">
      <c r="A381" s="3"/>
      <c r="B381" s="33"/>
      <c r="C381" s="9" t="s">
        <v>85</v>
      </c>
      <c r="D381" s="33"/>
      <c r="E381" s="301">
        <v>1</v>
      </c>
      <c r="F381" s="39">
        <f>$E381*F270</f>
        <v>0</v>
      </c>
      <c r="G381" s="39">
        <f>$E381*G270</f>
        <v>0</v>
      </c>
      <c r="H381" s="39">
        <f>$E381*H270</f>
        <v>0</v>
      </c>
      <c r="I381" s="39">
        <f>$E381*I270</f>
        <v>0</v>
      </c>
      <c r="J381" s="39">
        <f>$E381*J270</f>
        <v>0</v>
      </c>
      <c r="K381" s="39">
        <f>$E381*K270</f>
        <v>0</v>
      </c>
      <c r="L381" s="39">
        <f>$E381*L270</f>
        <v>0</v>
      </c>
      <c r="M381" s="39">
        <f>$E381*M270</f>
        <v>0</v>
      </c>
      <c r="N381" s="39">
        <f>$E381*N270</f>
        <v>0</v>
      </c>
      <c r="O381" s="39">
        <f>$E381*O270</f>
        <v>0</v>
      </c>
      <c r="P381" s="3"/>
      <c r="Q381" s="3"/>
      <c r="R381" s="3"/>
      <c r="S381" s="3"/>
      <c r="T381" s="3"/>
      <c r="U381" s="3"/>
      <c r="V381" s="3"/>
      <c r="W381" s="3"/>
      <c r="X381" s="3"/>
      <c r="Y381" s="3"/>
      <c r="Z381" s="3"/>
    </row>
    <row r="382" spans="1:26" ht="12.75" x14ac:dyDescent="0.2">
      <c r="A382" s="3"/>
      <c r="B382" s="33"/>
      <c r="C382" s="36" t="s">
        <v>207</v>
      </c>
      <c r="D382" s="36"/>
      <c r="E382" s="36"/>
      <c r="F382" s="59">
        <f>SUM(F375:F381)</f>
        <v>64.042649999999995</v>
      </c>
      <c r="G382" s="59">
        <f t="shared" ref="G382:O382" si="82">SUM(G375:G381)</f>
        <v>64.042649999999995</v>
      </c>
      <c r="H382" s="59">
        <f t="shared" si="82"/>
        <v>64.042649999999995</v>
      </c>
      <c r="I382" s="59">
        <f t="shared" si="82"/>
        <v>64.042649999999995</v>
      </c>
      <c r="J382" s="59">
        <f t="shared" si="82"/>
        <v>64.042649999999995</v>
      </c>
      <c r="K382" s="59">
        <f t="shared" si="82"/>
        <v>64.042650000000009</v>
      </c>
      <c r="L382" s="59">
        <f t="shared" si="82"/>
        <v>64.042649999999995</v>
      </c>
      <c r="M382" s="59">
        <f t="shared" si="82"/>
        <v>64.042649999999995</v>
      </c>
      <c r="N382" s="59">
        <f t="shared" si="82"/>
        <v>64.042649999999995</v>
      </c>
      <c r="O382" s="59">
        <f t="shared" si="82"/>
        <v>64.042649999999995</v>
      </c>
      <c r="P382" s="3"/>
      <c r="Q382" s="3"/>
      <c r="R382" s="3"/>
      <c r="S382" s="3"/>
      <c r="T382" s="3"/>
      <c r="U382" s="3"/>
      <c r="V382" s="3"/>
      <c r="W382" s="3"/>
      <c r="X382" s="3"/>
      <c r="Y382" s="3"/>
      <c r="Z382" s="3"/>
    </row>
    <row r="383" spans="1:26" ht="12.75" x14ac:dyDescent="0.2">
      <c r="A383" s="3"/>
      <c r="B383" s="33"/>
      <c r="C383" s="33"/>
      <c r="D383" s="33"/>
      <c r="E383" s="33"/>
      <c r="F383" s="41"/>
      <c r="G383" s="33"/>
      <c r="H383" s="33"/>
      <c r="I383" s="33"/>
      <c r="J383" s="33"/>
      <c r="K383" s="33"/>
      <c r="L383" s="33"/>
      <c r="M383" s="33"/>
      <c r="N383" s="33"/>
      <c r="O383" s="33"/>
      <c r="P383" s="3"/>
      <c r="Q383" s="3"/>
      <c r="R383" s="3"/>
      <c r="S383" s="3"/>
      <c r="T383" s="3"/>
      <c r="U383" s="3"/>
      <c r="V383" s="3"/>
      <c r="W383" s="3"/>
      <c r="X383" s="3"/>
      <c r="Y383" s="3"/>
      <c r="Z383" s="3"/>
    </row>
    <row r="384" spans="1:26" ht="12.75" x14ac:dyDescent="0.2">
      <c r="A384" s="3"/>
      <c r="B384" s="33"/>
      <c r="C384" s="34" t="s">
        <v>215</v>
      </c>
      <c r="D384" s="33"/>
      <c r="E384" s="33"/>
      <c r="F384" s="41"/>
      <c r="G384" s="41"/>
      <c r="H384" s="41"/>
      <c r="I384" s="41"/>
      <c r="J384" s="41"/>
      <c r="K384" s="41"/>
      <c r="L384" s="41"/>
      <c r="M384" s="41"/>
      <c r="N384" s="41"/>
      <c r="O384" s="41"/>
      <c r="P384" s="3"/>
      <c r="Q384" s="3"/>
      <c r="R384" s="3"/>
      <c r="S384" s="3"/>
      <c r="T384" s="3"/>
      <c r="U384" s="3"/>
      <c r="V384" s="3"/>
      <c r="W384" s="3"/>
      <c r="X384" s="3"/>
      <c r="Y384" s="3"/>
      <c r="Z384" s="3"/>
    </row>
    <row r="385" spans="1:26" ht="12.75" x14ac:dyDescent="0.2">
      <c r="A385" s="3"/>
      <c r="B385" s="33"/>
      <c r="C385" s="393" t="s">
        <v>893</v>
      </c>
      <c r="D385" s="33"/>
      <c r="E385" s="301">
        <v>1</v>
      </c>
      <c r="F385" s="39">
        <f>$E385*F274</f>
        <v>10.897500000000001</v>
      </c>
      <c r="G385" s="39">
        <f>$E385*G274</f>
        <v>0</v>
      </c>
      <c r="H385" s="39">
        <f>$E385*H274</f>
        <v>0</v>
      </c>
      <c r="I385" s="39">
        <f>$E385*I274</f>
        <v>0</v>
      </c>
      <c r="J385" s="39">
        <f>$E385*J274</f>
        <v>0</v>
      </c>
      <c r="K385" s="39">
        <f>$E385*K274</f>
        <v>0</v>
      </c>
      <c r="L385" s="39">
        <f>$E385*L274</f>
        <v>0</v>
      </c>
      <c r="M385" s="39">
        <f>$E385*M274</f>
        <v>0</v>
      </c>
      <c r="N385" s="39">
        <f>$E385*N274</f>
        <v>0</v>
      </c>
      <c r="O385" s="39">
        <f>$E385*O274</f>
        <v>0</v>
      </c>
      <c r="P385" s="3"/>
      <c r="Q385" s="3"/>
      <c r="R385" s="3"/>
      <c r="S385" s="3"/>
      <c r="T385" s="3"/>
      <c r="U385" s="3"/>
      <c r="V385" s="3"/>
      <c r="W385" s="3"/>
      <c r="X385" s="3"/>
      <c r="Y385" s="3"/>
      <c r="Z385" s="3"/>
    </row>
    <row r="386" spans="1:26" ht="12.75" x14ac:dyDescent="0.2">
      <c r="A386" s="3"/>
      <c r="B386" s="33"/>
      <c r="C386" s="27" t="s">
        <v>283</v>
      </c>
      <c r="D386" s="33"/>
      <c r="E386" s="301">
        <v>1</v>
      </c>
      <c r="F386" s="39">
        <f>$E386*F275</f>
        <v>5.7781730769230775</v>
      </c>
      <c r="G386" s="39">
        <f>$E386*G275</f>
        <v>5.7781730769230775</v>
      </c>
      <c r="H386" s="39">
        <f>$E386*H275</f>
        <v>5.7781730769230775</v>
      </c>
      <c r="I386" s="39">
        <f>$E386*I275</f>
        <v>5.7781730769230775</v>
      </c>
      <c r="J386" s="39">
        <f>$E386*J275</f>
        <v>5.7781730769230775</v>
      </c>
      <c r="K386" s="39">
        <f>$E386*K275</f>
        <v>5.7781730769230775</v>
      </c>
      <c r="L386" s="39">
        <f>$E386*L275</f>
        <v>5.7781730769230775</v>
      </c>
      <c r="M386" s="39">
        <f>$E386*M275</f>
        <v>5.7781730769230775</v>
      </c>
      <c r="N386" s="39">
        <f>$E386*N275</f>
        <v>5.7781730769230775</v>
      </c>
      <c r="O386" s="39">
        <f>$E386*O275</f>
        <v>5.7781730769230775</v>
      </c>
      <c r="P386" s="3"/>
      <c r="Q386" s="3"/>
      <c r="R386" s="3"/>
      <c r="S386" s="3"/>
      <c r="T386" s="3"/>
      <c r="U386" s="3"/>
      <c r="V386" s="3"/>
      <c r="W386" s="3"/>
      <c r="X386" s="3"/>
      <c r="Y386" s="3"/>
      <c r="Z386" s="3"/>
    </row>
    <row r="387" spans="1:26" ht="12.75" x14ac:dyDescent="0.2">
      <c r="A387" s="3"/>
      <c r="B387" s="33"/>
      <c r="C387" s="27" t="s">
        <v>614</v>
      </c>
      <c r="D387" s="33"/>
      <c r="E387" s="301">
        <v>1</v>
      </c>
      <c r="F387" s="39">
        <f>$E387*F276</f>
        <v>0</v>
      </c>
      <c r="G387" s="39">
        <f>$E387*G276</f>
        <v>0</v>
      </c>
      <c r="H387" s="39">
        <f>$E387*H276</f>
        <v>0</v>
      </c>
      <c r="I387" s="39">
        <f>$E387*I276</f>
        <v>0</v>
      </c>
      <c r="J387" s="39">
        <f>$E387*J276</f>
        <v>0</v>
      </c>
      <c r="K387" s="39">
        <f>$E387*K276</f>
        <v>0</v>
      </c>
      <c r="L387" s="39">
        <f>$E387*L276</f>
        <v>0</v>
      </c>
      <c r="M387" s="39">
        <f>$E387*M276</f>
        <v>0</v>
      </c>
      <c r="N387" s="39">
        <f>$E387*N276</f>
        <v>0</v>
      </c>
      <c r="O387" s="39">
        <f>$E387*O276</f>
        <v>0</v>
      </c>
      <c r="P387" s="3"/>
      <c r="Q387" s="3"/>
      <c r="R387" s="3"/>
      <c r="S387" s="3"/>
      <c r="T387" s="3"/>
      <c r="U387" s="3"/>
      <c r="V387" s="3"/>
      <c r="W387" s="3"/>
      <c r="X387" s="3"/>
      <c r="Y387" s="3"/>
      <c r="Z387" s="3"/>
    </row>
    <row r="388" spans="1:26" ht="12.75" x14ac:dyDescent="0.2">
      <c r="A388" s="3"/>
      <c r="B388" s="33"/>
      <c r="C388" s="31" t="s">
        <v>216</v>
      </c>
      <c r="D388" s="36"/>
      <c r="E388" s="36"/>
      <c r="F388" s="40">
        <f>SUM(F385:F387)</f>
        <v>16.675673076923079</v>
      </c>
      <c r="G388" s="40">
        <f t="shared" ref="G388:O388" si="83">SUM(G385:G387)</f>
        <v>5.7781730769230775</v>
      </c>
      <c r="H388" s="40">
        <f t="shared" si="83"/>
        <v>5.7781730769230775</v>
      </c>
      <c r="I388" s="40">
        <f t="shared" si="83"/>
        <v>5.7781730769230775</v>
      </c>
      <c r="J388" s="40">
        <f t="shared" si="83"/>
        <v>5.7781730769230775</v>
      </c>
      <c r="K388" s="40">
        <f t="shared" si="83"/>
        <v>5.7781730769230775</v>
      </c>
      <c r="L388" s="40">
        <f t="shared" si="83"/>
        <v>5.7781730769230775</v>
      </c>
      <c r="M388" s="40">
        <f t="shared" si="83"/>
        <v>5.7781730769230775</v>
      </c>
      <c r="N388" s="40">
        <f t="shared" si="83"/>
        <v>5.7781730769230775</v>
      </c>
      <c r="O388" s="40">
        <f t="shared" si="83"/>
        <v>5.7781730769230775</v>
      </c>
      <c r="P388" s="3"/>
      <c r="Q388" s="3"/>
      <c r="R388" s="3"/>
      <c r="S388" s="3"/>
      <c r="T388" s="3"/>
      <c r="U388" s="3"/>
      <c r="V388" s="3"/>
      <c r="W388" s="3"/>
      <c r="X388" s="3"/>
      <c r="Y388" s="3"/>
      <c r="Z388" s="3"/>
    </row>
    <row r="389" spans="1:26" ht="12.75" x14ac:dyDescent="0.2">
      <c r="A389" s="3"/>
      <c r="B389" s="33"/>
      <c r="C389" s="35"/>
      <c r="D389" s="33"/>
      <c r="E389" s="33"/>
      <c r="F389" s="41"/>
      <c r="G389" s="41"/>
      <c r="H389" s="41"/>
      <c r="I389" s="41"/>
      <c r="J389" s="41"/>
      <c r="K389" s="41"/>
      <c r="L389" s="41"/>
      <c r="M389" s="41"/>
      <c r="N389" s="41"/>
      <c r="O389" s="41"/>
      <c r="P389" s="3"/>
      <c r="Q389" s="3"/>
      <c r="R389" s="3"/>
      <c r="S389" s="3"/>
      <c r="T389" s="3"/>
      <c r="U389" s="3"/>
      <c r="V389" s="3"/>
      <c r="W389" s="3"/>
      <c r="X389" s="3"/>
      <c r="Y389" s="3"/>
      <c r="Z389" s="3"/>
    </row>
    <row r="390" spans="1:26" ht="12.75" x14ac:dyDescent="0.2">
      <c r="A390" s="3"/>
      <c r="B390" s="33"/>
      <c r="C390" s="34" t="s">
        <v>219</v>
      </c>
      <c r="D390" s="33"/>
      <c r="E390" s="33"/>
      <c r="F390" s="41"/>
      <c r="G390" s="41"/>
      <c r="H390" s="41"/>
      <c r="I390" s="41"/>
      <c r="J390" s="41"/>
      <c r="K390" s="41"/>
      <c r="L390" s="41"/>
      <c r="M390" s="41"/>
      <c r="N390" s="41"/>
      <c r="O390" s="41"/>
      <c r="P390" s="3"/>
      <c r="Q390" s="3"/>
      <c r="R390" s="3"/>
      <c r="S390" s="3"/>
      <c r="T390" s="3"/>
      <c r="U390" s="3"/>
      <c r="V390" s="3"/>
      <c r="W390" s="3"/>
      <c r="X390" s="3"/>
      <c r="Y390" s="3"/>
      <c r="Z390" s="3"/>
    </row>
    <row r="391" spans="1:26" ht="12.75" x14ac:dyDescent="0.2">
      <c r="A391" s="3"/>
      <c r="B391" s="33"/>
      <c r="C391" s="27" t="s">
        <v>602</v>
      </c>
      <c r="D391" s="33"/>
      <c r="E391" s="301">
        <v>1</v>
      </c>
      <c r="F391" s="39">
        <f>$E391*F280</f>
        <v>49.994999999999997</v>
      </c>
      <c r="G391" s="39">
        <f>$E391*G280</f>
        <v>0</v>
      </c>
      <c r="H391" s="39">
        <f>$E391*H280</f>
        <v>0</v>
      </c>
      <c r="I391" s="39">
        <f>$E391*I280</f>
        <v>0</v>
      </c>
      <c r="J391" s="39">
        <f>$E391*J280</f>
        <v>0</v>
      </c>
      <c r="K391" s="39">
        <f>$E391*K280</f>
        <v>0</v>
      </c>
      <c r="L391" s="39">
        <f>$E391*L280</f>
        <v>0</v>
      </c>
      <c r="M391" s="39">
        <f>$E391*M280</f>
        <v>0</v>
      </c>
      <c r="N391" s="39">
        <f>$E391*N280</f>
        <v>0</v>
      </c>
      <c r="O391" s="39">
        <f>$E391*O280</f>
        <v>0</v>
      </c>
      <c r="P391" s="3"/>
      <c r="Q391" s="3"/>
      <c r="R391" s="3"/>
      <c r="S391" s="3"/>
      <c r="T391" s="3"/>
      <c r="U391" s="3"/>
      <c r="V391" s="3"/>
      <c r="W391" s="3"/>
      <c r="X391" s="3"/>
      <c r="Y391" s="3"/>
      <c r="Z391" s="3"/>
    </row>
    <row r="392" spans="1:26" ht="12.75" x14ac:dyDescent="0.2">
      <c r="A392" s="3"/>
      <c r="B392" s="33"/>
      <c r="C392" s="393" t="s">
        <v>495</v>
      </c>
      <c r="D392" s="33"/>
      <c r="E392" s="299">
        <f>CFs!$C$252</f>
        <v>1.5401003517880794</v>
      </c>
      <c r="F392" s="39">
        <f>$E392*F281</f>
        <v>0</v>
      </c>
      <c r="G392" s="39">
        <f>$E392*G281</f>
        <v>0</v>
      </c>
      <c r="H392" s="39">
        <f>$E392*H281</f>
        <v>0</v>
      </c>
      <c r="I392" s="39">
        <f>$E392*I281</f>
        <v>0</v>
      </c>
      <c r="J392" s="39">
        <f>$E392*J281</f>
        <v>0</v>
      </c>
      <c r="K392" s="39">
        <f>$E392*K281</f>
        <v>0</v>
      </c>
      <c r="L392" s="39">
        <f>$E392*L281</f>
        <v>0</v>
      </c>
      <c r="M392" s="39">
        <f>$E392*M281</f>
        <v>0</v>
      </c>
      <c r="N392" s="39">
        <f>$E392*N281</f>
        <v>0</v>
      </c>
      <c r="O392" s="39">
        <f>$E392*O281</f>
        <v>0</v>
      </c>
      <c r="P392" s="3"/>
      <c r="Q392" s="3"/>
      <c r="R392" s="3"/>
      <c r="S392" s="3"/>
      <c r="T392" s="3"/>
      <c r="U392" s="3"/>
      <c r="V392" s="3"/>
      <c r="W392" s="3"/>
      <c r="X392" s="3"/>
      <c r="Y392" s="3"/>
      <c r="Z392" s="3"/>
    </row>
    <row r="393" spans="1:26" ht="12.75" x14ac:dyDescent="0.2">
      <c r="A393" s="3"/>
      <c r="B393" s="33"/>
      <c r="C393" s="393" t="s">
        <v>353</v>
      </c>
      <c r="D393" s="33"/>
      <c r="E393" s="301">
        <v>1</v>
      </c>
      <c r="F393" s="39">
        <f>$E393*F282</f>
        <v>5.4900000004500003</v>
      </c>
      <c r="G393" s="39">
        <f>$E393*G282</f>
        <v>5.4900000004499994</v>
      </c>
      <c r="H393" s="39">
        <f>$E393*H282</f>
        <v>5.4900000004499994</v>
      </c>
      <c r="I393" s="39">
        <f>$E393*I282</f>
        <v>5.4900000004500003</v>
      </c>
      <c r="J393" s="39">
        <f>$E393*J282</f>
        <v>5.4900000004499994</v>
      </c>
      <c r="K393" s="39">
        <f>$E393*K282</f>
        <v>5.4900000004500003</v>
      </c>
      <c r="L393" s="39">
        <f>$E393*L282</f>
        <v>5.4900000004500003</v>
      </c>
      <c r="M393" s="39">
        <f>$E393*M282</f>
        <v>5.4900000004500011</v>
      </c>
      <c r="N393" s="39">
        <f>$E393*N282</f>
        <v>5.4900000004500011</v>
      </c>
      <c r="O393" s="39">
        <f>$E393*O282</f>
        <v>5.4900000004500003</v>
      </c>
      <c r="P393" s="3"/>
      <c r="Q393" s="3"/>
      <c r="R393" s="3"/>
      <c r="S393" s="3"/>
      <c r="T393" s="3"/>
      <c r="U393" s="3"/>
      <c r="V393" s="3"/>
      <c r="W393" s="3"/>
      <c r="X393" s="3"/>
      <c r="Y393" s="3"/>
      <c r="Z393" s="3"/>
    </row>
    <row r="394" spans="1:26" ht="12.75" x14ac:dyDescent="0.2">
      <c r="A394" s="3"/>
      <c r="B394" s="35"/>
      <c r="C394" s="84" t="s">
        <v>334</v>
      </c>
      <c r="D394" s="35"/>
      <c r="E394" s="301">
        <v>1</v>
      </c>
      <c r="F394" s="39">
        <f>$E394*F283</f>
        <v>5.0160000001477201</v>
      </c>
      <c r="G394" s="39">
        <f>$E394*G283</f>
        <v>5.016000000147721</v>
      </c>
      <c r="H394" s="39">
        <f>$E394*H283</f>
        <v>5.0160000001477201</v>
      </c>
      <c r="I394" s="39">
        <f>$E394*I283</f>
        <v>5.016000000147721</v>
      </c>
      <c r="J394" s="39">
        <f>$E394*J283</f>
        <v>5.0160000001477201</v>
      </c>
      <c r="K394" s="39">
        <f>$E394*K283</f>
        <v>5.016000000147721</v>
      </c>
      <c r="L394" s="39">
        <f>$E394*L283</f>
        <v>5.0160000001477201</v>
      </c>
      <c r="M394" s="39">
        <f>$E394*M283</f>
        <v>5.016000000147721</v>
      </c>
      <c r="N394" s="39">
        <f>$E394*N283</f>
        <v>5.016000000147721</v>
      </c>
      <c r="O394" s="39">
        <f>$E394*O283</f>
        <v>5.0160000001477201</v>
      </c>
      <c r="P394" s="3"/>
      <c r="Q394" s="3"/>
      <c r="R394" s="3"/>
      <c r="S394" s="3"/>
      <c r="T394" s="3"/>
      <c r="U394" s="3"/>
      <c r="V394" s="3"/>
      <c r="W394" s="3"/>
      <c r="X394" s="3"/>
      <c r="Y394" s="3"/>
      <c r="Z394" s="3"/>
    </row>
    <row r="395" spans="1:26" ht="12.75" x14ac:dyDescent="0.2">
      <c r="A395" s="3"/>
      <c r="B395" s="33"/>
      <c r="C395" s="9" t="s">
        <v>105</v>
      </c>
      <c r="D395" s="33"/>
      <c r="E395" s="301">
        <v>1</v>
      </c>
      <c r="F395" s="39">
        <f>$E395*F284</f>
        <v>2.4</v>
      </c>
      <c r="G395" s="39">
        <f>$E395*G284</f>
        <v>2.3999999999999995</v>
      </c>
      <c r="H395" s="39">
        <f>$E395*H284</f>
        <v>2.4</v>
      </c>
      <c r="I395" s="39">
        <f>$E395*I284</f>
        <v>2.4</v>
      </c>
      <c r="J395" s="39">
        <f>$E395*J284</f>
        <v>2.4</v>
      </c>
      <c r="K395" s="39">
        <f>$E395*K284</f>
        <v>2.4</v>
      </c>
      <c r="L395" s="39">
        <f>$E395*L284</f>
        <v>2.4</v>
      </c>
      <c r="M395" s="39">
        <f>$E395*M284</f>
        <v>2.4000000000000004</v>
      </c>
      <c r="N395" s="39">
        <f>$E395*N284</f>
        <v>2.4000000000000004</v>
      </c>
      <c r="O395" s="39">
        <f>$E395*O284</f>
        <v>2.3999999999999995</v>
      </c>
      <c r="P395" s="3"/>
      <c r="Q395" s="3"/>
      <c r="R395" s="3"/>
      <c r="S395" s="3"/>
      <c r="T395" s="3"/>
      <c r="U395" s="3"/>
      <c r="V395" s="3"/>
      <c r="W395" s="3"/>
      <c r="X395" s="3"/>
      <c r="Y395" s="3"/>
      <c r="Z395" s="3"/>
    </row>
    <row r="396" spans="1:26" ht="12.75" x14ac:dyDescent="0.2">
      <c r="A396" s="3"/>
      <c r="B396" s="33"/>
      <c r="C396" s="9" t="s">
        <v>108</v>
      </c>
      <c r="D396" s="33"/>
      <c r="E396" s="301">
        <v>1</v>
      </c>
      <c r="F396" s="39">
        <f>$E396*F285</f>
        <v>0.6</v>
      </c>
      <c r="G396" s="39">
        <f>$E396*G285</f>
        <v>0.6</v>
      </c>
      <c r="H396" s="39">
        <f>$E396*H285</f>
        <v>0.6</v>
      </c>
      <c r="I396" s="39">
        <f>$E396*I285</f>
        <v>0.6</v>
      </c>
      <c r="J396" s="39">
        <f>$E396*J285</f>
        <v>0.6</v>
      </c>
      <c r="K396" s="39">
        <f>$E396*K285</f>
        <v>0.6</v>
      </c>
      <c r="L396" s="39">
        <f>$E396*L285</f>
        <v>0.6</v>
      </c>
      <c r="M396" s="39">
        <f>$E396*M285</f>
        <v>0.6</v>
      </c>
      <c r="N396" s="39">
        <f>$E396*N285</f>
        <v>0.6</v>
      </c>
      <c r="O396" s="39">
        <f>$E396*O285</f>
        <v>0.6</v>
      </c>
      <c r="P396" s="3"/>
      <c r="Q396" s="3"/>
      <c r="R396" s="3"/>
      <c r="S396" s="3"/>
      <c r="T396" s="3"/>
      <c r="U396" s="3"/>
      <c r="V396" s="3"/>
      <c r="W396" s="3"/>
      <c r="X396" s="3"/>
      <c r="Y396" s="3"/>
      <c r="Z396" s="3"/>
    </row>
    <row r="397" spans="1:26" ht="12.75" x14ac:dyDescent="0.2">
      <c r="A397" s="3"/>
      <c r="B397" s="43"/>
      <c r="C397" s="68" t="s">
        <v>217</v>
      </c>
      <c r="D397" s="68"/>
      <c r="E397" s="68"/>
      <c r="F397" s="69">
        <f t="shared" ref="F397:O397" si="84">SUM(F391:F396)</f>
        <v>63.50100000059772</v>
      </c>
      <c r="G397" s="69">
        <f t="shared" si="84"/>
        <v>13.506000000597718</v>
      </c>
      <c r="H397" s="69">
        <f t="shared" si="84"/>
        <v>13.506000000597719</v>
      </c>
      <c r="I397" s="69">
        <f t="shared" si="84"/>
        <v>13.506000000597721</v>
      </c>
      <c r="J397" s="69">
        <f t="shared" si="84"/>
        <v>13.506000000597719</v>
      </c>
      <c r="K397" s="69">
        <f t="shared" si="84"/>
        <v>13.506000000597721</v>
      </c>
      <c r="L397" s="69">
        <f t="shared" si="84"/>
        <v>13.506000000597719</v>
      </c>
      <c r="M397" s="69">
        <f t="shared" si="84"/>
        <v>13.506000000597723</v>
      </c>
      <c r="N397" s="69">
        <f t="shared" si="84"/>
        <v>13.506000000597723</v>
      </c>
      <c r="O397" s="69">
        <f t="shared" si="84"/>
        <v>13.506000000597718</v>
      </c>
      <c r="P397" s="3"/>
      <c r="Q397" s="3"/>
      <c r="R397" s="3"/>
      <c r="S397" s="3"/>
      <c r="T397" s="3"/>
      <c r="U397" s="3"/>
      <c r="V397" s="3"/>
      <c r="W397" s="3"/>
      <c r="X397" s="3"/>
      <c r="Y397" s="3"/>
      <c r="Z397" s="3"/>
    </row>
    <row r="398" spans="1:26" ht="12.75" x14ac:dyDescent="0.2">
      <c r="A398" s="3"/>
      <c r="B398" s="43"/>
      <c r="C398" s="74"/>
      <c r="D398" s="74"/>
      <c r="E398" s="74"/>
      <c r="F398" s="75"/>
      <c r="G398" s="75"/>
      <c r="H398" s="75"/>
      <c r="I398" s="75"/>
      <c r="J398" s="75"/>
      <c r="K398" s="75"/>
      <c r="L398" s="75"/>
      <c r="M398" s="75"/>
      <c r="N398" s="75"/>
      <c r="O398" s="75"/>
      <c r="P398" s="3"/>
      <c r="Q398" s="3"/>
      <c r="R398" s="3"/>
      <c r="S398" s="3"/>
      <c r="T398" s="3"/>
      <c r="U398" s="3"/>
      <c r="V398" s="3"/>
      <c r="W398" s="3"/>
      <c r="X398" s="3"/>
      <c r="Y398" s="3"/>
      <c r="Z398" s="3"/>
    </row>
    <row r="399" spans="1:26" ht="12.75" x14ac:dyDescent="0.2">
      <c r="A399" s="3"/>
      <c r="B399" s="43"/>
      <c r="C399" s="34" t="s">
        <v>287</v>
      </c>
      <c r="D399" s="74"/>
      <c r="E399" s="74"/>
      <c r="F399" s="75"/>
      <c r="G399" s="75"/>
      <c r="H399" s="75"/>
      <c r="I399" s="75"/>
      <c r="J399" s="75"/>
      <c r="K399" s="75"/>
      <c r="L399" s="75"/>
      <c r="M399" s="75"/>
      <c r="N399" s="75"/>
      <c r="O399" s="75"/>
      <c r="P399" s="3"/>
      <c r="Q399" s="3"/>
      <c r="R399" s="3"/>
      <c r="S399" s="3"/>
      <c r="T399" s="3"/>
      <c r="U399" s="3"/>
      <c r="V399" s="3"/>
      <c r="W399" s="3"/>
      <c r="X399" s="3"/>
      <c r="Y399" s="3"/>
      <c r="Z399" s="3"/>
    </row>
    <row r="400" spans="1:26" ht="12.75" x14ac:dyDescent="0.2">
      <c r="A400" s="3"/>
      <c r="B400" s="33"/>
      <c r="C400" s="27" t="s">
        <v>282</v>
      </c>
      <c r="D400" s="33"/>
      <c r="E400" s="300">
        <f>CFs!$D$32</f>
        <v>1.2</v>
      </c>
      <c r="F400" s="39">
        <f>$E400*F289</f>
        <v>1.0594800000000002</v>
      </c>
      <c r="G400" s="39">
        <f>$E400*G289</f>
        <v>1.0594800000000002</v>
      </c>
      <c r="H400" s="39">
        <f>$E400*H289</f>
        <v>1.0594800000000002</v>
      </c>
      <c r="I400" s="39">
        <f>$E400*I289</f>
        <v>1.0594800000000002</v>
      </c>
      <c r="J400" s="39">
        <f>$E400*J289</f>
        <v>1.0594800000000002</v>
      </c>
      <c r="K400" s="39">
        <f>$E400*K289</f>
        <v>1.05948</v>
      </c>
      <c r="L400" s="39">
        <f>$E400*L289</f>
        <v>1.05948</v>
      </c>
      <c r="M400" s="39">
        <f>$E400*M289</f>
        <v>1.0594800000000002</v>
      </c>
      <c r="N400" s="39">
        <f>$E400*N289</f>
        <v>1.05948</v>
      </c>
      <c r="O400" s="39">
        <f>$E400*O289</f>
        <v>1.0594800000000002</v>
      </c>
      <c r="P400" s="3"/>
      <c r="Q400" s="3"/>
      <c r="R400" s="3"/>
      <c r="S400" s="3"/>
      <c r="T400" s="3"/>
      <c r="U400" s="3"/>
      <c r="V400" s="3"/>
      <c r="W400" s="3"/>
      <c r="X400" s="3"/>
      <c r="Y400" s="3"/>
      <c r="Z400" s="3"/>
    </row>
    <row r="401" spans="1:26" ht="12.75" x14ac:dyDescent="0.2">
      <c r="A401" s="3"/>
      <c r="B401" s="33"/>
      <c r="C401" s="27" t="s">
        <v>284</v>
      </c>
      <c r="D401" s="33"/>
      <c r="E401" s="301">
        <v>1</v>
      </c>
      <c r="F401" s="39">
        <f>$E401*F290</f>
        <v>0.17734153846153852</v>
      </c>
      <c r="G401" s="39">
        <f>$E401*G290</f>
        <v>0.17734153846153849</v>
      </c>
      <c r="H401" s="39">
        <f>$E401*H290</f>
        <v>0.17734153846153849</v>
      </c>
      <c r="I401" s="39">
        <f>$E401*I290</f>
        <v>0.17734153846153849</v>
      </c>
      <c r="J401" s="39">
        <f>$E401*J290</f>
        <v>0.17734153846153852</v>
      </c>
      <c r="K401" s="39">
        <f>$E401*K290</f>
        <v>0.17734153846153849</v>
      </c>
      <c r="L401" s="39">
        <f>$E401*L290</f>
        <v>0.17734153846153849</v>
      </c>
      <c r="M401" s="39">
        <f>$E401*M290</f>
        <v>0.17734153846153847</v>
      </c>
      <c r="N401" s="39">
        <f>$E401*N290</f>
        <v>0.17734153846153849</v>
      </c>
      <c r="O401" s="39">
        <f>$E401*O290</f>
        <v>0.17734153846153849</v>
      </c>
      <c r="P401" s="3"/>
      <c r="Q401" s="3"/>
      <c r="R401" s="3"/>
      <c r="S401" s="3"/>
      <c r="T401" s="3"/>
      <c r="U401" s="3"/>
      <c r="V401" s="3"/>
      <c r="W401" s="3"/>
      <c r="X401" s="3"/>
      <c r="Y401" s="3"/>
      <c r="Z401" s="3"/>
    </row>
    <row r="402" spans="1:26" ht="12.75" x14ac:dyDescent="0.2">
      <c r="A402" s="3"/>
      <c r="B402" s="43"/>
      <c r="C402" s="68" t="s">
        <v>289</v>
      </c>
      <c r="D402" s="36"/>
      <c r="E402" s="36"/>
      <c r="F402" s="40">
        <f>SUM(F400:F401)</f>
        <v>1.2368215384615386</v>
      </c>
      <c r="G402" s="40">
        <f t="shared" ref="G402:O402" si="85">SUM(G400:G401)</f>
        <v>1.2368215384615386</v>
      </c>
      <c r="H402" s="40">
        <f t="shared" si="85"/>
        <v>1.2368215384615386</v>
      </c>
      <c r="I402" s="40">
        <f t="shared" si="85"/>
        <v>1.2368215384615386</v>
      </c>
      <c r="J402" s="40">
        <f t="shared" si="85"/>
        <v>1.2368215384615386</v>
      </c>
      <c r="K402" s="40">
        <f t="shared" si="85"/>
        <v>1.2368215384615384</v>
      </c>
      <c r="L402" s="40">
        <f t="shared" si="85"/>
        <v>1.2368215384615384</v>
      </c>
      <c r="M402" s="40">
        <f t="shared" si="85"/>
        <v>1.2368215384615386</v>
      </c>
      <c r="N402" s="40">
        <f t="shared" si="85"/>
        <v>1.2368215384615384</v>
      </c>
      <c r="O402" s="40">
        <f t="shared" si="85"/>
        <v>1.2368215384615386</v>
      </c>
      <c r="P402" s="3"/>
      <c r="Q402" s="3"/>
      <c r="R402" s="3"/>
      <c r="S402" s="3"/>
      <c r="T402" s="3"/>
      <c r="U402" s="3"/>
      <c r="V402" s="3"/>
      <c r="W402" s="3"/>
      <c r="X402" s="3"/>
      <c r="Y402" s="3"/>
      <c r="Z402" s="3"/>
    </row>
    <row r="403" spans="1:26" ht="12.75" x14ac:dyDescent="0.2">
      <c r="A403" s="3"/>
      <c r="B403" s="43"/>
      <c r="C403" s="43"/>
      <c r="D403" s="43"/>
      <c r="E403" s="43"/>
      <c r="F403" s="101"/>
      <c r="G403" s="43"/>
      <c r="H403" s="43"/>
      <c r="I403" s="43"/>
      <c r="J403" s="43"/>
      <c r="K403" s="43"/>
      <c r="L403" s="43"/>
      <c r="M403" s="43"/>
      <c r="N403" s="43"/>
      <c r="O403" s="43"/>
      <c r="P403" s="3"/>
      <c r="Q403" s="3"/>
      <c r="R403" s="3"/>
      <c r="S403" s="3"/>
      <c r="T403" s="3"/>
      <c r="U403" s="3"/>
      <c r="V403" s="3"/>
      <c r="W403" s="3"/>
      <c r="X403" s="3"/>
      <c r="Y403" s="3"/>
      <c r="Z403" s="3"/>
    </row>
    <row r="404" spans="1:26" ht="12.75" x14ac:dyDescent="0.2">
      <c r="A404" s="3"/>
      <c r="B404" s="43"/>
      <c r="C404" s="70" t="s">
        <v>669</v>
      </c>
      <c r="D404" s="70"/>
      <c r="E404" s="70"/>
      <c r="F404" s="71">
        <f t="shared" ref="F404:O404" si="86">F382+F388+F397+F402</f>
        <v>145.45614461598231</v>
      </c>
      <c r="G404" s="71">
        <f t="shared" si="86"/>
        <v>84.563644615982341</v>
      </c>
      <c r="H404" s="71">
        <f t="shared" si="86"/>
        <v>84.563644615982341</v>
      </c>
      <c r="I404" s="71">
        <f t="shared" si="86"/>
        <v>84.563644615982341</v>
      </c>
      <c r="J404" s="71">
        <f t="shared" si="86"/>
        <v>84.563644615982341</v>
      </c>
      <c r="K404" s="71">
        <f t="shared" si="86"/>
        <v>84.563644615982355</v>
      </c>
      <c r="L404" s="71">
        <f t="shared" si="86"/>
        <v>84.563644615982341</v>
      </c>
      <c r="M404" s="71">
        <f t="shared" si="86"/>
        <v>84.563644615982341</v>
      </c>
      <c r="N404" s="71">
        <f t="shared" si="86"/>
        <v>84.563644615982341</v>
      </c>
      <c r="O404" s="71">
        <f t="shared" si="86"/>
        <v>84.563644615982341</v>
      </c>
      <c r="P404" s="3"/>
      <c r="Q404" s="3"/>
      <c r="R404" s="3"/>
      <c r="S404" s="3"/>
      <c r="T404" s="3"/>
      <c r="U404" s="3"/>
      <c r="V404" s="3"/>
      <c r="W404" s="3"/>
      <c r="X404" s="3"/>
      <c r="Y404" s="3"/>
      <c r="Z404" s="3"/>
    </row>
    <row r="405" spans="1:26" ht="12.75" x14ac:dyDescent="0.2">
      <c r="A405" s="3"/>
      <c r="B405" s="43"/>
      <c r="C405" s="43"/>
      <c r="D405" s="43"/>
      <c r="E405" s="43"/>
      <c r="F405" s="43"/>
      <c r="G405" s="43"/>
      <c r="H405" s="43"/>
      <c r="I405" s="43"/>
      <c r="J405" s="43"/>
      <c r="K405" s="43"/>
      <c r="L405" s="43"/>
      <c r="M405" s="43"/>
      <c r="N405" s="43"/>
      <c r="O405" s="43"/>
      <c r="P405" s="3"/>
      <c r="Q405" s="3"/>
      <c r="R405" s="3"/>
      <c r="S405" s="3"/>
      <c r="T405" s="3"/>
      <c r="U405" s="3"/>
      <c r="V405" s="3"/>
      <c r="W405" s="3"/>
      <c r="X405" s="3"/>
      <c r="Y405" s="3"/>
      <c r="Z405" s="3"/>
    </row>
    <row r="406" spans="1:26" ht="12.75" x14ac:dyDescent="0.2">
      <c r="A406" s="3"/>
      <c r="C406" s="72" t="s">
        <v>687</v>
      </c>
      <c r="D406" s="70"/>
      <c r="E406" s="70"/>
      <c r="F406" s="73">
        <f t="shared" ref="F406:O406" si="87">F371-F404</f>
        <v>-34.095510172213523</v>
      </c>
      <c r="G406" s="73">
        <f t="shared" si="87"/>
        <v>26.796989827786447</v>
      </c>
      <c r="H406" s="73">
        <f t="shared" si="87"/>
        <v>26.796989827786447</v>
      </c>
      <c r="I406" s="73">
        <f t="shared" si="87"/>
        <v>26.796989827786447</v>
      </c>
      <c r="J406" s="73">
        <f t="shared" si="87"/>
        <v>26.796989827786476</v>
      </c>
      <c r="K406" s="73">
        <f t="shared" si="87"/>
        <v>26.796989827786447</v>
      </c>
      <c r="L406" s="73">
        <f t="shared" si="87"/>
        <v>26.796989827786447</v>
      </c>
      <c r="M406" s="73">
        <f t="shared" si="87"/>
        <v>26.796989827786447</v>
      </c>
      <c r="N406" s="73">
        <f t="shared" si="87"/>
        <v>26.796989827786447</v>
      </c>
      <c r="O406" s="73">
        <f t="shared" si="87"/>
        <v>71.024489827786439</v>
      </c>
      <c r="P406" s="3"/>
      <c r="Q406" s="3"/>
      <c r="R406" s="3"/>
      <c r="S406" s="3"/>
      <c r="T406" s="3"/>
      <c r="U406" s="3"/>
      <c r="V406" s="3"/>
      <c r="W406" s="3"/>
      <c r="X406" s="3"/>
      <c r="Y406" s="3"/>
      <c r="Z406" s="3"/>
    </row>
    <row r="407" spans="1:26" ht="12.75" x14ac:dyDescent="0.2">
      <c r="A407" s="3"/>
      <c r="B407" s="3"/>
      <c r="C407" s="3"/>
      <c r="D407" s="3"/>
      <c r="E407" s="3"/>
      <c r="F407" s="28"/>
      <c r="G407" s="3"/>
      <c r="H407" s="3"/>
      <c r="I407" s="3"/>
      <c r="J407" s="3"/>
      <c r="K407" s="3"/>
      <c r="L407" s="3"/>
      <c r="M407" s="3"/>
      <c r="N407" s="3"/>
      <c r="O407" s="3"/>
      <c r="P407" s="3"/>
      <c r="Q407" s="3"/>
      <c r="R407" s="3"/>
      <c r="S407" s="3"/>
      <c r="T407" s="3"/>
      <c r="U407" s="3"/>
      <c r="V407" s="3"/>
      <c r="W407" s="3"/>
      <c r="X407" s="3"/>
      <c r="Y407" s="3"/>
      <c r="Z407" s="3"/>
    </row>
    <row r="408" spans="1:26" ht="12.75" x14ac:dyDescent="0.2">
      <c r="A408" s="3"/>
      <c r="B408" s="567" t="s">
        <v>862</v>
      </c>
      <c r="C408" s="33"/>
      <c r="D408" s="33"/>
      <c r="E408" s="33"/>
      <c r="F408" s="33"/>
      <c r="G408" s="33"/>
      <c r="H408" s="33"/>
      <c r="I408" s="33"/>
      <c r="J408" s="33"/>
      <c r="K408" s="33"/>
      <c r="L408" s="33"/>
      <c r="M408" s="33"/>
      <c r="N408" s="33"/>
      <c r="O408" s="33"/>
      <c r="P408" s="3"/>
      <c r="Q408" s="3"/>
      <c r="R408" s="3"/>
      <c r="S408" s="3"/>
      <c r="T408" s="3"/>
      <c r="U408" s="3"/>
      <c r="V408" s="3"/>
      <c r="W408" s="3"/>
      <c r="X408" s="3"/>
      <c r="Y408" s="3"/>
      <c r="Z408" s="3"/>
    </row>
    <row r="409" spans="1:26" ht="12.75" x14ac:dyDescent="0.2">
      <c r="A409" s="3"/>
      <c r="C409" s="64" t="s">
        <v>671</v>
      </c>
      <c r="D409" s="33"/>
      <c r="E409" s="279" t="s">
        <v>666</v>
      </c>
      <c r="F409" s="33"/>
      <c r="G409" s="33"/>
      <c r="H409" s="33"/>
      <c r="I409" s="33"/>
      <c r="J409" s="33"/>
      <c r="K409" s="33"/>
      <c r="L409" s="33"/>
      <c r="M409" s="33"/>
      <c r="N409" s="33"/>
      <c r="O409" s="33"/>
      <c r="P409" s="3"/>
      <c r="Q409" s="3"/>
      <c r="R409" s="3"/>
      <c r="S409" s="3"/>
      <c r="T409" s="3"/>
      <c r="U409" s="3"/>
      <c r="V409" s="3"/>
      <c r="W409" s="3"/>
      <c r="X409" s="3"/>
      <c r="Y409" s="3"/>
      <c r="Z409" s="3"/>
    </row>
    <row r="410" spans="1:26" ht="12.75" x14ac:dyDescent="0.2">
      <c r="A410" s="3"/>
      <c r="B410" s="33"/>
      <c r="C410" s="9" t="s">
        <v>472</v>
      </c>
      <c r="D410" s="33"/>
      <c r="E410" s="299">
        <f>CFs!$C$173</f>
        <v>1.0951756336981811</v>
      </c>
      <c r="F410" s="39">
        <f>$E410*F299</f>
        <v>367.97901292258877</v>
      </c>
      <c r="G410" s="39">
        <f>$E410*G299</f>
        <v>386.3779635687182</v>
      </c>
      <c r="H410" s="39">
        <f>$E410*H299</f>
        <v>405.69686174715412</v>
      </c>
      <c r="I410" s="39">
        <f>$E410*I299</f>
        <v>425.9817048345119</v>
      </c>
      <c r="J410" s="39">
        <f>$E410*J299</f>
        <v>447.28079007623757</v>
      </c>
      <c r="K410" s="39">
        <f>$E410*K299</f>
        <v>459.97376615323606</v>
      </c>
      <c r="L410" s="39">
        <f>$E410*L299</f>
        <v>459.973766153236</v>
      </c>
      <c r="M410" s="39">
        <f>$E410*M299</f>
        <v>459.973766153236</v>
      </c>
      <c r="N410" s="39">
        <f>$E410*N299</f>
        <v>459.973766153236</v>
      </c>
      <c r="O410" s="39">
        <f>$E410*O299</f>
        <v>459.973766153236</v>
      </c>
      <c r="P410" s="3"/>
      <c r="Q410" s="3"/>
      <c r="R410" s="3"/>
      <c r="S410" s="3"/>
      <c r="T410" s="3"/>
      <c r="U410" s="3"/>
      <c r="V410" s="3"/>
      <c r="W410" s="3"/>
      <c r="X410" s="3"/>
      <c r="Y410" s="3"/>
      <c r="Z410" s="3"/>
    </row>
    <row r="411" spans="1:26" ht="12.75" x14ac:dyDescent="0.2">
      <c r="A411" s="3"/>
      <c r="B411" s="33"/>
      <c r="C411" s="27" t="s">
        <v>231</v>
      </c>
      <c r="D411" s="33"/>
      <c r="E411" s="299">
        <f>CFs!$C$173</f>
        <v>1.0951756336981811</v>
      </c>
      <c r="F411" s="39">
        <f>$E411*F300</f>
        <v>182.63580366750543</v>
      </c>
      <c r="G411" s="39">
        <f>$E411*G300</f>
        <v>153.41407508070458</v>
      </c>
      <c r="H411" s="39">
        <f>$E411*H300</f>
        <v>120.81358412605489</v>
      </c>
      <c r="I411" s="39">
        <f>$E411*I300</f>
        <v>84.569508888238417</v>
      </c>
      <c r="J411" s="39">
        <f>$E411*J300</f>
        <v>88.79798433265033</v>
      </c>
      <c r="K411" s="39">
        <f>$E411*K300</f>
        <v>91.317901833752714</v>
      </c>
      <c r="L411" s="39">
        <f>$E411*L300</f>
        <v>91.317901833752714</v>
      </c>
      <c r="M411" s="39">
        <f>$E411*M300</f>
        <v>91.317901833752714</v>
      </c>
      <c r="N411" s="39">
        <f>$E411*N300</f>
        <v>91.317901833752714</v>
      </c>
      <c r="O411" s="39">
        <f>$E411*O300</f>
        <v>91.317901833752714</v>
      </c>
      <c r="P411" s="3"/>
      <c r="Q411" s="3"/>
      <c r="R411" s="3"/>
      <c r="S411" s="3"/>
      <c r="T411" s="3"/>
      <c r="U411" s="3"/>
      <c r="V411" s="3"/>
      <c r="W411" s="3"/>
      <c r="X411" s="3"/>
      <c r="Y411" s="3"/>
      <c r="Z411" s="3"/>
    </row>
    <row r="412" spans="1:26" ht="12.75" x14ac:dyDescent="0.2">
      <c r="A412" s="3"/>
      <c r="B412" s="33"/>
      <c r="C412" s="27" t="s">
        <v>626</v>
      </c>
      <c r="D412" s="33"/>
      <c r="E412" s="301">
        <v>1</v>
      </c>
      <c r="F412" s="39"/>
      <c r="G412" s="39"/>
      <c r="H412" s="39"/>
      <c r="I412" s="39"/>
      <c r="J412" s="39"/>
      <c r="K412" s="39"/>
      <c r="L412" s="39"/>
      <c r="M412" s="39"/>
      <c r="N412" s="39"/>
      <c r="O412" s="39">
        <f>$E412*O301</f>
        <v>0</v>
      </c>
      <c r="P412" s="3"/>
      <c r="Q412" s="3"/>
      <c r="R412" s="3"/>
      <c r="S412" s="3"/>
      <c r="T412" s="3"/>
      <c r="U412" s="3"/>
      <c r="V412" s="3"/>
      <c r="W412" s="3"/>
      <c r="X412" s="3"/>
      <c r="Y412" s="3"/>
      <c r="Z412" s="3"/>
    </row>
    <row r="413" spans="1:26" ht="12.75" x14ac:dyDescent="0.2">
      <c r="A413" s="3"/>
      <c r="B413" s="33"/>
      <c r="C413" s="27" t="s">
        <v>603</v>
      </c>
      <c r="D413" s="33"/>
      <c r="E413" s="301">
        <v>1</v>
      </c>
      <c r="F413" s="39"/>
      <c r="G413" s="39"/>
      <c r="H413" s="39"/>
      <c r="I413" s="39"/>
      <c r="J413" s="39"/>
      <c r="K413" s="39"/>
      <c r="L413" s="39"/>
      <c r="M413" s="39"/>
      <c r="N413" s="39"/>
      <c r="O413" s="39">
        <f>$E413*O302</f>
        <v>33.33</v>
      </c>
      <c r="P413" s="3"/>
      <c r="Q413" s="3"/>
      <c r="R413" s="3"/>
      <c r="S413" s="3"/>
      <c r="T413" s="3"/>
      <c r="U413" s="3"/>
      <c r="V413" s="3"/>
      <c r="W413" s="3"/>
      <c r="X413" s="3"/>
      <c r="Y413" s="3"/>
      <c r="Z413" s="3"/>
    </row>
    <row r="414" spans="1:26" ht="12.75" x14ac:dyDescent="0.2">
      <c r="A414" s="3"/>
      <c r="B414" s="33"/>
      <c r="C414" s="27" t="s">
        <v>618</v>
      </c>
      <c r="D414" s="33"/>
      <c r="E414" s="301">
        <v>1</v>
      </c>
      <c r="F414" s="39"/>
      <c r="G414" s="39"/>
      <c r="H414" s="39"/>
      <c r="I414" s="39"/>
      <c r="J414" s="39"/>
      <c r="K414" s="39"/>
      <c r="L414" s="39"/>
      <c r="M414" s="39"/>
      <c r="N414" s="39"/>
      <c r="O414" s="39">
        <f>$E414*O303</f>
        <v>10.897500000000001</v>
      </c>
      <c r="P414" s="3"/>
      <c r="Q414" s="3"/>
      <c r="R414" s="3"/>
      <c r="S414" s="3"/>
      <c r="T414" s="3"/>
      <c r="U414" s="3"/>
      <c r="V414" s="3"/>
      <c r="W414" s="3"/>
      <c r="X414" s="3"/>
      <c r="Y414" s="3"/>
      <c r="Z414" s="3"/>
    </row>
    <row r="415" spans="1:26" ht="12.75" x14ac:dyDescent="0.2">
      <c r="A415" s="3"/>
      <c r="B415" s="33"/>
      <c r="C415" s="36" t="s">
        <v>479</v>
      </c>
      <c r="D415" s="36"/>
      <c r="E415" s="36"/>
      <c r="F415" s="59">
        <f>F410-F411+F413+F414+F412</f>
        <v>185.34320925508334</v>
      </c>
      <c r="G415" s="59">
        <f t="shared" ref="G415:N415" si="88">G410-G411+G413+G414+G412</f>
        <v>232.96388848801362</v>
      </c>
      <c r="H415" s="59">
        <f t="shared" si="88"/>
        <v>284.88327762109924</v>
      </c>
      <c r="I415" s="59">
        <f t="shared" si="88"/>
        <v>341.41219594627347</v>
      </c>
      <c r="J415" s="59">
        <f t="shared" si="88"/>
        <v>358.48280574358722</v>
      </c>
      <c r="K415" s="59">
        <f t="shared" si="88"/>
        <v>368.65586431948333</v>
      </c>
      <c r="L415" s="59">
        <f t="shared" si="88"/>
        <v>368.65586431948327</v>
      </c>
      <c r="M415" s="59">
        <f t="shared" si="88"/>
        <v>368.65586431948327</v>
      </c>
      <c r="N415" s="59">
        <f t="shared" si="88"/>
        <v>368.65586431948327</v>
      </c>
      <c r="O415" s="59">
        <f>O410-O411+O413+O414+O412</f>
        <v>412.88336431948323</v>
      </c>
      <c r="P415" s="3"/>
      <c r="Q415" s="3"/>
      <c r="R415" s="3"/>
      <c r="S415" s="3"/>
      <c r="T415" s="3"/>
      <c r="U415" s="3"/>
      <c r="V415" s="3"/>
      <c r="W415" s="3"/>
      <c r="X415" s="3"/>
      <c r="Y415" s="3"/>
      <c r="Z415" s="3"/>
    </row>
    <row r="416" spans="1:26" ht="12.75" x14ac:dyDescent="0.2">
      <c r="A416" s="3"/>
      <c r="B416" s="33"/>
      <c r="C416" s="27"/>
      <c r="D416" s="33"/>
      <c r="E416" s="33"/>
      <c r="F416" s="37"/>
      <c r="G416" s="37"/>
      <c r="H416" s="37"/>
      <c r="I416" s="37"/>
      <c r="J416" s="37"/>
      <c r="K416" s="37"/>
      <c r="L416" s="37"/>
      <c r="M416" s="37"/>
      <c r="N416" s="37"/>
      <c r="O416" s="37"/>
      <c r="P416" s="3"/>
      <c r="Q416" s="3"/>
      <c r="R416" s="3"/>
      <c r="S416" s="3"/>
      <c r="T416" s="3"/>
      <c r="U416" s="3"/>
      <c r="V416" s="3"/>
      <c r="W416" s="3"/>
      <c r="X416" s="3"/>
      <c r="Y416" s="3"/>
      <c r="Z416" s="3"/>
    </row>
    <row r="417" spans="1:26" ht="12.75" x14ac:dyDescent="0.2">
      <c r="A417" s="3"/>
      <c r="B417" s="33"/>
      <c r="C417" s="66" t="s">
        <v>675</v>
      </c>
      <c r="D417" s="66"/>
      <c r="E417" s="66"/>
      <c r="F417" s="67">
        <f>F415</f>
        <v>185.34320925508334</v>
      </c>
      <c r="G417" s="67">
        <f t="shared" ref="G417:O417" si="89">G415</f>
        <v>232.96388848801362</v>
      </c>
      <c r="H417" s="67">
        <f t="shared" si="89"/>
        <v>284.88327762109924</v>
      </c>
      <c r="I417" s="67">
        <f t="shared" si="89"/>
        <v>341.41219594627347</v>
      </c>
      <c r="J417" s="67">
        <f t="shared" si="89"/>
        <v>358.48280574358722</v>
      </c>
      <c r="K417" s="67">
        <f t="shared" si="89"/>
        <v>368.65586431948333</v>
      </c>
      <c r="L417" s="67">
        <f t="shared" si="89"/>
        <v>368.65586431948327</v>
      </c>
      <c r="M417" s="67">
        <f t="shared" si="89"/>
        <v>368.65586431948327</v>
      </c>
      <c r="N417" s="67">
        <f t="shared" si="89"/>
        <v>368.65586431948327</v>
      </c>
      <c r="O417" s="67">
        <f t="shared" si="89"/>
        <v>412.88336431948323</v>
      </c>
      <c r="P417" s="3"/>
      <c r="Q417" s="3"/>
      <c r="R417" s="3"/>
      <c r="S417" s="3"/>
      <c r="T417" s="3"/>
      <c r="U417" s="3"/>
      <c r="V417" s="3"/>
      <c r="W417" s="3"/>
      <c r="X417" s="3"/>
      <c r="Y417" s="3"/>
      <c r="Z417" s="3"/>
    </row>
    <row r="418" spans="1:26" ht="12.75" x14ac:dyDescent="0.2">
      <c r="A418" s="3"/>
      <c r="B418" s="33"/>
      <c r="C418" s="33"/>
      <c r="D418" s="33"/>
      <c r="E418" s="33"/>
      <c r="F418" s="33"/>
      <c r="G418" s="33"/>
      <c r="H418" s="33"/>
      <c r="I418" s="33"/>
      <c r="J418" s="33"/>
      <c r="K418" s="33"/>
      <c r="L418" s="33"/>
      <c r="M418" s="33"/>
      <c r="N418" s="33"/>
      <c r="O418" s="33"/>
      <c r="P418" s="3"/>
      <c r="Q418" s="3"/>
      <c r="R418" s="3"/>
      <c r="S418" s="3"/>
      <c r="T418" s="3"/>
      <c r="U418" s="3"/>
      <c r="V418" s="3"/>
      <c r="W418" s="3"/>
      <c r="X418" s="3"/>
      <c r="Y418" s="3"/>
      <c r="Z418" s="3"/>
    </row>
    <row r="419" spans="1:26" ht="12.75" x14ac:dyDescent="0.2">
      <c r="A419" s="3"/>
      <c r="C419" s="64" t="s">
        <v>670</v>
      </c>
      <c r="D419" s="33"/>
      <c r="E419" s="33"/>
      <c r="F419" s="33"/>
      <c r="G419" s="33"/>
      <c r="H419" s="33"/>
      <c r="I419" s="33"/>
      <c r="J419" s="33"/>
      <c r="K419" s="33"/>
      <c r="L419" s="33"/>
      <c r="M419" s="33"/>
      <c r="N419" s="33"/>
      <c r="O419" s="33"/>
      <c r="P419" s="3"/>
      <c r="Q419" s="3"/>
      <c r="R419" s="3"/>
      <c r="S419" s="3"/>
      <c r="T419" s="3"/>
      <c r="U419" s="3"/>
      <c r="V419" s="3"/>
      <c r="W419" s="3"/>
      <c r="X419" s="3"/>
      <c r="Y419" s="3"/>
      <c r="Z419" s="3"/>
    </row>
    <row r="420" spans="1:26" ht="12.75" x14ac:dyDescent="0.2">
      <c r="A420" s="3"/>
      <c r="B420" s="33"/>
      <c r="C420" s="34" t="s">
        <v>218</v>
      </c>
      <c r="D420" s="33"/>
      <c r="E420" s="33"/>
      <c r="F420" s="33"/>
      <c r="G420" s="33"/>
      <c r="H420" s="33"/>
      <c r="I420" s="33"/>
      <c r="J420" s="33"/>
      <c r="K420" s="33"/>
      <c r="L420" s="33"/>
      <c r="M420" s="33"/>
      <c r="N420" s="33"/>
      <c r="O420" s="33"/>
      <c r="P420" s="3"/>
      <c r="Q420" s="3"/>
      <c r="R420" s="3"/>
      <c r="S420" s="3"/>
      <c r="T420" s="3"/>
      <c r="U420" s="3"/>
      <c r="V420" s="3"/>
      <c r="W420" s="3"/>
      <c r="X420" s="3"/>
      <c r="Y420" s="3"/>
      <c r="Z420" s="3"/>
    </row>
    <row r="421" spans="1:26" ht="12.75" x14ac:dyDescent="0.2">
      <c r="A421" s="3"/>
      <c r="B421" s="33"/>
      <c r="C421" s="94" t="s">
        <v>272</v>
      </c>
      <c r="D421" s="33"/>
      <c r="E421" s="301">
        <v>1</v>
      </c>
      <c r="F421" s="39">
        <f>$E421*F319</f>
        <v>1.59</v>
      </c>
      <c r="G421" s="39">
        <f>$E421*G319</f>
        <v>1.5899999999999999</v>
      </c>
      <c r="H421" s="39">
        <f>$E421*H319</f>
        <v>1.5899999999999999</v>
      </c>
      <c r="I421" s="39">
        <f>$E421*I319</f>
        <v>1.5899999999999999</v>
      </c>
      <c r="J421" s="39">
        <f>$E421*J319</f>
        <v>1.5899999999999999</v>
      </c>
      <c r="K421" s="39">
        <f>$E421*K319</f>
        <v>1.59</v>
      </c>
      <c r="L421" s="39">
        <f>$E421*L319</f>
        <v>1.59</v>
      </c>
      <c r="M421" s="39">
        <f>$E421*M319</f>
        <v>1.59</v>
      </c>
      <c r="N421" s="39">
        <f>$E421*N319</f>
        <v>1.59</v>
      </c>
      <c r="O421" s="39">
        <f>$E421*O319</f>
        <v>1.59</v>
      </c>
      <c r="P421" s="3"/>
      <c r="Q421" s="3"/>
      <c r="R421" s="3"/>
      <c r="S421" s="3"/>
      <c r="T421" s="3"/>
      <c r="U421" s="3"/>
      <c r="V421" s="3"/>
      <c r="W421" s="3"/>
      <c r="X421" s="3"/>
      <c r="Y421" s="3"/>
      <c r="Z421" s="3"/>
    </row>
    <row r="422" spans="1:26" ht="12.75" x14ac:dyDescent="0.2">
      <c r="A422" s="3"/>
      <c r="B422" s="33"/>
      <c r="C422" s="115" t="s">
        <v>273</v>
      </c>
      <c r="D422" s="33"/>
      <c r="E422" s="301">
        <v>1</v>
      </c>
      <c r="F422" s="39">
        <f>$E422*F320</f>
        <v>3.3201000000000005</v>
      </c>
      <c r="G422" s="39">
        <f>$E422*G320</f>
        <v>3.3201000000000001</v>
      </c>
      <c r="H422" s="39">
        <f>$E422*H320</f>
        <v>3.3201000000000005</v>
      </c>
      <c r="I422" s="39">
        <f>$E422*I320</f>
        <v>3.3201000000000001</v>
      </c>
      <c r="J422" s="39">
        <f>$E422*J320</f>
        <v>3.3201000000000001</v>
      </c>
      <c r="K422" s="39">
        <f>$E422*K320</f>
        <v>3.3201000000000005</v>
      </c>
      <c r="L422" s="39">
        <f>$E422*L320</f>
        <v>3.3201000000000005</v>
      </c>
      <c r="M422" s="39">
        <f>$E422*M320</f>
        <v>3.3201000000000005</v>
      </c>
      <c r="N422" s="39">
        <f>$E422*N320</f>
        <v>3.3201000000000005</v>
      </c>
      <c r="O422" s="39">
        <f>$E422*O320</f>
        <v>3.3201000000000005</v>
      </c>
      <c r="P422" s="3"/>
      <c r="Q422" s="3"/>
      <c r="R422" s="3"/>
      <c r="S422" s="3"/>
      <c r="T422" s="3"/>
      <c r="U422" s="3"/>
      <c r="V422" s="3"/>
      <c r="W422" s="3"/>
      <c r="X422" s="3"/>
      <c r="Y422" s="3"/>
      <c r="Z422" s="3"/>
    </row>
    <row r="423" spans="1:26" ht="12.75" x14ac:dyDescent="0.2">
      <c r="A423" s="3"/>
      <c r="B423" s="33"/>
      <c r="C423" s="84" t="s">
        <v>323</v>
      </c>
      <c r="D423" s="33"/>
      <c r="E423" s="301">
        <v>1</v>
      </c>
      <c r="F423" s="39">
        <f>$E423*F321</f>
        <v>5.6573999999999991</v>
      </c>
      <c r="G423" s="39">
        <f>$E423*G321</f>
        <v>5.6573999999999991</v>
      </c>
      <c r="H423" s="39">
        <f>$E423*H321</f>
        <v>5.6573999999999991</v>
      </c>
      <c r="I423" s="39">
        <f>$E423*I321</f>
        <v>5.6573999999999982</v>
      </c>
      <c r="J423" s="39">
        <f>$E423*J321</f>
        <v>5.6573999999999991</v>
      </c>
      <c r="K423" s="39">
        <f>$E423*K321</f>
        <v>5.6573999999999991</v>
      </c>
      <c r="L423" s="39">
        <f>$E423*L321</f>
        <v>5.6573999999999982</v>
      </c>
      <c r="M423" s="39">
        <f>$E423*M321</f>
        <v>5.6573999999999991</v>
      </c>
      <c r="N423" s="39">
        <f>$E423*N321</f>
        <v>5.6573999999999991</v>
      </c>
      <c r="O423" s="39">
        <f>$E423*O321</f>
        <v>5.6573999999999982</v>
      </c>
      <c r="P423" s="3"/>
      <c r="Q423" s="3"/>
      <c r="R423" s="3"/>
      <c r="S423" s="3"/>
      <c r="T423" s="3"/>
      <c r="U423" s="3"/>
      <c r="V423" s="3"/>
      <c r="W423" s="3"/>
      <c r="X423" s="3"/>
      <c r="Y423" s="3"/>
      <c r="Z423" s="3"/>
    </row>
    <row r="424" spans="1:26" ht="12.75" x14ac:dyDescent="0.2">
      <c r="A424" s="3"/>
      <c r="B424" s="33"/>
      <c r="C424" s="84" t="s">
        <v>492</v>
      </c>
      <c r="D424" s="33"/>
      <c r="E424" s="301">
        <v>1</v>
      </c>
      <c r="F424" s="39">
        <f>$E424*F322</f>
        <v>12.167999999999999</v>
      </c>
      <c r="G424" s="39">
        <f>$E424*G322</f>
        <v>12.167999999999999</v>
      </c>
      <c r="H424" s="39">
        <f>$E424*H322</f>
        <v>12.167999999999999</v>
      </c>
      <c r="I424" s="39">
        <f>$E424*I322</f>
        <v>12.167999999999999</v>
      </c>
      <c r="J424" s="39">
        <f>$E424*J322</f>
        <v>12.168000000000001</v>
      </c>
      <c r="K424" s="39">
        <f>$E424*K322</f>
        <v>12.168000000000001</v>
      </c>
      <c r="L424" s="39">
        <f>$E424*L322</f>
        <v>12.168000000000001</v>
      </c>
      <c r="M424" s="39">
        <f>$E424*M322</f>
        <v>12.167999999999999</v>
      </c>
      <c r="N424" s="39">
        <f>$E424*N322</f>
        <v>12.167999999999999</v>
      </c>
      <c r="O424" s="39">
        <f>$E424*O322</f>
        <v>12.167999999999999</v>
      </c>
      <c r="P424" s="3"/>
      <c r="Q424" s="3"/>
      <c r="R424" s="3"/>
      <c r="S424" s="3"/>
      <c r="T424" s="3"/>
      <c r="U424" s="3"/>
      <c r="V424" s="3"/>
      <c r="W424" s="3"/>
      <c r="X424" s="3"/>
      <c r="Y424" s="3"/>
      <c r="Z424" s="3"/>
    </row>
    <row r="425" spans="1:26" ht="12.75" x14ac:dyDescent="0.2">
      <c r="A425" s="3"/>
      <c r="B425" s="35"/>
      <c r="C425" s="115" t="s">
        <v>290</v>
      </c>
      <c r="D425" s="35"/>
      <c r="E425" s="301">
        <v>1</v>
      </c>
      <c r="F425" s="39">
        <f>$E425*F323</f>
        <v>32.868449999999996</v>
      </c>
      <c r="G425" s="39">
        <f>$E425*G323</f>
        <v>32.868449999999996</v>
      </c>
      <c r="H425" s="39">
        <f>$E425*H323</f>
        <v>32.868449999999996</v>
      </c>
      <c r="I425" s="39">
        <f>$E425*I323</f>
        <v>32.868449999999996</v>
      </c>
      <c r="J425" s="39">
        <f>$E425*J323</f>
        <v>32.868449999999996</v>
      </c>
      <c r="K425" s="39">
        <f>$E425*K323</f>
        <v>32.868450000000003</v>
      </c>
      <c r="L425" s="39">
        <f>$E425*L323</f>
        <v>32.868449999999996</v>
      </c>
      <c r="M425" s="39">
        <f>$E425*M323</f>
        <v>32.868449999999996</v>
      </c>
      <c r="N425" s="39">
        <f>$E425*N323</f>
        <v>32.868449999999996</v>
      </c>
      <c r="O425" s="39">
        <f>$E425*O323</f>
        <v>32.868449999999996</v>
      </c>
      <c r="P425" s="3"/>
      <c r="Q425" s="3"/>
      <c r="R425" s="3"/>
      <c r="S425" s="3"/>
      <c r="T425" s="3"/>
      <c r="U425" s="3"/>
      <c r="V425" s="3"/>
      <c r="W425" s="3"/>
      <c r="X425" s="3"/>
      <c r="Y425" s="3"/>
      <c r="Z425" s="3"/>
    </row>
    <row r="426" spans="1:26" ht="12.75" x14ac:dyDescent="0.2">
      <c r="A426" s="3"/>
      <c r="B426" s="33"/>
      <c r="C426" s="94" t="s">
        <v>278</v>
      </c>
      <c r="D426" s="33"/>
      <c r="E426" s="301">
        <v>1</v>
      </c>
      <c r="F426" s="39">
        <f>$E426*F324</f>
        <v>12.089100000000002</v>
      </c>
      <c r="G426" s="39">
        <f>$E426*G324</f>
        <v>12.089100000000002</v>
      </c>
      <c r="H426" s="39">
        <f>$E426*H324</f>
        <v>12.089100000000004</v>
      </c>
      <c r="I426" s="39">
        <f>$E426*I324</f>
        <v>12.089100000000002</v>
      </c>
      <c r="J426" s="39">
        <f>$E426*J324</f>
        <v>12.089100000000002</v>
      </c>
      <c r="K426" s="39">
        <f>$E426*K324</f>
        <v>12.089100000000004</v>
      </c>
      <c r="L426" s="39">
        <f>$E426*L324</f>
        <v>12.089100000000004</v>
      </c>
      <c r="M426" s="39">
        <f>$E426*M324</f>
        <v>12.089100000000002</v>
      </c>
      <c r="N426" s="39">
        <f>$E426*N324</f>
        <v>12.089100000000002</v>
      </c>
      <c r="O426" s="39">
        <f>$E426*O324</f>
        <v>12.089100000000002</v>
      </c>
      <c r="P426" s="3"/>
      <c r="Q426" s="3"/>
      <c r="R426" s="3"/>
      <c r="S426" s="3"/>
      <c r="T426" s="3"/>
      <c r="U426" s="3"/>
      <c r="V426" s="3"/>
      <c r="W426" s="3"/>
      <c r="X426" s="3"/>
      <c r="Y426" s="3"/>
      <c r="Z426" s="3"/>
    </row>
    <row r="427" spans="1:26" ht="12.75" x14ac:dyDescent="0.2">
      <c r="A427" s="3"/>
      <c r="B427" s="33"/>
      <c r="C427" s="9" t="s">
        <v>85</v>
      </c>
      <c r="D427" s="33"/>
      <c r="E427" s="301">
        <v>1</v>
      </c>
      <c r="F427" s="39">
        <f>$E427*F325</f>
        <v>13.66</v>
      </c>
      <c r="G427" s="39">
        <f>$E427*G325</f>
        <v>13.66</v>
      </c>
      <c r="H427" s="39">
        <f>$E427*H325</f>
        <v>13.66</v>
      </c>
      <c r="I427" s="39">
        <f>$E427*I325</f>
        <v>13.66</v>
      </c>
      <c r="J427" s="39">
        <f>$E427*J325</f>
        <v>0</v>
      </c>
      <c r="K427" s="39">
        <f>$E427*K325</f>
        <v>0</v>
      </c>
      <c r="L427" s="39">
        <f>$E427*L325</f>
        <v>0</v>
      </c>
      <c r="M427" s="39">
        <f>$E427*M325</f>
        <v>0</v>
      </c>
      <c r="N427" s="39">
        <f>$E427*N325</f>
        <v>0</v>
      </c>
      <c r="O427" s="39">
        <f>$E427*O325</f>
        <v>0</v>
      </c>
      <c r="P427" s="3"/>
      <c r="Q427" s="3"/>
      <c r="R427" s="3"/>
      <c r="S427" s="3"/>
      <c r="T427" s="3"/>
      <c r="U427" s="3"/>
      <c r="V427" s="3"/>
      <c r="W427" s="3"/>
      <c r="X427" s="3"/>
      <c r="Y427" s="3"/>
      <c r="Z427" s="3"/>
    </row>
    <row r="428" spans="1:26" ht="12.75" x14ac:dyDescent="0.2">
      <c r="A428" s="3"/>
      <c r="B428" s="33"/>
      <c r="C428" s="36" t="s">
        <v>207</v>
      </c>
      <c r="D428" s="36"/>
      <c r="E428" s="36"/>
      <c r="F428" s="59">
        <f>SUM(F421:F427)</f>
        <v>81.353049999999996</v>
      </c>
      <c r="G428" s="59">
        <f t="shared" ref="G428:O428" si="90">SUM(G421:G427)</f>
        <v>81.353049999999996</v>
      </c>
      <c r="H428" s="59">
        <f t="shared" si="90"/>
        <v>81.353049999999996</v>
      </c>
      <c r="I428" s="59">
        <f t="shared" si="90"/>
        <v>81.353049999999996</v>
      </c>
      <c r="J428" s="59">
        <f t="shared" si="90"/>
        <v>67.693049999999999</v>
      </c>
      <c r="K428" s="59">
        <f t="shared" si="90"/>
        <v>67.693050000000014</v>
      </c>
      <c r="L428" s="59">
        <f t="shared" si="90"/>
        <v>67.693049999999999</v>
      </c>
      <c r="M428" s="59">
        <f t="shared" si="90"/>
        <v>67.693049999999999</v>
      </c>
      <c r="N428" s="59">
        <f t="shared" si="90"/>
        <v>67.693049999999999</v>
      </c>
      <c r="O428" s="59">
        <f t="shared" si="90"/>
        <v>67.693049999999999</v>
      </c>
      <c r="P428" s="3"/>
      <c r="Q428" s="3"/>
      <c r="R428" s="3"/>
      <c r="S428" s="3"/>
      <c r="T428" s="3"/>
      <c r="U428" s="3"/>
      <c r="V428" s="3"/>
      <c r="W428" s="3"/>
      <c r="X428" s="3"/>
      <c r="Y428" s="3"/>
      <c r="Z428" s="3"/>
    </row>
    <row r="429" spans="1:26" ht="12.75" x14ac:dyDescent="0.2">
      <c r="A429" s="3"/>
      <c r="B429" s="33"/>
      <c r="C429" s="33"/>
      <c r="D429" s="33"/>
      <c r="E429" s="33"/>
      <c r="F429" s="33"/>
      <c r="G429" s="33"/>
      <c r="H429" s="33"/>
      <c r="I429" s="33"/>
      <c r="J429" s="33"/>
      <c r="K429" s="33"/>
      <c r="L429" s="33"/>
      <c r="M429" s="33"/>
      <c r="N429" s="33"/>
      <c r="O429" s="33"/>
      <c r="P429" s="3"/>
      <c r="Q429" s="3"/>
      <c r="R429" s="3"/>
      <c r="S429" s="3"/>
      <c r="T429" s="3"/>
      <c r="U429" s="3"/>
      <c r="V429" s="3"/>
      <c r="W429" s="3"/>
      <c r="X429" s="3"/>
      <c r="Y429" s="3"/>
      <c r="Z429" s="3"/>
    </row>
    <row r="430" spans="1:26" ht="12.75" x14ac:dyDescent="0.2">
      <c r="A430" s="3"/>
      <c r="B430" s="33"/>
      <c r="C430" s="34" t="s">
        <v>215</v>
      </c>
      <c r="D430" s="33"/>
      <c r="E430" s="33"/>
      <c r="F430" s="41"/>
      <c r="G430" s="41"/>
      <c r="H430" s="41"/>
      <c r="I430" s="41"/>
      <c r="J430" s="41"/>
      <c r="K430" s="41"/>
      <c r="L430" s="41"/>
      <c r="M430" s="41"/>
      <c r="N430" s="41"/>
      <c r="O430" s="41"/>
      <c r="P430" s="3"/>
      <c r="Q430" s="3"/>
      <c r="R430" s="3"/>
      <c r="S430" s="3"/>
      <c r="T430" s="3"/>
      <c r="U430" s="3"/>
      <c r="V430" s="3"/>
      <c r="W430" s="3"/>
      <c r="X430" s="3"/>
      <c r="Y430" s="3"/>
      <c r="Z430" s="3"/>
    </row>
    <row r="431" spans="1:26" ht="12.75" x14ac:dyDescent="0.2">
      <c r="A431" s="3"/>
      <c r="B431" s="33"/>
      <c r="C431" s="393" t="s">
        <v>893</v>
      </c>
      <c r="D431" s="33"/>
      <c r="E431" s="301">
        <v>1</v>
      </c>
      <c r="F431" s="39">
        <f>$E431*F329</f>
        <v>10.897500000000001</v>
      </c>
      <c r="G431" s="39">
        <f>$E431*G329</f>
        <v>0</v>
      </c>
      <c r="H431" s="39">
        <f>$E431*H329</f>
        <v>0</v>
      </c>
      <c r="I431" s="39">
        <f>$E431*I329</f>
        <v>0</v>
      </c>
      <c r="J431" s="39">
        <f>$E431*J329</f>
        <v>0</v>
      </c>
      <c r="K431" s="39">
        <f>$E431*K329</f>
        <v>0</v>
      </c>
      <c r="L431" s="39">
        <f>$E431*L329</f>
        <v>0</v>
      </c>
      <c r="M431" s="39">
        <f>$E431*M329</f>
        <v>0</v>
      </c>
      <c r="N431" s="39">
        <f>$E431*N329</f>
        <v>0</v>
      </c>
      <c r="O431" s="39">
        <f>$E431*O329</f>
        <v>0</v>
      </c>
      <c r="P431" s="3"/>
      <c r="Q431" s="3"/>
      <c r="R431" s="3"/>
      <c r="S431" s="3"/>
      <c r="T431" s="3"/>
      <c r="U431" s="3"/>
      <c r="V431" s="3"/>
      <c r="W431" s="3"/>
      <c r="X431" s="3"/>
      <c r="Y431" s="3"/>
      <c r="Z431" s="3"/>
    </row>
    <row r="432" spans="1:26" ht="12.75" x14ac:dyDescent="0.2">
      <c r="A432" s="3"/>
      <c r="B432" s="33"/>
      <c r="C432" s="27" t="s">
        <v>283</v>
      </c>
      <c r="D432" s="33"/>
      <c r="E432" s="301">
        <v>1</v>
      </c>
      <c r="F432" s="39">
        <f>$E432*F330</f>
        <v>5.7781730769230775</v>
      </c>
      <c r="G432" s="39">
        <f>$E432*G330</f>
        <v>5.7781730769230775</v>
      </c>
      <c r="H432" s="39">
        <f>$E432*H330</f>
        <v>5.7781730769230775</v>
      </c>
      <c r="I432" s="39">
        <f>$E432*I330</f>
        <v>5.7781730769230775</v>
      </c>
      <c r="J432" s="39">
        <f>$E432*J330</f>
        <v>5.7781730769230775</v>
      </c>
      <c r="K432" s="39">
        <f>$E432*K330</f>
        <v>5.7781730769230775</v>
      </c>
      <c r="L432" s="39">
        <f>$E432*L330</f>
        <v>5.7781730769230775</v>
      </c>
      <c r="M432" s="39">
        <f>$E432*M330</f>
        <v>5.7781730769230775</v>
      </c>
      <c r="N432" s="39">
        <f>$E432*N330</f>
        <v>5.7781730769230775</v>
      </c>
      <c r="O432" s="39">
        <f>$E432*O330</f>
        <v>5.7781730769230775</v>
      </c>
      <c r="P432" s="3"/>
      <c r="Q432" s="3"/>
      <c r="R432" s="3"/>
      <c r="S432" s="3"/>
      <c r="T432" s="3"/>
      <c r="U432" s="3"/>
      <c r="V432" s="3"/>
      <c r="W432" s="3"/>
      <c r="X432" s="3"/>
      <c r="Y432" s="3"/>
      <c r="Z432" s="3"/>
    </row>
    <row r="433" spans="1:26" ht="12.75" x14ac:dyDescent="0.2">
      <c r="A433" s="3"/>
      <c r="B433" s="33"/>
      <c r="C433" s="27" t="s">
        <v>614</v>
      </c>
      <c r="D433" s="33"/>
      <c r="E433" s="301">
        <v>1</v>
      </c>
      <c r="F433" s="39">
        <f>$E433*F331</f>
        <v>84</v>
      </c>
      <c r="G433" s="39">
        <f>$E433*G331</f>
        <v>0</v>
      </c>
      <c r="H433" s="39">
        <f>$E433*H331</f>
        <v>0</v>
      </c>
      <c r="I433" s="39">
        <f>$E433*I331</f>
        <v>0</v>
      </c>
      <c r="J433" s="39">
        <f>$E433*J331</f>
        <v>0</v>
      </c>
      <c r="K433" s="39">
        <f>$E433*K331</f>
        <v>0</v>
      </c>
      <c r="L433" s="39">
        <f>$E433*L331</f>
        <v>0</v>
      </c>
      <c r="M433" s="39">
        <f>$E433*M331</f>
        <v>0</v>
      </c>
      <c r="N433" s="39">
        <f>$E433*N331</f>
        <v>0</v>
      </c>
      <c r="O433" s="39">
        <f>$E433*O331</f>
        <v>0</v>
      </c>
      <c r="P433" s="3"/>
      <c r="Q433" s="3"/>
      <c r="R433" s="3"/>
      <c r="S433" s="3"/>
      <c r="T433" s="3"/>
      <c r="U433" s="3"/>
      <c r="V433" s="3"/>
      <c r="W433" s="3"/>
      <c r="X433" s="3"/>
      <c r="Y433" s="3"/>
      <c r="Z433" s="3"/>
    </row>
    <row r="434" spans="1:26" ht="12.75" x14ac:dyDescent="0.2">
      <c r="A434" s="3"/>
      <c r="B434" s="33"/>
      <c r="C434" s="31" t="s">
        <v>216</v>
      </c>
      <c r="D434" s="36"/>
      <c r="E434" s="36"/>
      <c r="F434" s="40">
        <f>SUM(F431:F433)</f>
        <v>100.67567307692308</v>
      </c>
      <c r="G434" s="40">
        <f t="shared" ref="G434:O434" si="91">SUM(G431:G433)</f>
        <v>5.7781730769230775</v>
      </c>
      <c r="H434" s="40">
        <f t="shared" si="91"/>
        <v>5.7781730769230775</v>
      </c>
      <c r="I434" s="40">
        <f t="shared" si="91"/>
        <v>5.7781730769230775</v>
      </c>
      <c r="J434" s="40">
        <f t="shared" si="91"/>
        <v>5.7781730769230775</v>
      </c>
      <c r="K434" s="40">
        <f t="shared" si="91"/>
        <v>5.7781730769230775</v>
      </c>
      <c r="L434" s="40">
        <f t="shared" si="91"/>
        <v>5.7781730769230775</v>
      </c>
      <c r="M434" s="40">
        <f t="shared" si="91"/>
        <v>5.7781730769230775</v>
      </c>
      <c r="N434" s="40">
        <f t="shared" si="91"/>
        <v>5.7781730769230775</v>
      </c>
      <c r="O434" s="40">
        <f t="shared" si="91"/>
        <v>5.7781730769230775</v>
      </c>
      <c r="P434" s="3"/>
      <c r="Q434" s="3"/>
      <c r="R434" s="3"/>
      <c r="S434" s="3"/>
      <c r="T434" s="3"/>
      <c r="U434" s="3"/>
      <c r="V434" s="3"/>
      <c r="W434" s="3"/>
      <c r="X434" s="3"/>
      <c r="Y434" s="3"/>
      <c r="Z434" s="3"/>
    </row>
    <row r="435" spans="1:26" ht="12.75" x14ac:dyDescent="0.2">
      <c r="A435" s="3"/>
      <c r="B435" s="33"/>
      <c r="C435" s="35"/>
      <c r="D435" s="33"/>
      <c r="E435" s="33"/>
      <c r="F435" s="41"/>
      <c r="G435" s="41"/>
      <c r="H435" s="41"/>
      <c r="I435" s="41"/>
      <c r="J435" s="41"/>
      <c r="K435" s="41"/>
      <c r="L435" s="41"/>
      <c r="M435" s="41"/>
      <c r="N435" s="41"/>
      <c r="O435" s="41"/>
      <c r="P435" s="3"/>
      <c r="Q435" s="3"/>
      <c r="R435" s="3"/>
      <c r="S435" s="3"/>
      <c r="T435" s="3"/>
      <c r="U435" s="3"/>
      <c r="V435" s="3"/>
      <c r="W435" s="3"/>
      <c r="X435" s="3"/>
      <c r="Y435" s="3"/>
      <c r="Z435" s="3"/>
    </row>
    <row r="436" spans="1:26" ht="12.75" x14ac:dyDescent="0.2">
      <c r="A436" s="3"/>
      <c r="B436" s="33"/>
      <c r="C436" s="34" t="s">
        <v>219</v>
      </c>
      <c r="D436" s="33"/>
      <c r="E436" s="33"/>
      <c r="F436" s="41"/>
      <c r="G436" s="41"/>
      <c r="H436" s="41"/>
      <c r="I436" s="41"/>
      <c r="J436" s="41"/>
      <c r="K436" s="41"/>
      <c r="L436" s="41"/>
      <c r="M436" s="41"/>
      <c r="N436" s="41"/>
      <c r="O436" s="41"/>
      <c r="P436" s="3"/>
      <c r="Q436" s="3"/>
      <c r="R436" s="3"/>
      <c r="S436" s="3"/>
      <c r="T436" s="3"/>
      <c r="U436" s="3"/>
      <c r="V436" s="3"/>
      <c r="W436" s="3"/>
      <c r="X436" s="3"/>
      <c r="Y436" s="3"/>
      <c r="Z436" s="3"/>
    </row>
    <row r="437" spans="1:26" ht="12.75" x14ac:dyDescent="0.2">
      <c r="A437" s="3"/>
      <c r="B437" s="33"/>
      <c r="C437" s="27" t="s">
        <v>602</v>
      </c>
      <c r="D437" s="33"/>
      <c r="E437" s="301">
        <v>1</v>
      </c>
      <c r="F437" s="39">
        <f>$E437*F335</f>
        <v>49.994999999999997</v>
      </c>
      <c r="G437" s="39">
        <f>$E437*G335</f>
        <v>0</v>
      </c>
      <c r="H437" s="39">
        <f>$E437*H335</f>
        <v>0</v>
      </c>
      <c r="I437" s="39">
        <f>$E437*I335</f>
        <v>0</v>
      </c>
      <c r="J437" s="39">
        <f>$E437*J335</f>
        <v>0</v>
      </c>
      <c r="K437" s="39">
        <f>$E437*K335</f>
        <v>0</v>
      </c>
      <c r="L437" s="39">
        <f>$E437*L335</f>
        <v>0</v>
      </c>
      <c r="M437" s="39">
        <f>$E437*M335</f>
        <v>0</v>
      </c>
      <c r="N437" s="39">
        <f>$E437*N335</f>
        <v>0</v>
      </c>
      <c r="O437" s="39">
        <f>$E437*O335</f>
        <v>0</v>
      </c>
      <c r="P437" s="3"/>
      <c r="Q437" s="3"/>
      <c r="R437" s="3"/>
      <c r="S437" s="3"/>
      <c r="T437" s="3"/>
      <c r="U437" s="3"/>
      <c r="V437" s="3"/>
      <c r="W437" s="3"/>
      <c r="X437" s="3"/>
      <c r="Y437" s="3"/>
      <c r="Z437" s="3"/>
    </row>
    <row r="438" spans="1:26" ht="12.75" x14ac:dyDescent="0.2">
      <c r="A438" s="3"/>
      <c r="B438" s="33"/>
      <c r="C438" s="393" t="s">
        <v>495</v>
      </c>
      <c r="D438" s="33"/>
      <c r="E438" s="299">
        <f>CFs!$C$252</f>
        <v>1.5401003517880794</v>
      </c>
      <c r="F438" s="39">
        <f>$E438*F336</f>
        <v>44.3271683251645</v>
      </c>
      <c r="G438" s="39">
        <f>$E438*G336</f>
        <v>44.3271683251645</v>
      </c>
      <c r="H438" s="39">
        <f>$E438*H336</f>
        <v>44.327168325164493</v>
      </c>
      <c r="I438" s="39">
        <f>$E438*I336</f>
        <v>44.327168325164507</v>
      </c>
      <c r="J438" s="39">
        <f>$E438*J336</f>
        <v>44.3271683251645</v>
      </c>
      <c r="K438" s="39">
        <f>$E438*K336</f>
        <v>44.3271683251645</v>
      </c>
      <c r="L438" s="39">
        <f>$E438*L336</f>
        <v>44.3271683251645</v>
      </c>
      <c r="M438" s="39">
        <f>$E438*M336</f>
        <v>44.3271683251645</v>
      </c>
      <c r="N438" s="39">
        <f>$E438*N336</f>
        <v>44.327168325164507</v>
      </c>
      <c r="O438" s="39">
        <f>$E438*O336</f>
        <v>44.3271683251645</v>
      </c>
      <c r="P438" s="3"/>
      <c r="Q438" s="3"/>
      <c r="R438" s="3"/>
      <c r="S438" s="3"/>
      <c r="T438" s="3"/>
      <c r="U438" s="3"/>
      <c r="V438" s="3"/>
      <c r="W438" s="3"/>
      <c r="X438" s="3"/>
      <c r="Y438" s="3"/>
      <c r="Z438" s="3"/>
    </row>
    <row r="439" spans="1:26" ht="12.75" x14ac:dyDescent="0.2">
      <c r="A439" s="3"/>
      <c r="B439" s="33"/>
      <c r="C439" s="393" t="s">
        <v>353</v>
      </c>
      <c r="D439" s="33"/>
      <c r="E439" s="301">
        <v>1</v>
      </c>
      <c r="F439" s="39">
        <f>$E439*F337</f>
        <v>5.4900000004500003</v>
      </c>
      <c r="G439" s="39">
        <f>$E439*G337</f>
        <v>5.4900000004499994</v>
      </c>
      <c r="H439" s="39">
        <f>$E439*H337</f>
        <v>5.4900000004499994</v>
      </c>
      <c r="I439" s="39">
        <f>$E439*I337</f>
        <v>5.4900000004500003</v>
      </c>
      <c r="J439" s="39">
        <f>$E439*J337</f>
        <v>5.4900000004499994</v>
      </c>
      <c r="K439" s="39">
        <f>$E439*K337</f>
        <v>5.4900000004500003</v>
      </c>
      <c r="L439" s="39">
        <f>$E439*L337</f>
        <v>5.4900000004500003</v>
      </c>
      <c r="M439" s="39">
        <f>$E439*M337</f>
        <v>5.4900000004500011</v>
      </c>
      <c r="N439" s="39">
        <f>$E439*N337</f>
        <v>5.4900000004500011</v>
      </c>
      <c r="O439" s="39">
        <f>$E439*O337</f>
        <v>5.4900000004500003</v>
      </c>
      <c r="P439" s="3"/>
      <c r="Q439" s="3"/>
      <c r="R439" s="3"/>
      <c r="S439" s="3"/>
      <c r="T439" s="3"/>
      <c r="U439" s="3"/>
      <c r="V439" s="3"/>
      <c r="W439" s="3"/>
      <c r="X439" s="3"/>
      <c r="Y439" s="3"/>
      <c r="Z439" s="3"/>
    </row>
    <row r="440" spans="1:26" ht="12.75" x14ac:dyDescent="0.2">
      <c r="A440" s="3"/>
      <c r="B440" s="35"/>
      <c r="C440" s="84" t="s">
        <v>334</v>
      </c>
      <c r="D440" s="35"/>
      <c r="E440" s="301">
        <v>1</v>
      </c>
      <c r="F440" s="39">
        <f>$E440*F338</f>
        <v>5.0160000001477201</v>
      </c>
      <c r="G440" s="39">
        <f>$E440*G338</f>
        <v>5.016000000147721</v>
      </c>
      <c r="H440" s="39">
        <f>$E440*H338</f>
        <v>5.0160000001477201</v>
      </c>
      <c r="I440" s="39">
        <f>$E440*I338</f>
        <v>5.016000000147721</v>
      </c>
      <c r="J440" s="39">
        <f>$E440*J338</f>
        <v>5.0160000001477201</v>
      </c>
      <c r="K440" s="39">
        <f>$E440*K338</f>
        <v>5.016000000147721</v>
      </c>
      <c r="L440" s="39">
        <f>$E440*L338</f>
        <v>5.0160000001477201</v>
      </c>
      <c r="M440" s="39">
        <f>$E440*M338</f>
        <v>5.016000000147721</v>
      </c>
      <c r="N440" s="39">
        <f>$E440*N338</f>
        <v>5.016000000147721</v>
      </c>
      <c r="O440" s="39">
        <f>$E440*O338</f>
        <v>5.0160000001477201</v>
      </c>
      <c r="P440" s="3"/>
      <c r="Q440" s="3"/>
      <c r="R440" s="3"/>
      <c r="S440" s="3"/>
      <c r="T440" s="3"/>
      <c r="U440" s="3"/>
      <c r="V440" s="3"/>
      <c r="W440" s="3"/>
      <c r="X440" s="3"/>
      <c r="Y440" s="3"/>
      <c r="Z440" s="3"/>
    </row>
    <row r="441" spans="1:26" ht="12.75" x14ac:dyDescent="0.2">
      <c r="A441" s="3"/>
      <c r="B441" s="33"/>
      <c r="C441" s="9" t="s">
        <v>105</v>
      </c>
      <c r="D441" s="33"/>
      <c r="E441" s="301">
        <v>1</v>
      </c>
      <c r="F441" s="39">
        <f>$E441*F339</f>
        <v>2.4</v>
      </c>
      <c r="G441" s="39">
        <f>$E441*G339</f>
        <v>2.3999999999999995</v>
      </c>
      <c r="H441" s="39">
        <f>$E441*H339</f>
        <v>2.4</v>
      </c>
      <c r="I441" s="39">
        <f>$E441*I339</f>
        <v>2.4</v>
      </c>
      <c r="J441" s="39">
        <f>$E441*J339</f>
        <v>2.4</v>
      </c>
      <c r="K441" s="39">
        <f>$E441*K339</f>
        <v>2.4</v>
      </c>
      <c r="L441" s="39">
        <f>$E441*L339</f>
        <v>2.4</v>
      </c>
      <c r="M441" s="39">
        <f>$E441*M339</f>
        <v>2.4000000000000004</v>
      </c>
      <c r="N441" s="39">
        <f>$E441*N339</f>
        <v>2.4000000000000004</v>
      </c>
      <c r="O441" s="39">
        <f>$E441*O339</f>
        <v>2.3999999999999995</v>
      </c>
      <c r="P441" s="3"/>
      <c r="Q441" s="3"/>
      <c r="R441" s="3"/>
      <c r="S441" s="3"/>
      <c r="T441" s="3"/>
      <c r="U441" s="3"/>
      <c r="V441" s="3"/>
      <c r="W441" s="3"/>
      <c r="X441" s="3"/>
      <c r="Y441" s="3"/>
      <c r="Z441" s="3"/>
    </row>
    <row r="442" spans="1:26" ht="12.75" x14ac:dyDescent="0.2">
      <c r="A442" s="3"/>
      <c r="B442" s="33"/>
      <c r="C442" s="9" t="s">
        <v>108</v>
      </c>
      <c r="D442" s="33"/>
      <c r="E442" s="301">
        <v>1</v>
      </c>
      <c r="F442" s="39">
        <f>$E442*F340</f>
        <v>0.9</v>
      </c>
      <c r="G442" s="39">
        <f>$E442*G340</f>
        <v>1.1000000000000001</v>
      </c>
      <c r="H442" s="39">
        <f>$E442*H340</f>
        <v>1.3</v>
      </c>
      <c r="I442" s="39">
        <f>$E442*I340</f>
        <v>1.6</v>
      </c>
      <c r="J442" s="39">
        <f>$E442*J340</f>
        <v>1.7000000000000002</v>
      </c>
      <c r="K442" s="39">
        <f>$E442*K340</f>
        <v>1.7</v>
      </c>
      <c r="L442" s="39">
        <f>$E442*L340</f>
        <v>1.7</v>
      </c>
      <c r="M442" s="39">
        <f>$E442*M340</f>
        <v>1.7</v>
      </c>
      <c r="N442" s="39">
        <f>$E442*N340</f>
        <v>1.7</v>
      </c>
      <c r="O442" s="39">
        <f>$E442*O340</f>
        <v>1.7</v>
      </c>
      <c r="P442" s="3"/>
      <c r="Q442" s="3"/>
      <c r="R442" s="3"/>
      <c r="S442" s="3"/>
      <c r="T442" s="3"/>
      <c r="U442" s="3"/>
      <c r="V442" s="3"/>
      <c r="W442" s="3"/>
      <c r="X442" s="3"/>
      <c r="Y442" s="3"/>
      <c r="Z442" s="3"/>
    </row>
    <row r="443" spans="1:26" ht="12.75" x14ac:dyDescent="0.2">
      <c r="A443" s="3"/>
      <c r="B443" s="43"/>
      <c r="C443" s="68" t="s">
        <v>217</v>
      </c>
      <c r="D443" s="68"/>
      <c r="E443" s="68"/>
      <c r="F443" s="69">
        <f t="shared" ref="F443:O443" si="92">SUM(F437:F442)</f>
        <v>108.12816832576223</v>
      </c>
      <c r="G443" s="69">
        <f t="shared" si="92"/>
        <v>58.333168325762223</v>
      </c>
      <c r="H443" s="69">
        <f t="shared" si="92"/>
        <v>58.533168325762205</v>
      </c>
      <c r="I443" s="69">
        <f t="shared" si="92"/>
        <v>58.83316832576223</v>
      </c>
      <c r="J443" s="69">
        <f t="shared" si="92"/>
        <v>58.933168325762225</v>
      </c>
      <c r="K443" s="69">
        <f t="shared" si="92"/>
        <v>58.933168325762225</v>
      </c>
      <c r="L443" s="69">
        <f t="shared" si="92"/>
        <v>58.933168325762225</v>
      </c>
      <c r="M443" s="69">
        <f t="shared" si="92"/>
        <v>58.933168325762225</v>
      </c>
      <c r="N443" s="69">
        <f t="shared" si="92"/>
        <v>58.933168325762232</v>
      </c>
      <c r="O443" s="69">
        <f t="shared" si="92"/>
        <v>58.933168325762225</v>
      </c>
      <c r="P443" s="3"/>
      <c r="Q443" s="3"/>
      <c r="R443" s="3"/>
      <c r="S443" s="3"/>
      <c r="T443" s="3"/>
      <c r="U443" s="3"/>
      <c r="V443" s="3"/>
      <c r="W443" s="3"/>
      <c r="X443" s="3"/>
      <c r="Y443" s="3"/>
      <c r="Z443" s="3"/>
    </row>
    <row r="444" spans="1:26" ht="12.75" x14ac:dyDescent="0.2">
      <c r="A444" s="3"/>
      <c r="B444" s="43"/>
      <c r="C444" s="74"/>
      <c r="D444" s="74"/>
      <c r="E444" s="74"/>
      <c r="F444" s="75"/>
      <c r="G444" s="75"/>
      <c r="H444" s="75"/>
      <c r="I444" s="75"/>
      <c r="J444" s="75"/>
      <c r="K444" s="75"/>
      <c r="L444" s="75"/>
      <c r="M444" s="75"/>
      <c r="N444" s="75"/>
      <c r="O444" s="75"/>
      <c r="P444" s="3"/>
      <c r="Q444" s="3"/>
      <c r="R444" s="3"/>
      <c r="S444" s="3"/>
      <c r="T444" s="3"/>
      <c r="U444" s="3"/>
      <c r="V444" s="3"/>
      <c r="W444" s="3"/>
      <c r="X444" s="3"/>
      <c r="Y444" s="3"/>
      <c r="Z444" s="3"/>
    </row>
    <row r="445" spans="1:26" ht="12.75" x14ac:dyDescent="0.2">
      <c r="A445" s="3"/>
      <c r="B445" s="43"/>
      <c r="C445" s="34" t="s">
        <v>287</v>
      </c>
      <c r="D445" s="74"/>
      <c r="E445" s="74"/>
      <c r="F445" s="75"/>
      <c r="G445" s="75"/>
      <c r="H445" s="75"/>
      <c r="I445" s="75"/>
      <c r="J445" s="75"/>
      <c r="K445" s="75"/>
      <c r="L445" s="75"/>
      <c r="M445" s="75"/>
      <c r="N445" s="75"/>
      <c r="O445" s="75"/>
      <c r="P445" s="3"/>
      <c r="Q445" s="3"/>
      <c r="R445" s="3"/>
      <c r="S445" s="3"/>
      <c r="T445" s="3"/>
      <c r="U445" s="3"/>
      <c r="V445" s="3"/>
      <c r="W445" s="3"/>
      <c r="X445" s="3"/>
      <c r="Y445" s="3"/>
      <c r="Z445" s="3"/>
    </row>
    <row r="446" spans="1:26" ht="12.75" x14ac:dyDescent="0.2">
      <c r="A446" s="3"/>
      <c r="B446" s="33"/>
      <c r="C446" s="27" t="s">
        <v>282</v>
      </c>
      <c r="D446" s="33"/>
      <c r="E446" s="300">
        <f>CFs!$D$32</f>
        <v>1.2</v>
      </c>
      <c r="F446" s="39">
        <f>$E446*F344</f>
        <v>1.4832719999999997</v>
      </c>
      <c r="G446" s="39">
        <f>$E446*G344</f>
        <v>1.8689227199999994</v>
      </c>
      <c r="H446" s="39">
        <f>$E446*H344</f>
        <v>2.2894303319999998</v>
      </c>
      <c r="I446" s="39">
        <f>$E446*I344</f>
        <v>2.7473163984000002</v>
      </c>
      <c r="J446" s="39">
        <f>$E446*J344</f>
        <v>2.8846822183200005</v>
      </c>
      <c r="K446" s="39">
        <f>$E446*K344</f>
        <v>2.9665439999999994</v>
      </c>
      <c r="L446" s="39">
        <f>$E446*L344</f>
        <v>2.9665439999999994</v>
      </c>
      <c r="M446" s="39">
        <f>$E446*M344</f>
        <v>2.9665439999999998</v>
      </c>
      <c r="N446" s="39">
        <f>$E446*N344</f>
        <v>2.9665439999999994</v>
      </c>
      <c r="O446" s="39">
        <f>$E446*O344</f>
        <v>2.9665439999999998</v>
      </c>
      <c r="P446" s="3"/>
      <c r="Q446" s="3"/>
      <c r="R446" s="3"/>
      <c r="S446" s="3"/>
      <c r="T446" s="3"/>
      <c r="U446" s="3"/>
      <c r="V446" s="3"/>
      <c r="W446" s="3"/>
      <c r="X446" s="3"/>
      <c r="Y446" s="3"/>
      <c r="Z446" s="3"/>
    </row>
    <row r="447" spans="1:26" ht="12.75" x14ac:dyDescent="0.2">
      <c r="A447" s="3"/>
      <c r="B447" s="33"/>
      <c r="C447" s="27" t="s">
        <v>284</v>
      </c>
      <c r="D447" s="33"/>
      <c r="E447" s="301">
        <v>1</v>
      </c>
      <c r="F447" s="39">
        <f>$E447*F345</f>
        <v>0.24827815384615384</v>
      </c>
      <c r="G447" s="39">
        <f>$E447*G345</f>
        <v>0.31283047384615381</v>
      </c>
      <c r="H447" s="39">
        <f>$E447*H345</f>
        <v>0.38321733046153839</v>
      </c>
      <c r="I447" s="39">
        <f>$E447*I345</f>
        <v>0.4598607965538461</v>
      </c>
      <c r="J447" s="39">
        <f>$E447*J345</f>
        <v>0.48285383638153861</v>
      </c>
      <c r="K447" s="39">
        <f>$E447*K345</f>
        <v>0.49655630769230763</v>
      </c>
      <c r="L447" s="39">
        <f>$E447*L345</f>
        <v>0.49655630769230757</v>
      </c>
      <c r="M447" s="39">
        <f>$E447*M345</f>
        <v>0.49655630769230763</v>
      </c>
      <c r="N447" s="39">
        <f>$E447*N345</f>
        <v>0.49655630769230763</v>
      </c>
      <c r="O447" s="39">
        <f>$E447*O345</f>
        <v>0.49655630769230769</v>
      </c>
      <c r="P447" s="3"/>
      <c r="Q447" s="3"/>
      <c r="R447" s="3"/>
      <c r="S447" s="3"/>
      <c r="T447" s="3"/>
      <c r="U447" s="3"/>
      <c r="V447" s="3"/>
      <c r="W447" s="3"/>
      <c r="X447" s="3"/>
      <c r="Y447" s="3"/>
      <c r="Z447" s="3"/>
    </row>
    <row r="448" spans="1:26" ht="12.75" x14ac:dyDescent="0.2">
      <c r="A448" s="3"/>
      <c r="B448" s="43"/>
      <c r="C448" s="68" t="s">
        <v>289</v>
      </c>
      <c r="D448" s="36"/>
      <c r="E448" s="36"/>
      <c r="F448" s="40">
        <f>SUM(F446:F447)</f>
        <v>1.7315501538461535</v>
      </c>
      <c r="G448" s="40">
        <f t="shared" ref="G448:O448" si="93">SUM(G446:G447)</f>
        <v>2.181753193846153</v>
      </c>
      <c r="H448" s="40">
        <f t="shared" si="93"/>
        <v>2.6726476624615381</v>
      </c>
      <c r="I448" s="40">
        <f t="shared" si="93"/>
        <v>3.2071771949538461</v>
      </c>
      <c r="J448" s="40">
        <f t="shared" si="93"/>
        <v>3.3675360547015392</v>
      </c>
      <c r="K448" s="40">
        <f t="shared" si="93"/>
        <v>3.463100307692307</v>
      </c>
      <c r="L448" s="40">
        <f t="shared" si="93"/>
        <v>3.463100307692307</v>
      </c>
      <c r="M448" s="40">
        <f t="shared" si="93"/>
        <v>3.4631003076923075</v>
      </c>
      <c r="N448" s="40">
        <f t="shared" si="93"/>
        <v>3.463100307692307</v>
      </c>
      <c r="O448" s="40">
        <f t="shared" si="93"/>
        <v>3.4631003076923075</v>
      </c>
      <c r="P448" s="3"/>
      <c r="Q448" s="3"/>
      <c r="R448" s="3"/>
      <c r="S448" s="3"/>
      <c r="T448" s="3"/>
      <c r="U448" s="3"/>
      <c r="V448" s="3"/>
      <c r="W448" s="3"/>
      <c r="X448" s="3"/>
      <c r="Y448" s="3"/>
      <c r="Z448" s="3"/>
    </row>
    <row r="449" spans="1:26" ht="12.75" x14ac:dyDescent="0.2">
      <c r="A449" s="3"/>
      <c r="B449" s="43"/>
      <c r="C449" s="43"/>
      <c r="D449" s="43"/>
      <c r="E449" s="43"/>
      <c r="F449" s="101"/>
      <c r="G449" s="43"/>
      <c r="H449" s="43"/>
      <c r="I449" s="43"/>
      <c r="J449" s="43"/>
      <c r="K449" s="43"/>
      <c r="L449" s="43"/>
      <c r="M449" s="43"/>
      <c r="N449" s="43"/>
      <c r="O449" s="43"/>
      <c r="P449" s="3"/>
      <c r="Q449" s="3"/>
      <c r="R449" s="3"/>
      <c r="S449" s="3"/>
      <c r="T449" s="3"/>
      <c r="U449" s="3"/>
      <c r="V449" s="3"/>
      <c r="W449" s="3"/>
      <c r="X449" s="3"/>
      <c r="Y449" s="3"/>
      <c r="Z449" s="3"/>
    </row>
    <row r="450" spans="1:26" ht="12.75" x14ac:dyDescent="0.2">
      <c r="A450" s="3"/>
      <c r="B450" s="43"/>
      <c r="C450" s="70" t="s">
        <v>669</v>
      </c>
      <c r="D450" s="70"/>
      <c r="E450" s="70"/>
      <c r="F450" s="71">
        <f t="shared" ref="F450:O450" si="94">F428+F434+F443+F448</f>
        <v>291.88844155653152</v>
      </c>
      <c r="G450" s="71">
        <f t="shared" si="94"/>
        <v>147.64614459653146</v>
      </c>
      <c r="H450" s="71">
        <f t="shared" si="94"/>
        <v>148.33703906514683</v>
      </c>
      <c r="I450" s="71">
        <f t="shared" si="94"/>
        <v>149.17156859763915</v>
      </c>
      <c r="J450" s="71">
        <f t="shared" si="94"/>
        <v>135.77192745738682</v>
      </c>
      <c r="K450" s="71">
        <f t="shared" si="94"/>
        <v>135.86749171037764</v>
      </c>
      <c r="L450" s="71">
        <f t="shared" si="94"/>
        <v>135.86749171037761</v>
      </c>
      <c r="M450" s="71">
        <f t="shared" si="94"/>
        <v>135.86749171037761</v>
      </c>
      <c r="N450" s="71">
        <f t="shared" si="94"/>
        <v>135.86749171037764</v>
      </c>
      <c r="O450" s="71">
        <f t="shared" si="94"/>
        <v>135.86749171037761</v>
      </c>
      <c r="P450" s="3"/>
      <c r="Q450" s="3"/>
      <c r="R450" s="3"/>
      <c r="S450" s="3"/>
      <c r="T450" s="3"/>
      <c r="U450" s="3"/>
      <c r="V450" s="3"/>
      <c r="W450" s="3"/>
      <c r="X450" s="3"/>
      <c r="Y450" s="3"/>
      <c r="Z450" s="3"/>
    </row>
    <row r="451" spans="1:26" ht="12.75" x14ac:dyDescent="0.2">
      <c r="A451" s="3"/>
      <c r="B451" s="43"/>
      <c r="C451" s="43"/>
      <c r="D451" s="43"/>
      <c r="E451" s="43"/>
      <c r="F451" s="43"/>
      <c r="G451" s="43"/>
      <c r="H451" s="43"/>
      <c r="I451" s="43"/>
      <c r="J451" s="43"/>
      <c r="K451" s="43"/>
      <c r="L451" s="43"/>
      <c r="M451" s="43"/>
      <c r="N451" s="43"/>
      <c r="O451" s="43"/>
      <c r="P451" s="3"/>
      <c r="Q451" s="3"/>
      <c r="R451" s="3"/>
      <c r="S451" s="3"/>
      <c r="T451" s="3"/>
      <c r="U451" s="3"/>
      <c r="V451" s="3"/>
      <c r="W451" s="3"/>
      <c r="X451" s="3"/>
      <c r="Y451" s="3"/>
      <c r="Z451" s="3"/>
    </row>
    <row r="452" spans="1:26" ht="12.75" x14ac:dyDescent="0.2">
      <c r="A452" s="3"/>
      <c r="C452" s="72" t="s">
        <v>863</v>
      </c>
      <c r="D452" s="70"/>
      <c r="E452" s="70"/>
      <c r="F452" s="73">
        <f t="shared" ref="F452:O452" si="95">F417-F450</f>
        <v>-106.54523230144818</v>
      </c>
      <c r="G452" s="73">
        <f t="shared" si="95"/>
        <v>85.317743891482166</v>
      </c>
      <c r="H452" s="73">
        <f t="shared" si="95"/>
        <v>136.54623855595241</v>
      </c>
      <c r="I452" s="73">
        <f t="shared" si="95"/>
        <v>192.24062734863432</v>
      </c>
      <c r="J452" s="73">
        <f t="shared" si="95"/>
        <v>222.7108782862004</v>
      </c>
      <c r="K452" s="73">
        <f t="shared" si="95"/>
        <v>232.78837260910569</v>
      </c>
      <c r="L452" s="73">
        <f t="shared" si="95"/>
        <v>232.78837260910566</v>
      </c>
      <c r="M452" s="73">
        <f t="shared" si="95"/>
        <v>232.78837260910566</v>
      </c>
      <c r="N452" s="73">
        <f t="shared" si="95"/>
        <v>232.78837260910564</v>
      </c>
      <c r="O452" s="73">
        <f t="shared" si="95"/>
        <v>277.0158726091056</v>
      </c>
      <c r="P452" s="3"/>
      <c r="Q452" s="3"/>
      <c r="R452" s="3"/>
      <c r="S452" s="3"/>
      <c r="T452" s="3"/>
      <c r="U452" s="3"/>
      <c r="V452" s="3"/>
      <c r="W452" s="3"/>
      <c r="X452" s="3"/>
      <c r="Y452" s="3"/>
      <c r="Z452" s="3"/>
    </row>
    <row r="453" spans="1:26" ht="12.75"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x14ac:dyDescent="0.2">
      <c r="A454" s="392" t="s">
        <v>769</v>
      </c>
      <c r="B454" s="2"/>
      <c r="C454" s="2"/>
      <c r="D454" s="6" t="s">
        <v>174</v>
      </c>
      <c r="E454" s="21"/>
      <c r="F454" s="51">
        <v>0</v>
      </c>
      <c r="G454" s="51">
        <v>1</v>
      </c>
      <c r="H454" s="51">
        <v>2</v>
      </c>
      <c r="I454" s="51">
        <v>3</v>
      </c>
      <c r="J454" s="51">
        <v>4</v>
      </c>
      <c r="K454" s="51">
        <v>5</v>
      </c>
      <c r="L454" s="51">
        <v>6</v>
      </c>
      <c r="M454" s="51">
        <v>7</v>
      </c>
      <c r="N454" s="51">
        <v>8</v>
      </c>
      <c r="O454" s="51">
        <v>9</v>
      </c>
      <c r="P454" s="3"/>
      <c r="Q454" s="3"/>
      <c r="R454" s="3"/>
      <c r="S454" s="3"/>
      <c r="T454" s="3"/>
      <c r="U454" s="3"/>
      <c r="V454" s="3"/>
      <c r="W454" s="3"/>
      <c r="X454" s="3"/>
      <c r="Y454" s="3"/>
      <c r="Z454" s="3"/>
    </row>
    <row r="455" spans="1:26" ht="12.75" x14ac:dyDescent="0.2">
      <c r="A455" s="3"/>
      <c r="B455" s="479" t="s">
        <v>891</v>
      </c>
      <c r="C455" s="43"/>
      <c r="D455" s="43"/>
      <c r="E455" s="43"/>
      <c r="F455" s="43"/>
      <c r="G455" s="43"/>
      <c r="H455" s="43"/>
      <c r="I455" s="43"/>
      <c r="J455" s="43"/>
      <c r="K455" s="43"/>
      <c r="L455" s="43"/>
      <c r="M455" s="43"/>
      <c r="N455" s="43"/>
      <c r="O455" s="43"/>
      <c r="P455" s="3"/>
      <c r="Q455" s="3"/>
      <c r="R455" s="3"/>
      <c r="S455" s="3"/>
      <c r="T455" s="3"/>
      <c r="U455" s="3"/>
      <c r="V455" s="3"/>
      <c r="W455" s="3"/>
      <c r="X455" s="3"/>
      <c r="Y455" s="3"/>
      <c r="Z455" s="3"/>
    </row>
    <row r="456" spans="1:26" ht="12.75" x14ac:dyDescent="0.2">
      <c r="A456" s="3"/>
      <c r="B456" s="43"/>
      <c r="C456" s="46" t="s">
        <v>672</v>
      </c>
      <c r="D456" s="43"/>
      <c r="E456" s="43"/>
      <c r="F456" s="39">
        <f>F417-F371</f>
        <v>73.982574811314549</v>
      </c>
      <c r="G456" s="39">
        <f>G417-G371</f>
        <v>121.60325404424484</v>
      </c>
      <c r="H456" s="39">
        <f>H417-H371</f>
        <v>173.52264317733045</v>
      </c>
      <c r="I456" s="39">
        <f>I417-I371</f>
        <v>230.05156150250468</v>
      </c>
      <c r="J456" s="39">
        <f>J417-J371</f>
        <v>247.1221712998184</v>
      </c>
      <c r="K456" s="39">
        <f>K417-K371</f>
        <v>257.29522987571454</v>
      </c>
      <c r="L456" s="39">
        <f>L417-L371</f>
        <v>257.29522987571448</v>
      </c>
      <c r="M456" s="39">
        <f>M417-M371</f>
        <v>257.29522987571448</v>
      </c>
      <c r="N456" s="39">
        <f>N417-N371</f>
        <v>257.29522987571448</v>
      </c>
      <c r="O456" s="39">
        <f>O417-O371</f>
        <v>257.29522987571443</v>
      </c>
      <c r="P456" s="3"/>
      <c r="Q456" s="3"/>
      <c r="R456" s="3"/>
      <c r="S456" s="3"/>
      <c r="T456" s="3"/>
      <c r="U456" s="3"/>
      <c r="V456" s="3"/>
      <c r="W456" s="3"/>
      <c r="X456" s="3"/>
      <c r="Y456" s="3"/>
      <c r="Z456" s="3"/>
    </row>
    <row r="457" spans="1:26" ht="12.75" x14ac:dyDescent="0.2">
      <c r="A457" s="3"/>
      <c r="B457" s="43"/>
      <c r="C457" s="46" t="s">
        <v>673</v>
      </c>
      <c r="D457" s="43"/>
      <c r="E457" s="43"/>
      <c r="F457" s="39">
        <f>F450-F404</f>
        <v>146.43229694054921</v>
      </c>
      <c r="G457" s="39">
        <f>G450-G404</f>
        <v>63.082499980549116</v>
      </c>
      <c r="H457" s="39">
        <f>H450-H404</f>
        <v>63.773394449164485</v>
      </c>
      <c r="I457" s="39">
        <f>I450-I404</f>
        <v>64.60792398165681</v>
      </c>
      <c r="J457" s="39">
        <f>J450-J404</f>
        <v>51.208282841404483</v>
      </c>
      <c r="K457" s="39">
        <f>K450-K404</f>
        <v>51.30384709439528</v>
      </c>
      <c r="L457" s="39">
        <f>L450-L404</f>
        <v>51.303847094395266</v>
      </c>
      <c r="M457" s="39">
        <f>M450-M404</f>
        <v>51.303847094395266</v>
      </c>
      <c r="N457" s="39">
        <f>N450-N404</f>
        <v>51.303847094395294</v>
      </c>
      <c r="O457" s="39">
        <f>O450-O404</f>
        <v>51.303847094395266</v>
      </c>
      <c r="P457" s="3"/>
      <c r="Q457" s="3"/>
      <c r="R457" s="3"/>
      <c r="S457" s="3"/>
      <c r="T457" s="3"/>
      <c r="U457" s="3"/>
      <c r="V457" s="3"/>
      <c r="W457" s="3"/>
      <c r="X457" s="3"/>
      <c r="Y457" s="3"/>
      <c r="Z457" s="3"/>
    </row>
    <row r="458" spans="1:26" ht="12.75" x14ac:dyDescent="0.2">
      <c r="A458" s="3"/>
      <c r="B458" s="43"/>
      <c r="C458" s="46" t="s">
        <v>674</v>
      </c>
      <c r="D458" s="43"/>
      <c r="E458" s="43"/>
      <c r="F458" s="39">
        <f>F456-F457</f>
        <v>-72.449722129234658</v>
      </c>
      <c r="G458" s="39">
        <f t="shared" ref="G458:O458" si="96">G456-G457</f>
        <v>58.520754063695719</v>
      </c>
      <c r="H458" s="39">
        <f t="shared" si="96"/>
        <v>109.74924872816597</v>
      </c>
      <c r="I458" s="39">
        <f t="shared" si="96"/>
        <v>165.44363752084786</v>
      </c>
      <c r="J458" s="39">
        <f t="shared" si="96"/>
        <v>195.91388845841391</v>
      </c>
      <c r="K458" s="39">
        <f t="shared" si="96"/>
        <v>205.99138278131926</v>
      </c>
      <c r="L458" s="39">
        <f t="shared" si="96"/>
        <v>205.9913827813192</v>
      </c>
      <c r="M458" s="39">
        <f t="shared" si="96"/>
        <v>205.9913827813192</v>
      </c>
      <c r="N458" s="39">
        <f t="shared" si="96"/>
        <v>205.9913827813192</v>
      </c>
      <c r="O458" s="39">
        <f t="shared" si="96"/>
        <v>205.99138278131915</v>
      </c>
      <c r="P458" s="3"/>
      <c r="Q458" s="3"/>
      <c r="R458" s="3"/>
      <c r="S458" s="3"/>
      <c r="T458" s="3"/>
      <c r="U458" s="3"/>
      <c r="V458" s="3"/>
      <c r="W458" s="3"/>
      <c r="X458" s="3"/>
      <c r="Y458" s="3"/>
      <c r="Z458" s="3"/>
    </row>
    <row r="459" spans="1:26" ht="12.75" x14ac:dyDescent="0.2">
      <c r="A459" s="3"/>
      <c r="B459" s="3"/>
      <c r="C459" s="3"/>
      <c r="D459" s="3"/>
      <c r="E459" s="3"/>
      <c r="F459" s="117"/>
      <c r="G459" s="117"/>
      <c r="H459" s="117"/>
      <c r="I459" s="117"/>
      <c r="J459" s="117"/>
      <c r="K459" s="117"/>
      <c r="L459" s="117"/>
      <c r="M459" s="117"/>
      <c r="N459" s="117"/>
      <c r="O459" s="117"/>
      <c r="P459" s="3"/>
      <c r="Q459" s="3"/>
      <c r="R459" s="3"/>
      <c r="S459" s="3"/>
      <c r="T459" s="3"/>
      <c r="U459" s="3"/>
      <c r="V459" s="3"/>
      <c r="W459" s="3"/>
      <c r="X459" s="3"/>
      <c r="Y459" s="3"/>
      <c r="Z459" s="3"/>
    </row>
    <row r="460" spans="1:26" ht="12.75" x14ac:dyDescent="0.2">
      <c r="A460" s="392" t="s">
        <v>770</v>
      </c>
      <c r="B460" s="2"/>
      <c r="C460" s="2"/>
      <c r="D460" s="6" t="s">
        <v>174</v>
      </c>
      <c r="E460" s="21"/>
      <c r="F460" s="51">
        <v>0</v>
      </c>
      <c r="G460" s="51">
        <v>1</v>
      </c>
      <c r="H460" s="51">
        <v>2</v>
      </c>
      <c r="I460" s="51">
        <v>3</v>
      </c>
      <c r="J460" s="51">
        <v>4</v>
      </c>
      <c r="K460" s="51">
        <v>5</v>
      </c>
      <c r="L460" s="51">
        <v>6</v>
      </c>
      <c r="M460" s="51">
        <v>7</v>
      </c>
      <c r="N460" s="51">
        <v>8</v>
      </c>
      <c r="O460" s="51">
        <v>9</v>
      </c>
      <c r="P460" s="51">
        <v>10</v>
      </c>
      <c r="Q460" s="51">
        <v>11</v>
      </c>
      <c r="R460" s="51">
        <v>12</v>
      </c>
      <c r="S460" s="51">
        <v>13</v>
      </c>
      <c r="T460" s="2"/>
      <c r="U460" s="2"/>
      <c r="V460" s="2"/>
      <c r="W460" s="2"/>
      <c r="X460" s="2"/>
      <c r="Y460" s="2"/>
      <c r="Z460" s="2"/>
    </row>
    <row r="461" spans="1:26" ht="12.75" x14ac:dyDescent="0.2">
      <c r="A461" s="3"/>
      <c r="B461" s="479" t="s">
        <v>892</v>
      </c>
      <c r="C461" s="43"/>
      <c r="D461" s="43"/>
      <c r="E461" s="43"/>
      <c r="F461" s="43"/>
      <c r="G461" s="43"/>
      <c r="H461" s="43"/>
      <c r="I461" s="43"/>
      <c r="J461" s="43"/>
      <c r="K461" s="3"/>
      <c r="L461" s="3"/>
      <c r="M461" s="3"/>
      <c r="N461" s="3"/>
      <c r="O461" s="3"/>
      <c r="P461" s="3"/>
      <c r="Q461" s="3"/>
      <c r="R461" s="3"/>
      <c r="S461" s="3"/>
      <c r="T461" s="3"/>
      <c r="U461" s="3"/>
      <c r="V461" s="3"/>
      <c r="W461" s="3"/>
      <c r="X461" s="3"/>
      <c r="Y461" s="3"/>
      <c r="Z461" s="3"/>
    </row>
    <row r="462" spans="1:26" ht="12.75" x14ac:dyDescent="0.2">
      <c r="A462" s="3"/>
      <c r="B462" s="43"/>
      <c r="C462" s="46" t="s">
        <v>260</v>
      </c>
      <c r="D462" s="43"/>
      <c r="E462" s="43"/>
      <c r="F462" s="43">
        <f>I99*(1+$I$111)</f>
        <v>0</v>
      </c>
      <c r="G462" s="78">
        <f>I100*(1+$I$111)</f>
        <v>10000</v>
      </c>
      <c r="H462" s="78">
        <f>I101*(1+$I$111)</f>
        <v>24000</v>
      </c>
      <c r="I462" s="78">
        <f>I102*(1+$I$111)</f>
        <v>27000</v>
      </c>
      <c r="J462" s="78">
        <f>I103*(1+$I$111)</f>
        <v>27000</v>
      </c>
      <c r="K462" s="3"/>
      <c r="L462" s="3"/>
      <c r="M462" s="3"/>
      <c r="N462" s="3"/>
      <c r="O462" s="3"/>
      <c r="P462" s="3"/>
      <c r="Q462" s="3"/>
      <c r="R462" s="3"/>
      <c r="S462" s="3"/>
      <c r="T462" s="3"/>
      <c r="U462" s="3"/>
      <c r="V462" s="3"/>
      <c r="W462" s="3"/>
      <c r="X462" s="3"/>
      <c r="Y462" s="3"/>
      <c r="Z462" s="3"/>
    </row>
    <row r="463" spans="1:26" ht="12.75" x14ac:dyDescent="0.2">
      <c r="A463" s="3"/>
      <c r="B463" s="43"/>
      <c r="C463" s="46" t="s">
        <v>258</v>
      </c>
      <c r="D463" s="43"/>
      <c r="E463" s="43"/>
      <c r="F463" s="79">
        <f>$I$104</f>
        <v>0.9</v>
      </c>
      <c r="G463" s="79">
        <f t="shared" ref="G463:S463" si="97">$I$104</f>
        <v>0.9</v>
      </c>
      <c r="H463" s="79">
        <f t="shared" si="97"/>
        <v>0.9</v>
      </c>
      <c r="I463" s="79">
        <f t="shared" si="97"/>
        <v>0.9</v>
      </c>
      <c r="J463" s="79">
        <f t="shared" si="97"/>
        <v>0.9</v>
      </c>
      <c r="K463" s="79">
        <f t="shared" si="97"/>
        <v>0.9</v>
      </c>
      <c r="L463" s="79">
        <f t="shared" si="97"/>
        <v>0.9</v>
      </c>
      <c r="M463" s="79">
        <f t="shared" si="97"/>
        <v>0.9</v>
      </c>
      <c r="N463" s="79">
        <f t="shared" si="97"/>
        <v>0.9</v>
      </c>
      <c r="O463" s="79">
        <f t="shared" si="97"/>
        <v>0.9</v>
      </c>
      <c r="P463" s="79">
        <f t="shared" si="97"/>
        <v>0.9</v>
      </c>
      <c r="Q463" s="79">
        <f t="shared" si="97"/>
        <v>0.9</v>
      </c>
      <c r="R463" s="79">
        <f t="shared" si="97"/>
        <v>0.9</v>
      </c>
      <c r="S463" s="79">
        <f t="shared" si="97"/>
        <v>0.9</v>
      </c>
      <c r="T463" s="3"/>
      <c r="U463" s="3"/>
      <c r="V463" s="3"/>
      <c r="W463" s="3"/>
      <c r="X463" s="3"/>
      <c r="Y463" s="3"/>
      <c r="Z463" s="3"/>
    </row>
    <row r="464" spans="1:26" ht="12.75" x14ac:dyDescent="0.2">
      <c r="A464" s="3"/>
      <c r="B464" s="43"/>
      <c r="C464" s="46" t="s">
        <v>259</v>
      </c>
      <c r="D464" s="43"/>
      <c r="E464" s="43"/>
      <c r="F464" s="80">
        <f>IF(F$460&lt;$I$106,0,$I$105)</f>
        <v>0</v>
      </c>
      <c r="G464" s="80">
        <f>IF(G$460&lt;$I$106,0,$I$105)</f>
        <v>0</v>
      </c>
      <c r="H464" s="80">
        <f>IF(H$460&lt;$I$106,0,$I$105)</f>
        <v>0</v>
      </c>
      <c r="I464" s="80">
        <f>IF(I$460&lt;$I$106,0,$I$105)</f>
        <v>0</v>
      </c>
      <c r="J464" s="80">
        <f>IF(J$460&lt;$I$106,0,$I$105)</f>
        <v>0</v>
      </c>
      <c r="K464" s="80">
        <f>IF(K$460&lt;$I$106,0,$I$105)</f>
        <v>0.2</v>
      </c>
      <c r="L464" s="80">
        <f>IF(L$460&lt;$I$106,0,$I$105)</f>
        <v>0.2</v>
      </c>
      <c r="M464" s="80">
        <f>IF(M$460&lt;$I$106,0,$I$105)</f>
        <v>0.2</v>
      </c>
      <c r="N464" s="80">
        <f>IF(N$460&lt;$I$106,0,$I$105)</f>
        <v>0.2</v>
      </c>
      <c r="O464" s="80">
        <f>IF(O$460&lt;$I$106,0,$I$105)</f>
        <v>0.2</v>
      </c>
      <c r="P464" s="80">
        <f>IF(P$460&lt;$I$106,0,$I$105)</f>
        <v>0.2</v>
      </c>
      <c r="Q464" s="80">
        <f>IF(Q$460&lt;$I$106,0,$I$105)</f>
        <v>0.2</v>
      </c>
      <c r="R464" s="80">
        <f>IF(R$460&lt;$I$106,0,$I$105)</f>
        <v>0.2</v>
      </c>
      <c r="S464" s="80">
        <f>IF(S$460&lt;$I$106,0,$I$105)</f>
        <v>0.2</v>
      </c>
      <c r="T464" s="3"/>
      <c r="U464" s="3"/>
      <c r="V464" s="3"/>
      <c r="W464" s="3"/>
      <c r="X464" s="3"/>
      <c r="Y464" s="3"/>
      <c r="Z464" s="3"/>
    </row>
    <row r="465" spans="1:26" ht="12.75"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x14ac:dyDescent="0.2">
      <c r="A466" s="3"/>
      <c r="B466" s="479" t="s">
        <v>864</v>
      </c>
      <c r="C466" s="43"/>
      <c r="D466" s="43"/>
      <c r="E466" s="43"/>
      <c r="F466" s="43"/>
      <c r="G466" s="43"/>
      <c r="H466" s="43"/>
      <c r="I466" s="43"/>
      <c r="J466" s="43"/>
      <c r="K466" s="43"/>
      <c r="L466" s="43"/>
      <c r="M466" s="43"/>
      <c r="N466" s="43"/>
      <c r="O466" s="43"/>
      <c r="P466" s="43"/>
      <c r="Q466" s="43"/>
      <c r="R466" s="43"/>
      <c r="S466" s="43"/>
      <c r="T466" s="3"/>
      <c r="U466" s="3"/>
      <c r="V466" s="3"/>
      <c r="W466" s="3"/>
      <c r="X466" s="3"/>
      <c r="Y466" s="3"/>
      <c r="Z466" s="3"/>
    </row>
    <row r="467" spans="1:26" ht="12.75" x14ac:dyDescent="0.2">
      <c r="A467" s="3"/>
      <c r="C467" s="65" t="s">
        <v>681</v>
      </c>
      <c r="D467" s="43"/>
      <c r="E467" s="43"/>
      <c r="F467" s="43"/>
      <c r="G467" s="43"/>
      <c r="H467" s="43"/>
      <c r="I467" s="43"/>
      <c r="J467" s="43"/>
      <c r="K467" s="43"/>
      <c r="L467" s="43"/>
      <c r="M467" s="43"/>
      <c r="N467" s="43"/>
      <c r="O467" s="43"/>
      <c r="P467" s="43"/>
      <c r="Q467" s="43"/>
      <c r="R467" s="43"/>
      <c r="S467" s="43"/>
      <c r="T467" s="3"/>
      <c r="U467" s="3"/>
      <c r="V467" s="3"/>
      <c r="W467" s="3"/>
      <c r="X467" s="3"/>
      <c r="Y467" s="3"/>
      <c r="Z467" s="3"/>
    </row>
    <row r="468" spans="1:26" ht="12.75" x14ac:dyDescent="0.2">
      <c r="A468" s="3"/>
      <c r="B468" s="43"/>
      <c r="C468" s="46" t="s">
        <v>252</v>
      </c>
      <c r="D468" s="43"/>
      <c r="E468" s="43"/>
      <c r="F468" s="81">
        <f t="shared" ref="F468:S468" si="98">F458*(F463*$F462)*(1-F464)</f>
        <v>0</v>
      </c>
      <c r="G468" s="81">
        <f t="shared" si="98"/>
        <v>0</v>
      </c>
      <c r="H468" s="81">
        <f t="shared" si="98"/>
        <v>0</v>
      </c>
      <c r="I468" s="81">
        <f t="shared" si="98"/>
        <v>0</v>
      </c>
      <c r="J468" s="81">
        <f t="shared" si="98"/>
        <v>0</v>
      </c>
      <c r="K468" s="81">
        <f t="shared" si="98"/>
        <v>0</v>
      </c>
      <c r="L468" s="81">
        <f t="shared" si="98"/>
        <v>0</v>
      </c>
      <c r="M468" s="81">
        <f t="shared" si="98"/>
        <v>0</v>
      </c>
      <c r="N468" s="81">
        <f t="shared" si="98"/>
        <v>0</v>
      </c>
      <c r="O468" s="81">
        <f t="shared" si="98"/>
        <v>0</v>
      </c>
      <c r="P468" s="81">
        <f t="shared" si="98"/>
        <v>0</v>
      </c>
      <c r="Q468" s="81">
        <f t="shared" si="98"/>
        <v>0</v>
      </c>
      <c r="R468" s="81">
        <f t="shared" si="98"/>
        <v>0</v>
      </c>
      <c r="S468" s="81">
        <f t="shared" si="98"/>
        <v>0</v>
      </c>
      <c r="T468" s="3"/>
      <c r="U468" s="3"/>
      <c r="V468" s="3"/>
      <c r="W468" s="3"/>
      <c r="X468" s="3"/>
      <c r="Y468" s="3"/>
      <c r="Z468" s="3"/>
    </row>
    <row r="469" spans="1:26" ht="12.75" x14ac:dyDescent="0.2">
      <c r="A469" s="3"/>
      <c r="B469" s="43"/>
      <c r="C469" s="46" t="s">
        <v>253</v>
      </c>
      <c r="D469" s="43"/>
      <c r="E469" s="43"/>
      <c r="F469" s="81"/>
      <c r="G469" s="81">
        <f t="shared" ref="G469:S469" si="99">F458*(F463*$G462)*(1-F464)</f>
        <v>-652047.4991631119</v>
      </c>
      <c r="H469" s="81">
        <f t="shared" si="99"/>
        <v>526686.78657326149</v>
      </c>
      <c r="I469" s="81">
        <f t="shared" si="99"/>
        <v>987743.23855349375</v>
      </c>
      <c r="J469" s="81">
        <f t="shared" si="99"/>
        <v>1488992.7376876308</v>
      </c>
      <c r="K469" s="81">
        <f t="shared" si="99"/>
        <v>1763224.9961257251</v>
      </c>
      <c r="L469" s="81">
        <f t="shared" si="99"/>
        <v>1483137.9560254989</v>
      </c>
      <c r="M469" s="81">
        <f t="shared" si="99"/>
        <v>1483137.9560254982</v>
      </c>
      <c r="N469" s="81">
        <f t="shared" si="99"/>
        <v>1483137.9560254982</v>
      </c>
      <c r="O469" s="81">
        <f t="shared" si="99"/>
        <v>1483137.9560254982</v>
      </c>
      <c r="P469" s="81">
        <f t="shared" si="99"/>
        <v>1483137.956025498</v>
      </c>
      <c r="Q469" s="81">
        <f t="shared" si="99"/>
        <v>0</v>
      </c>
      <c r="R469" s="81">
        <f t="shared" si="99"/>
        <v>0</v>
      </c>
      <c r="S469" s="81">
        <f t="shared" si="99"/>
        <v>0</v>
      </c>
      <c r="T469" s="3"/>
      <c r="U469" s="3"/>
      <c r="V469" s="3"/>
      <c r="W469" s="3"/>
      <c r="X469" s="3"/>
      <c r="Y469" s="3"/>
      <c r="Z469" s="3"/>
    </row>
    <row r="470" spans="1:26" ht="12.75" x14ac:dyDescent="0.2">
      <c r="A470" s="3"/>
      <c r="B470" s="43"/>
      <c r="C470" s="46" t="s">
        <v>254</v>
      </c>
      <c r="D470" s="43"/>
      <c r="E470" s="43"/>
      <c r="F470" s="81"/>
      <c r="G470" s="81"/>
      <c r="H470" s="81">
        <f t="shared" ref="H470:S470" si="100">F458*(F463*$H462)*(1-F464)</f>
        <v>-1564913.9979914685</v>
      </c>
      <c r="I470" s="81">
        <f t="shared" si="100"/>
        <v>1264048.2877758276</v>
      </c>
      <c r="J470" s="81">
        <f t="shared" si="100"/>
        <v>2370583.7725283848</v>
      </c>
      <c r="K470" s="81">
        <f t="shared" si="100"/>
        <v>3573582.5704503139</v>
      </c>
      <c r="L470" s="81">
        <f t="shared" si="100"/>
        <v>4231739.9907017406</v>
      </c>
      <c r="M470" s="81">
        <f t="shared" si="100"/>
        <v>3559531.094461197</v>
      </c>
      <c r="N470" s="81">
        <f t="shared" si="100"/>
        <v>3559531.0944611961</v>
      </c>
      <c r="O470" s="81">
        <f t="shared" si="100"/>
        <v>3559531.0944611961</v>
      </c>
      <c r="P470" s="81">
        <f t="shared" si="100"/>
        <v>3559531.0944611961</v>
      </c>
      <c r="Q470" s="81">
        <f t="shared" si="100"/>
        <v>3559531.0944611952</v>
      </c>
      <c r="R470" s="81">
        <f t="shared" si="100"/>
        <v>0</v>
      </c>
      <c r="S470" s="81">
        <f t="shared" si="100"/>
        <v>0</v>
      </c>
      <c r="T470" s="3"/>
      <c r="U470" s="3"/>
      <c r="V470" s="3"/>
      <c r="W470" s="3"/>
      <c r="X470" s="3"/>
      <c r="Y470" s="3"/>
      <c r="Z470" s="3"/>
    </row>
    <row r="471" spans="1:26" ht="12.75" x14ac:dyDescent="0.2">
      <c r="A471" s="3"/>
      <c r="B471" s="43"/>
      <c r="C471" s="46" t="s">
        <v>255</v>
      </c>
      <c r="D471" s="43"/>
      <c r="E471" s="43"/>
      <c r="F471" s="81"/>
      <c r="G471" s="81"/>
      <c r="H471" s="81"/>
      <c r="I471" s="81">
        <f t="shared" ref="I471:S471" si="101">F458*(F463*$I462)*(1-F464)</f>
        <v>-1760528.2477404021</v>
      </c>
      <c r="J471" s="81">
        <f t="shared" si="101"/>
        <v>1422054.323747806</v>
      </c>
      <c r="K471" s="81">
        <f t="shared" si="101"/>
        <v>2666906.7440944328</v>
      </c>
      <c r="L471" s="81">
        <f t="shared" si="101"/>
        <v>4020280.391756603</v>
      </c>
      <c r="M471" s="81">
        <f t="shared" si="101"/>
        <v>4760707.4895394584</v>
      </c>
      <c r="N471" s="81">
        <f t="shared" si="101"/>
        <v>4004472.4812688464</v>
      </c>
      <c r="O471" s="81">
        <f t="shared" si="101"/>
        <v>4004472.4812688455</v>
      </c>
      <c r="P471" s="81">
        <f t="shared" si="101"/>
        <v>4004472.4812688455</v>
      </c>
      <c r="Q471" s="81">
        <f t="shared" si="101"/>
        <v>4004472.4812688455</v>
      </c>
      <c r="R471" s="81">
        <f t="shared" si="101"/>
        <v>4004472.4812688441</v>
      </c>
      <c r="S471" s="81">
        <f t="shared" si="101"/>
        <v>0</v>
      </c>
      <c r="T471" s="3"/>
      <c r="U471" s="3"/>
      <c r="V471" s="3"/>
      <c r="W471" s="3"/>
      <c r="X471" s="3"/>
      <c r="Y471" s="3"/>
      <c r="Z471" s="3"/>
    </row>
    <row r="472" spans="1:26" ht="12.75" x14ac:dyDescent="0.2">
      <c r="A472" s="3"/>
      <c r="B472" s="43"/>
      <c r="C472" s="46" t="s">
        <v>261</v>
      </c>
      <c r="D472" s="43"/>
      <c r="E472" s="43"/>
      <c r="F472" s="81"/>
      <c r="G472" s="81"/>
      <c r="H472" s="81"/>
      <c r="I472" s="81"/>
      <c r="J472" s="81">
        <f t="shared" ref="J472:S472" si="102">F458*(F463*$J462)*(1-F464)</f>
        <v>-1760528.2477404021</v>
      </c>
      <c r="K472" s="81">
        <f t="shared" si="102"/>
        <v>1422054.323747806</v>
      </c>
      <c r="L472" s="81">
        <f t="shared" si="102"/>
        <v>2666906.7440944328</v>
      </c>
      <c r="M472" s="81">
        <f t="shared" si="102"/>
        <v>4020280.391756603</v>
      </c>
      <c r="N472" s="81">
        <f t="shared" si="102"/>
        <v>4760707.4895394584</v>
      </c>
      <c r="O472" s="81">
        <f t="shared" si="102"/>
        <v>4004472.4812688464</v>
      </c>
      <c r="P472" s="81">
        <f t="shared" si="102"/>
        <v>4004472.4812688455</v>
      </c>
      <c r="Q472" s="81">
        <f t="shared" si="102"/>
        <v>4004472.4812688455</v>
      </c>
      <c r="R472" s="81">
        <f t="shared" si="102"/>
        <v>4004472.4812688455</v>
      </c>
      <c r="S472" s="81">
        <f t="shared" si="102"/>
        <v>4004472.4812688441</v>
      </c>
      <c r="T472" s="3"/>
      <c r="U472" s="3"/>
      <c r="V472" s="3"/>
      <c r="W472" s="3"/>
      <c r="X472" s="3"/>
      <c r="Y472" s="3"/>
      <c r="Z472" s="3"/>
    </row>
    <row r="473" spans="1:26" ht="12.75" x14ac:dyDescent="0.2">
      <c r="A473" s="3"/>
      <c r="B473" s="43"/>
      <c r="C473" s="68" t="s">
        <v>686</v>
      </c>
      <c r="D473" s="68"/>
      <c r="E473" s="68"/>
      <c r="F473" s="82">
        <f>SUM(F468:F472)</f>
        <v>0</v>
      </c>
      <c r="G473" s="82">
        <f t="shared" ref="G473:S473" si="103">SUM(G468:G472)</f>
        <v>-652047.4991631119</v>
      </c>
      <c r="H473" s="82">
        <f t="shared" si="103"/>
        <v>-1038227.211418207</v>
      </c>
      <c r="I473" s="82">
        <f t="shared" si="103"/>
        <v>491263.2785889192</v>
      </c>
      <c r="J473" s="82">
        <f t="shared" si="103"/>
        <v>3521102.5862234198</v>
      </c>
      <c r="K473" s="82">
        <f t="shared" si="103"/>
        <v>9425768.6344182789</v>
      </c>
      <c r="L473" s="82">
        <f t="shared" si="103"/>
        <v>12402065.082578275</v>
      </c>
      <c r="M473" s="82">
        <f t="shared" si="103"/>
        <v>13823656.931782758</v>
      </c>
      <c r="N473" s="82">
        <f t="shared" si="103"/>
        <v>13807849.021295</v>
      </c>
      <c r="O473" s="82">
        <f t="shared" si="103"/>
        <v>13051614.013024386</v>
      </c>
      <c r="P473" s="82">
        <f t="shared" si="103"/>
        <v>13051614.013024386</v>
      </c>
      <c r="Q473" s="82">
        <f t="shared" si="103"/>
        <v>11568476.056998886</v>
      </c>
      <c r="R473" s="82">
        <f t="shared" si="103"/>
        <v>8008944.9625376891</v>
      </c>
      <c r="S473" s="82">
        <f t="shared" si="103"/>
        <v>4004472.4812688441</v>
      </c>
      <c r="T473" s="3"/>
      <c r="U473" s="3"/>
      <c r="V473" s="3"/>
      <c r="W473" s="3"/>
      <c r="X473" s="3"/>
      <c r="Y473" s="3"/>
      <c r="Z473" s="3"/>
    </row>
    <row r="474" spans="1:26" ht="12.75"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x14ac:dyDescent="0.2">
      <c r="A475" s="3"/>
      <c r="B475" s="57"/>
      <c r="C475" s="65" t="s">
        <v>262</v>
      </c>
      <c r="D475" s="43"/>
      <c r="E475" s="43"/>
      <c r="F475" s="43"/>
      <c r="G475" s="43"/>
      <c r="H475" s="43"/>
      <c r="I475" s="43"/>
      <c r="J475" s="43"/>
      <c r="K475" s="43"/>
      <c r="L475" s="43"/>
      <c r="M475" s="43"/>
      <c r="N475" s="43"/>
      <c r="O475" s="43"/>
      <c r="P475" s="43"/>
      <c r="Q475" s="43"/>
      <c r="R475" s="43"/>
      <c r="S475" s="43"/>
      <c r="T475" s="3"/>
      <c r="U475" s="3"/>
      <c r="V475" s="3"/>
      <c r="W475" s="3"/>
      <c r="X475" s="3"/>
      <c r="Y475" s="3"/>
      <c r="Z475" s="3"/>
    </row>
    <row r="476" spans="1:26" ht="12.75" x14ac:dyDescent="0.2">
      <c r="A476" s="3"/>
      <c r="B476" s="43"/>
      <c r="C476" s="68" t="s">
        <v>686</v>
      </c>
      <c r="D476" s="68"/>
      <c r="E476" s="68"/>
      <c r="F476" s="82">
        <f>$I$107*(I99/SUM($I$99:$I$103))*F122/1000*(1+$I$108)</f>
        <v>0</v>
      </c>
      <c r="G476" s="82">
        <f>$I$107*(I100/SUM($I$99:$I$103))*G122/1000*(1+$I$108)</f>
        <v>136774.07782106748</v>
      </c>
      <c r="H476" s="82">
        <f>$I$107*(I101/SUM($I$99:$I$103))*H122/1000*(1+$I$108)</f>
        <v>328257.78677056194</v>
      </c>
      <c r="I476" s="82">
        <f>$I$107*(I102/SUM($I$99:$I$103))*I122/1000*(1+$I$108)</f>
        <v>369290.01011688221</v>
      </c>
      <c r="J476" s="82">
        <f>$I$107*(I103/SUM($I$99:$I$103))*J122/1000*(1+$I$108)</f>
        <v>369290.01011688221</v>
      </c>
      <c r="K476" s="82"/>
      <c r="L476" s="82"/>
      <c r="M476" s="82"/>
      <c r="N476" s="82"/>
      <c r="O476" s="82"/>
      <c r="P476" s="82"/>
      <c r="Q476" s="82"/>
      <c r="R476" s="82"/>
      <c r="S476" s="82"/>
      <c r="T476" s="3"/>
      <c r="U476" s="3"/>
      <c r="V476" s="3"/>
      <c r="W476" s="3"/>
      <c r="X476" s="3"/>
      <c r="Y476" s="3"/>
      <c r="Z476" s="3"/>
    </row>
    <row r="477" spans="1:26" ht="12.75"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x14ac:dyDescent="0.2">
      <c r="A478" s="3"/>
      <c r="B478" s="3"/>
      <c r="C478" s="72" t="s">
        <v>685</v>
      </c>
      <c r="D478" s="70"/>
      <c r="E478" s="70"/>
      <c r="F478" s="91">
        <f>F473-F476</f>
        <v>0</v>
      </c>
      <c r="G478" s="91">
        <f t="shared" ref="G478:S478" si="104">G473-G476</f>
        <v>-788821.57698417944</v>
      </c>
      <c r="H478" s="91">
        <f t="shared" si="104"/>
        <v>-1366484.998188769</v>
      </c>
      <c r="I478" s="91">
        <f t="shared" si="104"/>
        <v>121973.26847203699</v>
      </c>
      <c r="J478" s="91">
        <f t="shared" si="104"/>
        <v>3151812.5761065376</v>
      </c>
      <c r="K478" s="91">
        <f t="shared" si="104"/>
        <v>9425768.6344182789</v>
      </c>
      <c r="L478" s="91">
        <f t="shared" si="104"/>
        <v>12402065.082578275</v>
      </c>
      <c r="M478" s="91">
        <f t="shared" si="104"/>
        <v>13823656.931782758</v>
      </c>
      <c r="N478" s="91">
        <f t="shared" si="104"/>
        <v>13807849.021295</v>
      </c>
      <c r="O478" s="91">
        <f t="shared" si="104"/>
        <v>13051614.013024386</v>
      </c>
      <c r="P478" s="91">
        <f t="shared" si="104"/>
        <v>13051614.013024386</v>
      </c>
      <c r="Q478" s="91">
        <f t="shared" si="104"/>
        <v>11568476.056998886</v>
      </c>
      <c r="R478" s="91">
        <f t="shared" si="104"/>
        <v>8008944.9625376891</v>
      </c>
      <c r="S478" s="91">
        <f t="shared" si="104"/>
        <v>4004472.4812688441</v>
      </c>
      <c r="T478" s="3"/>
      <c r="U478" s="3"/>
      <c r="V478" s="3"/>
      <c r="W478" s="3"/>
      <c r="X478" s="3"/>
      <c r="Y478" s="3"/>
      <c r="Z478" s="3"/>
    </row>
    <row r="479" spans="1:26" ht="13.5" thickBot="1" x14ac:dyDescent="0.25">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3.5" thickTop="1" x14ac:dyDescent="0.2">
      <c r="A480" s="3"/>
      <c r="B480" s="3"/>
      <c r="C480" s="86" t="s">
        <v>676</v>
      </c>
      <c r="D480" s="86"/>
      <c r="E480" s="86"/>
      <c r="F480" s="92">
        <f>NPV($F$20,G478:S478)+F478</f>
        <v>38965671.097822972</v>
      </c>
      <c r="G480" s="3"/>
      <c r="H480" s="3"/>
      <c r="I480" s="3"/>
      <c r="J480" s="3"/>
      <c r="K480" s="3"/>
      <c r="L480" s="3"/>
      <c r="M480" s="3"/>
      <c r="N480" s="3"/>
      <c r="O480" s="3"/>
      <c r="P480" s="3"/>
      <c r="Q480" s="3"/>
      <c r="R480" s="3"/>
      <c r="S480" s="3"/>
      <c r="T480" s="3"/>
      <c r="U480" s="3"/>
      <c r="V480" s="3"/>
      <c r="W480" s="3"/>
      <c r="X480" s="3"/>
      <c r="Y480" s="3"/>
      <c r="Z480" s="3"/>
    </row>
    <row r="481" spans="1:26" ht="12.75" x14ac:dyDescent="0.2">
      <c r="A481" s="3"/>
      <c r="B481" s="3"/>
      <c r="C481" s="65" t="s">
        <v>677</v>
      </c>
      <c r="D481" s="65"/>
      <c r="E481" s="65"/>
      <c r="F481" s="298">
        <f>F480/$F$10*1000</f>
        <v>247338270.26674476</v>
      </c>
      <c r="G481" s="3"/>
      <c r="H481" s="3"/>
      <c r="I481" s="3"/>
      <c r="J481" s="3"/>
      <c r="K481" s="3"/>
      <c r="L481" s="3"/>
      <c r="M481" s="3"/>
      <c r="N481" s="3"/>
      <c r="O481" s="3"/>
      <c r="P481" s="3"/>
      <c r="Q481" s="3"/>
      <c r="R481" s="3"/>
      <c r="S481" s="3"/>
      <c r="T481" s="3"/>
      <c r="U481" s="3"/>
      <c r="V481" s="3"/>
      <c r="W481" s="3"/>
      <c r="X481" s="3"/>
      <c r="Y481" s="3"/>
      <c r="Z481" s="3"/>
    </row>
    <row r="482" spans="1:26" ht="12.75" x14ac:dyDescent="0.2">
      <c r="A482" s="3"/>
      <c r="B482" s="3"/>
      <c r="C482" s="65" t="s">
        <v>683</v>
      </c>
      <c r="D482" s="65"/>
      <c r="E482" s="65"/>
      <c r="F482" s="95">
        <f>IRR(F478:S478)</f>
        <v>1.1054950873676348</v>
      </c>
      <c r="G482" s="3"/>
      <c r="H482" s="3"/>
      <c r="I482" s="3"/>
      <c r="J482" s="3"/>
      <c r="K482" s="3"/>
      <c r="L482" s="3"/>
      <c r="M482" s="3"/>
      <c r="N482" s="3"/>
      <c r="O482" s="3"/>
      <c r="P482" s="3"/>
      <c r="Q482" s="3"/>
      <c r="R482" s="3"/>
      <c r="S482" s="3"/>
      <c r="T482" s="3"/>
      <c r="U482" s="3"/>
      <c r="V482" s="3"/>
      <c r="W482" s="3"/>
      <c r="X482" s="3"/>
      <c r="Y482" s="3"/>
      <c r="Z482" s="3"/>
    </row>
    <row r="483" spans="1:26" ht="13.5" thickBot="1" x14ac:dyDescent="0.25">
      <c r="A483" s="3"/>
      <c r="B483" s="3"/>
      <c r="C483" s="87" t="s">
        <v>684</v>
      </c>
      <c r="D483" s="87"/>
      <c r="E483" s="87"/>
      <c r="F483" s="90">
        <f>MIRR(F478:S478,$F$20,$F$20)</f>
        <v>0.42417447661137819</v>
      </c>
      <c r="G483" s="3"/>
      <c r="H483" s="3"/>
      <c r="I483" s="3"/>
      <c r="J483" s="3"/>
      <c r="K483" s="3"/>
      <c r="L483" s="3"/>
      <c r="M483" s="3"/>
      <c r="N483" s="3"/>
      <c r="O483" s="3"/>
      <c r="P483" s="3"/>
      <c r="Q483" s="3"/>
      <c r="R483" s="3"/>
      <c r="S483" s="3"/>
      <c r="T483" s="3"/>
      <c r="U483" s="3"/>
      <c r="V483" s="3"/>
      <c r="W483" s="3"/>
      <c r="X483" s="3"/>
      <c r="Y483" s="3"/>
      <c r="Z483" s="3"/>
    </row>
    <row r="484" spans="1:26" ht="13.5" thickTop="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s="226" customFormat="1" ht="12.75" x14ac:dyDescent="0.2">
      <c r="A485" s="355" t="s">
        <v>914</v>
      </c>
      <c r="B485" s="353"/>
      <c r="C485" s="353"/>
      <c r="D485" s="356"/>
      <c r="E485" s="356"/>
      <c r="F485" s="357"/>
      <c r="G485" s="357"/>
      <c r="H485" s="357"/>
      <c r="I485" s="357"/>
      <c r="J485" s="357"/>
      <c r="K485" s="357"/>
      <c r="L485" s="357"/>
      <c r="M485" s="357"/>
      <c r="N485" s="357"/>
      <c r="O485" s="357"/>
      <c r="P485" s="357"/>
      <c r="Q485" s="357"/>
      <c r="R485" s="357"/>
      <c r="S485" s="357"/>
      <c r="T485" s="353"/>
      <c r="U485" s="353"/>
      <c r="V485" s="353"/>
      <c r="W485" s="353"/>
      <c r="X485" s="353"/>
      <c r="Y485" s="353"/>
      <c r="Z485" s="353"/>
    </row>
    <row r="486" spans="1:26" ht="12.75" x14ac:dyDescent="0.2">
      <c r="A486" s="3"/>
      <c r="B486" s="611" t="s">
        <v>752</v>
      </c>
      <c r="C486" s="610"/>
      <c r="D486" s="610"/>
      <c r="E486" s="610"/>
      <c r="F486" s="610"/>
      <c r="G486" s="610"/>
      <c r="H486" s="610"/>
      <c r="I486" s="610"/>
      <c r="J486" s="610"/>
      <c r="K486" s="610"/>
      <c r="L486" s="3"/>
      <c r="M486" s="3"/>
      <c r="N486" s="3"/>
      <c r="O486" s="3"/>
      <c r="P486" s="3"/>
      <c r="Q486" s="3"/>
      <c r="R486" s="3"/>
      <c r="S486" s="3"/>
      <c r="T486" s="3"/>
      <c r="U486" s="3"/>
      <c r="V486" s="3"/>
      <c r="W486" s="3"/>
      <c r="X486" s="3"/>
      <c r="Y486" s="3"/>
      <c r="Z486" s="3"/>
    </row>
    <row r="487" spans="1:26" ht="12.75" x14ac:dyDescent="0.2">
      <c r="A487" s="3"/>
      <c r="B487" s="358"/>
      <c r="C487" s="358"/>
      <c r="D487" s="358"/>
      <c r="E487" s="358"/>
      <c r="F487" s="358"/>
      <c r="G487" s="358"/>
      <c r="H487" s="358"/>
      <c r="I487" s="358"/>
      <c r="J487" s="358"/>
      <c r="K487" s="358"/>
      <c r="L487" s="3"/>
      <c r="M487" s="3"/>
      <c r="N487" s="3"/>
      <c r="O487" s="3"/>
      <c r="P487" s="3"/>
      <c r="Q487" s="3"/>
      <c r="R487" s="3"/>
      <c r="S487" s="3"/>
      <c r="T487" s="3"/>
      <c r="U487" s="3"/>
      <c r="V487" s="3"/>
      <c r="W487" s="3"/>
      <c r="X487" s="3"/>
      <c r="Y487" s="3"/>
      <c r="Z487" s="3"/>
    </row>
    <row r="488" spans="1:26" ht="25.5" x14ac:dyDescent="0.2">
      <c r="A488" s="3"/>
      <c r="B488" s="358"/>
      <c r="C488" s="359" t="s">
        <v>753</v>
      </c>
      <c r="D488" s="360" t="s">
        <v>812</v>
      </c>
      <c r="E488" s="361" t="s">
        <v>813</v>
      </c>
      <c r="F488" s="361" t="s">
        <v>814</v>
      </c>
      <c r="G488" s="358"/>
      <c r="H488" s="359" t="s">
        <v>754</v>
      </c>
      <c r="I488" s="360" t="s">
        <v>812</v>
      </c>
      <c r="J488" s="361" t="s">
        <v>813</v>
      </c>
      <c r="K488" s="361" t="s">
        <v>814</v>
      </c>
      <c r="L488" s="3"/>
      <c r="M488" s="3"/>
      <c r="N488" s="3"/>
      <c r="O488" s="3"/>
      <c r="P488" s="3"/>
      <c r="Q488" s="3"/>
      <c r="R488" s="3"/>
      <c r="S488" s="3"/>
      <c r="T488" s="3"/>
      <c r="U488" s="3"/>
      <c r="V488" s="3"/>
      <c r="W488" s="3"/>
      <c r="X488" s="3"/>
      <c r="Y488" s="3"/>
      <c r="Z488" s="3"/>
    </row>
    <row r="489" spans="1:26" ht="12.75" x14ac:dyDescent="0.2">
      <c r="A489" s="3"/>
      <c r="B489" s="358"/>
      <c r="C489" s="362"/>
      <c r="D489" s="363">
        <f>$F$359</f>
        <v>3936.3963083511826</v>
      </c>
      <c r="E489" s="364">
        <f>$F$481</f>
        <v>247338270.26674476</v>
      </c>
      <c r="F489" s="364">
        <f>$H$356*1000/$F$10</f>
        <v>700.89830702043889</v>
      </c>
      <c r="G489" s="358"/>
      <c r="H489" s="362"/>
      <c r="I489" s="363">
        <f>$F$359</f>
        <v>3936.3963083511826</v>
      </c>
      <c r="J489" s="364">
        <f>$F$481</f>
        <v>247338270.26674476</v>
      </c>
      <c r="K489" s="364">
        <f>$H$356*1000/$F$10</f>
        <v>700.89830702043889</v>
      </c>
      <c r="L489" s="3"/>
      <c r="M489" s="3"/>
      <c r="N489" s="3"/>
      <c r="O489" s="3"/>
      <c r="P489" s="3"/>
      <c r="Q489" s="3"/>
      <c r="R489" s="3"/>
      <c r="S489" s="3"/>
      <c r="T489" s="3"/>
      <c r="U489" s="3"/>
      <c r="V489" s="3"/>
      <c r="W489" s="3"/>
      <c r="X489" s="3"/>
      <c r="Y489" s="3"/>
      <c r="Z489" s="3"/>
    </row>
    <row r="490" spans="1:26" ht="12.75" x14ac:dyDescent="0.2">
      <c r="A490" s="3"/>
      <c r="B490" s="358"/>
      <c r="C490" s="365">
        <v>0.03</v>
      </c>
      <c r="D490" s="621">
        <f t="dataTable" ref="D490:F495" dt2D="0" dtr="0" r1="F8" ca="1"/>
        <v>3936.3963083511826</v>
      </c>
      <c r="E490" s="622">
        <v>247338270.26674476</v>
      </c>
      <c r="F490" s="622">
        <v>700.89830702043866</v>
      </c>
      <c r="G490" s="358"/>
      <c r="H490" s="365">
        <v>-0.01</v>
      </c>
      <c r="I490" s="621">
        <f t="dataTable" ref="I490:K495" dt2D="0" dtr="0" r1="F9" ca="1"/>
        <v>3936.3963083511826</v>
      </c>
      <c r="J490" s="622">
        <v>247338270.26674476</v>
      </c>
      <c r="K490" s="622">
        <v>700.89830702043866</v>
      </c>
      <c r="L490" s="3"/>
      <c r="M490" s="3"/>
      <c r="N490" s="3"/>
      <c r="O490" s="3"/>
      <c r="P490" s="3"/>
      <c r="Q490" s="3"/>
      <c r="R490" s="3"/>
      <c r="S490" s="3"/>
      <c r="T490" s="3"/>
      <c r="U490" s="3"/>
      <c r="V490" s="3"/>
      <c r="W490" s="3"/>
      <c r="X490" s="3"/>
      <c r="Y490" s="3"/>
      <c r="Z490" s="3"/>
    </row>
    <row r="491" spans="1:26" ht="12.75" x14ac:dyDescent="0.2">
      <c r="A491" s="3"/>
      <c r="B491" s="358"/>
      <c r="C491" s="368">
        <v>0.05</v>
      </c>
      <c r="D491" s="613">
        <v>3936.3963083511826</v>
      </c>
      <c r="E491" s="614">
        <v>247338270.26674476</v>
      </c>
      <c r="F491" s="614">
        <v>700.89830702043889</v>
      </c>
      <c r="G491" s="358"/>
      <c r="H491" s="368">
        <v>0</v>
      </c>
      <c r="I491" s="613">
        <v>3936.3963083511826</v>
      </c>
      <c r="J491" s="614">
        <v>247338270.26674476</v>
      </c>
      <c r="K491" s="614">
        <v>700.89830702043889</v>
      </c>
      <c r="L491" s="3"/>
      <c r="M491" s="3"/>
      <c r="N491" s="3"/>
      <c r="O491" s="3"/>
      <c r="P491" s="3"/>
      <c r="Q491" s="3"/>
      <c r="R491" s="3"/>
      <c r="S491" s="3"/>
      <c r="T491" s="3"/>
      <c r="U491" s="3"/>
      <c r="V491" s="3"/>
      <c r="W491" s="3"/>
      <c r="X491" s="3"/>
      <c r="Y491" s="3"/>
      <c r="Z491" s="3"/>
    </row>
    <row r="492" spans="1:26" ht="12.75" x14ac:dyDescent="0.2">
      <c r="A492" s="3"/>
      <c r="B492" s="358"/>
      <c r="C492" s="371">
        <v>7.0000000000000007E-2</v>
      </c>
      <c r="D492" s="617">
        <v>3936.3963083511826</v>
      </c>
      <c r="E492" s="618">
        <v>247338270.26674476</v>
      </c>
      <c r="F492" s="618">
        <v>700.89830702043866</v>
      </c>
      <c r="G492" s="358"/>
      <c r="H492" s="368">
        <v>0.01</v>
      </c>
      <c r="I492" s="613">
        <v>3936.3963083511826</v>
      </c>
      <c r="J492" s="614">
        <v>247338270.26674476</v>
      </c>
      <c r="K492" s="614">
        <v>700.89830702043889</v>
      </c>
      <c r="L492" s="3"/>
      <c r="M492" s="3"/>
      <c r="N492" s="3"/>
      <c r="O492" s="3"/>
      <c r="P492" s="3"/>
      <c r="Q492" s="3"/>
      <c r="R492" s="3"/>
      <c r="S492" s="3"/>
      <c r="T492" s="3"/>
      <c r="U492" s="3"/>
      <c r="V492" s="3"/>
      <c r="W492" s="3"/>
      <c r="X492" s="3"/>
      <c r="Y492" s="3"/>
      <c r="Z492" s="3"/>
    </row>
    <row r="493" spans="1:26" ht="12.75" x14ac:dyDescent="0.2">
      <c r="A493" s="3"/>
      <c r="B493" s="358"/>
      <c r="C493" s="368">
        <v>0.1</v>
      </c>
      <c r="D493" s="613">
        <v>3936.3963083511826</v>
      </c>
      <c r="E493" s="614">
        <v>247338270.26674476</v>
      </c>
      <c r="F493" s="614">
        <v>700.89830702043889</v>
      </c>
      <c r="G493" s="358"/>
      <c r="H493" s="374">
        <v>2.5000000000000001E-2</v>
      </c>
      <c r="I493" s="617">
        <v>3936.3963083511826</v>
      </c>
      <c r="J493" s="618">
        <v>247338270.26674476</v>
      </c>
      <c r="K493" s="618">
        <v>700.89830702043889</v>
      </c>
      <c r="L493" s="3"/>
      <c r="M493" s="3"/>
      <c r="N493" s="3"/>
      <c r="O493" s="3"/>
      <c r="P493" s="3"/>
      <c r="Q493" s="3"/>
      <c r="R493" s="3"/>
      <c r="S493" s="3"/>
      <c r="T493" s="3"/>
      <c r="U493" s="3"/>
      <c r="V493" s="3"/>
      <c r="W493" s="3"/>
      <c r="X493" s="3"/>
      <c r="Y493" s="3"/>
      <c r="Z493" s="3"/>
    </row>
    <row r="494" spans="1:26" ht="12.75" x14ac:dyDescent="0.2">
      <c r="A494" s="3"/>
      <c r="B494" s="358"/>
      <c r="C494" s="368">
        <v>0.15</v>
      </c>
      <c r="D494" s="613">
        <v>3936.3963083511835</v>
      </c>
      <c r="E494" s="614">
        <v>247338270.26674476</v>
      </c>
      <c r="F494" s="614">
        <v>700.89830702043889</v>
      </c>
      <c r="G494" s="358"/>
      <c r="H494" s="368">
        <v>0.04</v>
      </c>
      <c r="I494" s="613">
        <v>3936.3963083511826</v>
      </c>
      <c r="J494" s="614">
        <v>247338270.26674476</v>
      </c>
      <c r="K494" s="614">
        <v>700.89830702043866</v>
      </c>
      <c r="L494" s="3"/>
      <c r="M494" s="3"/>
      <c r="N494" s="3"/>
      <c r="O494" s="3"/>
      <c r="P494" s="3"/>
      <c r="Q494" s="3"/>
      <c r="R494" s="3"/>
      <c r="S494" s="3"/>
      <c r="T494" s="3"/>
      <c r="U494" s="3"/>
      <c r="V494" s="3"/>
      <c r="W494" s="3"/>
      <c r="X494" s="3"/>
      <c r="Y494" s="3"/>
      <c r="Z494" s="3"/>
    </row>
    <row r="495" spans="1:26" ht="12.75" x14ac:dyDescent="0.2">
      <c r="A495" s="3"/>
      <c r="B495" s="358"/>
      <c r="C495" s="375">
        <v>0.2</v>
      </c>
      <c r="D495" s="619">
        <v>3936.3963083511812</v>
      </c>
      <c r="E495" s="620">
        <v>247338270.26674473</v>
      </c>
      <c r="F495" s="620">
        <v>700.89830702043832</v>
      </c>
      <c r="G495" s="358"/>
      <c r="H495" s="375">
        <v>0.06</v>
      </c>
      <c r="I495" s="619">
        <v>3936.3963083511826</v>
      </c>
      <c r="J495" s="620">
        <v>247338270.26674476</v>
      </c>
      <c r="K495" s="620">
        <v>700.89830702043889</v>
      </c>
      <c r="L495" s="3"/>
      <c r="M495" s="3"/>
      <c r="N495" s="3"/>
      <c r="O495" s="3"/>
      <c r="P495" s="3"/>
      <c r="Q495" s="3"/>
      <c r="R495" s="3"/>
      <c r="S495" s="3"/>
      <c r="T495" s="3"/>
      <c r="U495" s="3"/>
      <c r="V495" s="3"/>
      <c r="W495" s="3"/>
      <c r="X495" s="3"/>
      <c r="Y495" s="3"/>
      <c r="Z495" s="3"/>
    </row>
    <row r="496" spans="1:26" ht="12.75" x14ac:dyDescent="0.2">
      <c r="A496" s="3"/>
      <c r="B496" s="358"/>
      <c r="C496" s="358"/>
      <c r="D496" s="358"/>
      <c r="E496" s="358"/>
      <c r="F496" s="358"/>
      <c r="G496" s="358"/>
      <c r="H496" s="358"/>
      <c r="I496" s="358"/>
      <c r="J496" s="358"/>
      <c r="K496" s="358"/>
      <c r="L496" s="3"/>
      <c r="M496" s="3"/>
      <c r="N496" s="3"/>
      <c r="O496" s="3"/>
      <c r="P496" s="3"/>
      <c r="Q496" s="3"/>
      <c r="R496" s="3"/>
      <c r="S496" s="3"/>
      <c r="T496" s="3"/>
      <c r="U496" s="3"/>
      <c r="V496" s="3"/>
      <c r="W496" s="3"/>
      <c r="X496" s="3"/>
      <c r="Y496" s="3"/>
      <c r="Z496" s="3"/>
    </row>
    <row r="497" spans="1:26" ht="51" x14ac:dyDescent="0.2">
      <c r="A497" s="3"/>
      <c r="B497" s="358"/>
      <c r="C497" s="359" t="s">
        <v>181</v>
      </c>
      <c r="D497" s="360" t="s">
        <v>812</v>
      </c>
      <c r="E497" s="361" t="s">
        <v>813</v>
      </c>
      <c r="F497" s="361" t="s">
        <v>814</v>
      </c>
      <c r="G497" s="358"/>
      <c r="H497" s="359" t="s">
        <v>951</v>
      </c>
      <c r="I497" s="360" t="s">
        <v>812</v>
      </c>
      <c r="J497" s="361" t="s">
        <v>813</v>
      </c>
      <c r="K497" s="361" t="s">
        <v>814</v>
      </c>
      <c r="L497" s="3"/>
      <c r="M497" s="3"/>
      <c r="N497" s="3"/>
      <c r="O497" s="3"/>
      <c r="P497" s="3"/>
      <c r="Q497" s="3"/>
      <c r="R497" s="3"/>
      <c r="S497" s="3"/>
      <c r="T497" s="3"/>
      <c r="U497" s="3"/>
      <c r="V497" s="3"/>
      <c r="W497" s="3"/>
      <c r="X497" s="3"/>
      <c r="Y497" s="3"/>
      <c r="Z497" s="3"/>
    </row>
    <row r="498" spans="1:26" ht="12.75" x14ac:dyDescent="0.2">
      <c r="A498" s="3"/>
      <c r="B498" s="354"/>
      <c r="C498" s="362"/>
      <c r="D498" s="363">
        <f>$F$359</f>
        <v>3936.3963083511826</v>
      </c>
      <c r="E498" s="364">
        <f>$F$481</f>
        <v>247338270.26674476</v>
      </c>
      <c r="F498" s="364">
        <f>$H$356*1000/$F$10</f>
        <v>700.89830702043889</v>
      </c>
      <c r="G498" s="358"/>
      <c r="H498" s="362"/>
      <c r="I498" s="363">
        <f>$F$359</f>
        <v>3936.3963083511826</v>
      </c>
      <c r="J498" s="364">
        <f>$F$481</f>
        <v>247338270.26674476</v>
      </c>
      <c r="K498" s="364">
        <f>$H$356*1000/$F$10</f>
        <v>700.89830702043889</v>
      </c>
      <c r="L498" s="3"/>
      <c r="M498" s="3"/>
      <c r="N498" s="3"/>
      <c r="O498" s="3"/>
      <c r="P498" s="3"/>
      <c r="Q498" s="3"/>
      <c r="R498" s="3"/>
      <c r="S498" s="3"/>
      <c r="T498" s="3"/>
      <c r="U498" s="3"/>
      <c r="V498" s="3"/>
      <c r="W498" s="3"/>
      <c r="X498" s="3"/>
      <c r="Y498" s="3"/>
      <c r="Z498" s="3"/>
    </row>
    <row r="499" spans="1:26" ht="12.75" x14ac:dyDescent="0.2">
      <c r="A499" s="3"/>
      <c r="B499" s="354"/>
      <c r="C499" s="378">
        <v>140</v>
      </c>
      <c r="D499" s="621">
        <f t="dataTable" ref="D499:F504" dt2D="0" dtr="0" r1="F10" ca="1"/>
        <v>4555.0280956713914</v>
      </c>
      <c r="E499" s="622">
        <v>291027931.6540941</v>
      </c>
      <c r="F499" s="622">
        <v>811.60010830045462</v>
      </c>
      <c r="G499" s="358"/>
      <c r="H499" s="365">
        <v>-0.02</v>
      </c>
      <c r="I499" s="621">
        <f t="dataTable" ref="I499:K504" dt2D="0" dtr="0" r1="F11" ca="1"/>
        <v>3998.9847118012362</v>
      </c>
      <c r="J499" s="622">
        <v>253742887.87577093</v>
      </c>
      <c r="K499" s="622">
        <v>708.1330867589179</v>
      </c>
      <c r="L499" s="3"/>
      <c r="M499" s="3"/>
      <c r="N499" s="3"/>
      <c r="O499" s="3"/>
      <c r="P499" s="3"/>
      <c r="Q499" s="3"/>
      <c r="R499" s="3"/>
      <c r="S499" s="3"/>
      <c r="T499" s="3"/>
      <c r="U499" s="3"/>
      <c r="V499" s="3"/>
      <c r="W499" s="3"/>
      <c r="X499" s="3"/>
      <c r="Y499" s="3"/>
      <c r="Z499" s="3"/>
    </row>
    <row r="500" spans="1:26" ht="12.75" x14ac:dyDescent="0.2">
      <c r="A500" s="3"/>
      <c r="B500" s="354"/>
      <c r="C500" s="379">
        <v>150</v>
      </c>
      <c r="D500" s="613">
        <v>4184.6014450654402</v>
      </c>
      <c r="E500" s="614">
        <v>264867273.14036158</v>
      </c>
      <c r="F500" s="614">
        <v>745.31367054426414</v>
      </c>
      <c r="G500" s="358"/>
      <c r="H500" s="368">
        <v>-0.01</v>
      </c>
      <c r="I500" s="613">
        <v>3968.3946482878132</v>
      </c>
      <c r="J500" s="614">
        <v>250611183.08424911</v>
      </c>
      <c r="K500" s="614">
        <v>704.53396653548259</v>
      </c>
      <c r="L500" s="3"/>
      <c r="M500" s="3"/>
      <c r="N500" s="3"/>
      <c r="O500" s="3"/>
      <c r="P500" s="3"/>
      <c r="Q500" s="3"/>
      <c r="R500" s="3"/>
      <c r="S500" s="3"/>
      <c r="T500" s="3"/>
      <c r="U500" s="3"/>
      <c r="V500" s="3"/>
      <c r="W500" s="3"/>
      <c r="X500" s="3"/>
      <c r="Y500" s="3"/>
      <c r="Z500" s="3"/>
    </row>
    <row r="501" spans="1:26" ht="12.75" x14ac:dyDescent="0.2">
      <c r="A501" s="3"/>
      <c r="B501" s="354"/>
      <c r="C501" s="380">
        <v>157.54</v>
      </c>
      <c r="D501" s="617">
        <v>3936.3963083511826</v>
      </c>
      <c r="E501" s="618">
        <v>247338270.26674476</v>
      </c>
      <c r="F501" s="618">
        <v>700.89830702043889</v>
      </c>
      <c r="G501" s="358"/>
      <c r="H501" s="371">
        <v>0</v>
      </c>
      <c r="I501" s="617">
        <v>3936.3963083511826</v>
      </c>
      <c r="J501" s="618">
        <v>247338270.26674476</v>
      </c>
      <c r="K501" s="618">
        <v>700.89830702043889</v>
      </c>
      <c r="L501" s="3"/>
      <c r="M501" s="3"/>
      <c r="N501" s="3"/>
      <c r="O501" s="3"/>
      <c r="P501" s="3"/>
      <c r="Q501" s="3"/>
      <c r="R501" s="3"/>
      <c r="S501" s="3"/>
      <c r="T501" s="3"/>
      <c r="U501" s="3"/>
      <c r="V501" s="3"/>
      <c r="W501" s="3"/>
      <c r="X501" s="3"/>
      <c r="Y501" s="3"/>
      <c r="Z501" s="3"/>
    </row>
    <row r="502" spans="1:26" ht="12.75" x14ac:dyDescent="0.2">
      <c r="A502" s="3"/>
      <c r="B502" s="354"/>
      <c r="C502" s="379">
        <v>165</v>
      </c>
      <c r="D502" s="613">
        <v>3713.1493442942306</v>
      </c>
      <c r="E502" s="614">
        <v>231571889.57742935</v>
      </c>
      <c r="F502" s="614">
        <v>660.94911340002182</v>
      </c>
      <c r="G502" s="358"/>
      <c r="H502" s="597">
        <v>0.01</v>
      </c>
      <c r="I502" s="615">
        <v>3902.9210956296606</v>
      </c>
      <c r="J502" s="616">
        <v>243917317.67312074</v>
      </c>
      <c r="K502" s="616">
        <v>697.22610821378657</v>
      </c>
      <c r="L502" s="3"/>
      <c r="M502" s="3"/>
      <c r="N502" s="3"/>
      <c r="O502" s="3"/>
      <c r="P502" s="3"/>
      <c r="Q502" s="3"/>
      <c r="R502" s="3"/>
      <c r="S502" s="3"/>
      <c r="T502" s="3"/>
      <c r="U502" s="3"/>
      <c r="V502" s="3"/>
      <c r="W502" s="3"/>
      <c r="X502" s="3"/>
      <c r="Y502" s="3"/>
      <c r="Z502" s="3"/>
    </row>
    <row r="503" spans="1:26" ht="12.75" x14ac:dyDescent="0.2">
      <c r="A503" s="3"/>
      <c r="B503" s="354"/>
      <c r="C503" s="379">
        <v>175</v>
      </c>
      <c r="D503" s="613">
        <v>3443.7481438535374</v>
      </c>
      <c r="E503" s="614">
        <v>212545956.11289668</v>
      </c>
      <c r="F503" s="614">
        <v>612.74079503188341</v>
      </c>
      <c r="G503" s="358"/>
      <c r="H503" s="368">
        <v>0.02</v>
      </c>
      <c r="I503" s="613">
        <v>3867.8972603725738</v>
      </c>
      <c r="J503" s="614">
        <v>240341177.40171677</v>
      </c>
      <c r="K503" s="614">
        <v>693.51737011552575</v>
      </c>
      <c r="L503" s="3"/>
      <c r="M503" s="3"/>
      <c r="N503" s="3"/>
      <c r="O503" s="3"/>
      <c r="P503" s="3"/>
      <c r="Q503" s="3"/>
      <c r="R503" s="3"/>
      <c r="S503" s="3"/>
      <c r="T503" s="3"/>
      <c r="U503" s="3"/>
      <c r="V503" s="3"/>
      <c r="W503" s="3"/>
      <c r="X503" s="3"/>
      <c r="Y503" s="3"/>
      <c r="Z503" s="3"/>
    </row>
    <row r="504" spans="1:26" ht="12.75" x14ac:dyDescent="0.2">
      <c r="A504" s="3"/>
      <c r="B504" s="354"/>
      <c r="C504" s="381">
        <v>185</v>
      </c>
      <c r="D504" s="619">
        <v>3203.4713975145428</v>
      </c>
      <c r="E504" s="620">
        <v>195576880.32020536</v>
      </c>
      <c r="F504" s="620">
        <v>569.74418675759762</v>
      </c>
      <c r="G504" s="358"/>
      <c r="H504" s="375">
        <v>0.05</v>
      </c>
      <c r="I504" s="619">
        <v>3752.7665124486552</v>
      </c>
      <c r="J504" s="620">
        <v>228605134.62355024</v>
      </c>
      <c r="K504" s="620">
        <v>682.17192007109247</v>
      </c>
      <c r="L504" s="3"/>
      <c r="M504" s="3"/>
      <c r="N504" s="3"/>
      <c r="O504" s="3"/>
      <c r="P504" s="3"/>
      <c r="Q504" s="3"/>
      <c r="R504" s="3"/>
      <c r="S504" s="3"/>
      <c r="T504" s="3"/>
      <c r="U504" s="3"/>
      <c r="V504" s="3"/>
      <c r="W504" s="3"/>
      <c r="X504" s="3"/>
      <c r="Y504" s="3"/>
      <c r="Z504" s="3"/>
    </row>
    <row r="505" spans="1:26" ht="12.75" x14ac:dyDescent="0.2">
      <c r="A505" s="3"/>
      <c r="B505" s="354"/>
      <c r="C505" s="354"/>
      <c r="D505" s="354"/>
      <c r="E505" s="354"/>
      <c r="F505" s="354"/>
      <c r="G505" s="354"/>
      <c r="H505" s="354"/>
      <c r="I505" s="354"/>
      <c r="J505" s="354"/>
      <c r="K505" s="354"/>
      <c r="L505" s="3"/>
      <c r="M505" s="3"/>
      <c r="N505" s="3"/>
      <c r="O505" s="3"/>
      <c r="P505" s="3"/>
      <c r="Q505" s="3"/>
      <c r="R505" s="3"/>
      <c r="S505" s="3"/>
      <c r="T505" s="3"/>
      <c r="U505" s="3"/>
      <c r="V505" s="3"/>
      <c r="W505" s="3"/>
      <c r="X505" s="3"/>
      <c r="Y505" s="3"/>
      <c r="Z505" s="3"/>
    </row>
    <row r="506" spans="1:26" ht="25.5" x14ac:dyDescent="0.2">
      <c r="A506" s="3"/>
      <c r="B506" s="354"/>
      <c r="C506" s="359" t="s">
        <v>21</v>
      </c>
      <c r="D506" s="360" t="s">
        <v>812</v>
      </c>
      <c r="E506" s="657" t="s">
        <v>813</v>
      </c>
      <c r="F506" s="361" t="s">
        <v>814</v>
      </c>
      <c r="G506" s="358"/>
      <c r="H506" s="359" t="s">
        <v>23</v>
      </c>
      <c r="I506" s="662" t="s">
        <v>812</v>
      </c>
      <c r="J506" s="361" t="s">
        <v>813</v>
      </c>
      <c r="K506" s="657" t="s">
        <v>814</v>
      </c>
      <c r="L506" s="3"/>
      <c r="M506" s="3"/>
      <c r="N506" s="3"/>
      <c r="O506" s="3"/>
      <c r="P506" s="3"/>
      <c r="Q506" s="3"/>
      <c r="R506" s="3"/>
      <c r="S506" s="3"/>
      <c r="T506" s="3"/>
      <c r="U506" s="3"/>
      <c r="V506" s="3"/>
      <c r="W506" s="3"/>
      <c r="X506" s="3"/>
      <c r="Y506" s="3"/>
      <c r="Z506" s="3"/>
    </row>
    <row r="507" spans="1:26" ht="12.75" x14ac:dyDescent="0.2">
      <c r="A507" s="3"/>
      <c r="B507" s="354"/>
      <c r="C507" s="362"/>
      <c r="D507" s="363">
        <f>$F$359</f>
        <v>3936.3963083511826</v>
      </c>
      <c r="E507" s="364">
        <f>$F$481</f>
        <v>247338270.26674476</v>
      </c>
      <c r="F507" s="364">
        <f>$H$356*1000/$F$10</f>
        <v>700.89830702043889</v>
      </c>
      <c r="G507" s="358"/>
      <c r="H507" s="362"/>
      <c r="I507" s="363">
        <f>$F$359</f>
        <v>3936.3963083511826</v>
      </c>
      <c r="J507" s="364">
        <f>$F$481</f>
        <v>247338270.26674476</v>
      </c>
      <c r="K507" s="364">
        <f>$H$356*1000/$F$10</f>
        <v>700.89830702043889</v>
      </c>
      <c r="L507" s="3"/>
      <c r="M507" s="3"/>
      <c r="N507" s="3"/>
      <c r="O507" s="3"/>
      <c r="P507" s="3"/>
      <c r="Q507" s="3"/>
      <c r="R507" s="3"/>
      <c r="S507" s="3"/>
      <c r="T507" s="3"/>
      <c r="U507" s="3"/>
      <c r="V507" s="3"/>
      <c r="W507" s="3"/>
      <c r="X507" s="3"/>
      <c r="Y507" s="3"/>
      <c r="Z507" s="3"/>
    </row>
    <row r="508" spans="1:26" ht="12.75" x14ac:dyDescent="0.2">
      <c r="A508" s="3"/>
      <c r="B508" s="354"/>
      <c r="C508" s="382">
        <v>7.0000000000000007E-2</v>
      </c>
      <c r="D508" s="621">
        <f t="dataTable" ref="D508:F513" dt2D="0" dtr="0" r1="F19" ca="1"/>
        <v>6306.2939385842737</v>
      </c>
      <c r="E508" s="668">
        <v>247338270.26674476</v>
      </c>
      <c r="F508" s="622">
        <v>700.89830702043889</v>
      </c>
      <c r="G508" s="358"/>
      <c r="H508" s="365">
        <v>0.06</v>
      </c>
      <c r="I508" s="667">
        <f t="dataTable" ref="I508:K513" dt2D="0" dtr="0" r1="F20" ca="1"/>
        <v>3936.3963083511826</v>
      </c>
      <c r="J508" s="622">
        <v>388769551.32799673</v>
      </c>
      <c r="K508" s="668">
        <v>700.89830702043889</v>
      </c>
      <c r="L508" s="3"/>
      <c r="M508" s="3"/>
      <c r="N508" s="3"/>
      <c r="O508" s="3"/>
      <c r="P508" s="3"/>
      <c r="Q508" s="3"/>
      <c r="R508" s="3"/>
      <c r="S508" s="3"/>
      <c r="T508" s="3"/>
      <c r="U508" s="3"/>
      <c r="V508" s="3"/>
      <c r="W508" s="3"/>
      <c r="X508" s="3"/>
      <c r="Y508" s="3"/>
      <c r="Z508" s="3"/>
    </row>
    <row r="509" spans="1:26" ht="12.75" x14ac:dyDescent="0.2">
      <c r="A509" s="3"/>
      <c r="B509" s="354"/>
      <c r="C509" s="383">
        <v>0.1</v>
      </c>
      <c r="D509" s="613">
        <v>5417.6840143852178</v>
      </c>
      <c r="E509" s="658">
        <v>247338270.26674476</v>
      </c>
      <c r="F509" s="614">
        <v>700.89830702043889</v>
      </c>
      <c r="G509" s="358"/>
      <c r="H509" s="368">
        <v>0.08</v>
      </c>
      <c r="I509" s="663">
        <v>3936.3963083511826</v>
      </c>
      <c r="J509" s="614">
        <v>332974590.39296108</v>
      </c>
      <c r="K509" s="658">
        <v>700.89830702043889</v>
      </c>
      <c r="L509" s="3"/>
      <c r="M509" s="3"/>
      <c r="N509" s="3"/>
      <c r="O509" s="3"/>
      <c r="P509" s="3"/>
      <c r="Q509" s="3"/>
      <c r="R509" s="3"/>
      <c r="S509" s="3"/>
      <c r="T509" s="3"/>
      <c r="U509" s="3"/>
      <c r="V509" s="3"/>
      <c r="W509" s="3"/>
      <c r="X509" s="3"/>
      <c r="Y509" s="3"/>
      <c r="Z509" s="3"/>
    </row>
    <row r="510" spans="1:26" ht="12.75" x14ac:dyDescent="0.2">
      <c r="A510" s="3"/>
      <c r="B510" s="354"/>
      <c r="C510" s="384">
        <v>0.12</v>
      </c>
      <c r="D510" s="615">
        <v>4915.0967608489182</v>
      </c>
      <c r="E510" s="659">
        <v>247338270.26674476</v>
      </c>
      <c r="F510" s="616">
        <v>700.89830702043889</v>
      </c>
      <c r="G510" s="358"/>
      <c r="H510" s="368">
        <v>0.1</v>
      </c>
      <c r="I510" s="663">
        <v>3936.3963083511826</v>
      </c>
      <c r="J510" s="614">
        <v>286403915.02804095</v>
      </c>
      <c r="K510" s="658">
        <v>700.89830702043889</v>
      </c>
      <c r="L510" s="3"/>
      <c r="M510" s="3"/>
      <c r="N510" s="3"/>
      <c r="O510" s="3"/>
      <c r="P510" s="3"/>
      <c r="Q510" s="3"/>
      <c r="R510" s="3"/>
      <c r="S510" s="3"/>
      <c r="T510" s="3"/>
      <c r="U510" s="3"/>
      <c r="V510" s="3"/>
      <c r="W510" s="3"/>
      <c r="X510" s="3"/>
      <c r="Y510" s="3"/>
      <c r="Z510" s="3"/>
    </row>
    <row r="511" spans="1:26" ht="12.75" x14ac:dyDescent="0.2">
      <c r="A511" s="3"/>
      <c r="B511" s="354"/>
      <c r="C511" s="387">
        <v>0.16800000000000001</v>
      </c>
      <c r="D511" s="617">
        <v>3936.3963083511826</v>
      </c>
      <c r="E511" s="660">
        <v>247338270.26674476</v>
      </c>
      <c r="F511" s="618">
        <v>700.89830702043889</v>
      </c>
      <c r="G511" s="358"/>
      <c r="H511" s="371">
        <v>0.12</v>
      </c>
      <c r="I511" s="665">
        <v>3936.3963083511826</v>
      </c>
      <c r="J511" s="618">
        <v>247338270.26674476</v>
      </c>
      <c r="K511" s="660">
        <v>700.89830702043889</v>
      </c>
      <c r="L511" s="3"/>
      <c r="M511" s="3"/>
      <c r="N511" s="3"/>
      <c r="O511" s="3"/>
      <c r="P511" s="3"/>
      <c r="Q511" s="3"/>
      <c r="R511" s="3"/>
      <c r="S511" s="3"/>
      <c r="T511" s="3"/>
      <c r="U511" s="3"/>
      <c r="V511" s="3"/>
      <c r="W511" s="3"/>
      <c r="X511" s="3"/>
      <c r="Y511" s="3"/>
      <c r="Z511" s="3"/>
    </row>
    <row r="512" spans="1:26" ht="12.75" x14ac:dyDescent="0.2">
      <c r="A512" s="3"/>
      <c r="B512" s="354"/>
      <c r="C512" s="383">
        <v>0.2</v>
      </c>
      <c r="D512" s="613">
        <v>3423.003418504285</v>
      </c>
      <c r="E512" s="658">
        <v>247338270.26674476</v>
      </c>
      <c r="F512" s="614">
        <v>700.89830702043889</v>
      </c>
      <c r="G512" s="358"/>
      <c r="H512" s="368">
        <v>0.14000000000000001</v>
      </c>
      <c r="I512" s="663">
        <v>3936.3963083511826</v>
      </c>
      <c r="J512" s="614">
        <v>214411637.6037482</v>
      </c>
      <c r="K512" s="658">
        <v>700.89830702043889</v>
      </c>
      <c r="L512" s="3"/>
      <c r="M512" s="3"/>
      <c r="N512" s="3"/>
      <c r="O512" s="3"/>
      <c r="P512" s="3"/>
      <c r="Q512" s="3"/>
      <c r="R512" s="3"/>
      <c r="S512" s="3"/>
      <c r="T512" s="3"/>
      <c r="U512" s="3"/>
      <c r="V512" s="3"/>
      <c r="W512" s="3"/>
      <c r="X512" s="3"/>
      <c r="Y512" s="3"/>
      <c r="Z512" s="3"/>
    </row>
    <row r="513" spans="1:26" ht="12.75" x14ac:dyDescent="0.2">
      <c r="A513" s="3"/>
      <c r="B513" s="354"/>
      <c r="C513" s="388">
        <v>0.25</v>
      </c>
      <c r="D513" s="619">
        <v>2783.9030521939203</v>
      </c>
      <c r="E513" s="661">
        <v>247338270.26674476</v>
      </c>
      <c r="F513" s="620">
        <v>700.89830702043889</v>
      </c>
      <c r="G513" s="358"/>
      <c r="H513" s="375">
        <v>0.16</v>
      </c>
      <c r="I513" s="666">
        <v>3936.3963083511826</v>
      </c>
      <c r="J513" s="620">
        <v>186532542.22361353</v>
      </c>
      <c r="K513" s="661">
        <v>700.89830702043889</v>
      </c>
      <c r="L513" s="3"/>
      <c r="M513" s="3"/>
      <c r="N513" s="3"/>
      <c r="O513" s="3"/>
      <c r="P513" s="3"/>
      <c r="Q513" s="3"/>
      <c r="R513" s="3"/>
      <c r="S513" s="3"/>
      <c r="T513" s="3"/>
      <c r="U513" s="3"/>
      <c r="V513" s="3"/>
      <c r="W513" s="3"/>
      <c r="X513" s="3"/>
      <c r="Y513" s="3"/>
      <c r="Z513" s="3"/>
    </row>
    <row r="514" spans="1:26" ht="12.75"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38.25" x14ac:dyDescent="0.2">
      <c r="A515" s="3"/>
      <c r="B515" s="3"/>
      <c r="C515" s="359" t="s">
        <v>950</v>
      </c>
      <c r="D515" s="360" t="s">
        <v>812</v>
      </c>
      <c r="E515" s="361" t="s">
        <v>813</v>
      </c>
      <c r="F515" s="361" t="s">
        <v>814</v>
      </c>
      <c r="G515" s="3"/>
      <c r="H515" s="359" t="s">
        <v>911</v>
      </c>
      <c r="I515" s="360" t="s">
        <v>812</v>
      </c>
      <c r="J515" s="361" t="s">
        <v>813</v>
      </c>
      <c r="K515" s="361" t="s">
        <v>814</v>
      </c>
      <c r="L515" s="3"/>
      <c r="M515" s="3"/>
      <c r="N515" s="3"/>
      <c r="O515" s="3"/>
      <c r="P515" s="3"/>
      <c r="Q515" s="3"/>
      <c r="R515" s="3"/>
      <c r="S515" s="3"/>
      <c r="T515" s="3"/>
      <c r="U515" s="3"/>
      <c r="V515" s="3"/>
      <c r="W515" s="3"/>
      <c r="X515" s="3"/>
      <c r="Y515" s="3"/>
      <c r="Z515" s="3"/>
    </row>
    <row r="516" spans="1:26" ht="12.75" x14ac:dyDescent="0.2">
      <c r="A516" s="3"/>
      <c r="B516" s="3"/>
      <c r="C516" s="362"/>
      <c r="D516" s="363">
        <f>$F$359</f>
        <v>3936.3963083511826</v>
      </c>
      <c r="E516" s="364">
        <f>$F$481</f>
        <v>247338270.26674476</v>
      </c>
      <c r="F516" s="364">
        <f>$H$356*1000/$F$10</f>
        <v>700.89830702043889</v>
      </c>
      <c r="G516" s="3"/>
      <c r="H516" s="362"/>
      <c r="I516" s="363">
        <f>$F$359</f>
        <v>3936.3963083511826</v>
      </c>
      <c r="J516" s="364">
        <f>$F$481</f>
        <v>247338270.26674476</v>
      </c>
      <c r="K516" s="364">
        <f>$H$356*1000/$F$10</f>
        <v>700.89830702043889</v>
      </c>
      <c r="L516" s="3"/>
      <c r="M516" s="3"/>
      <c r="N516" s="3"/>
      <c r="O516" s="3"/>
      <c r="P516" s="3"/>
      <c r="Q516" s="3"/>
      <c r="R516" s="3"/>
      <c r="S516" s="3"/>
      <c r="T516" s="3"/>
      <c r="U516" s="3"/>
      <c r="V516" s="3"/>
      <c r="W516" s="3"/>
      <c r="X516" s="3"/>
      <c r="Y516" s="3"/>
      <c r="Z516" s="3"/>
    </row>
    <row r="517" spans="1:26" ht="12.75" x14ac:dyDescent="0.2">
      <c r="A517" s="3"/>
      <c r="B517" s="3"/>
      <c r="C517" s="382">
        <v>-0.03</v>
      </c>
      <c r="D517" s="621">
        <f t="dataTable" ref="D517:F524" dt2D="0" dtr="0" r1="F53" ca="1"/>
        <v>3958.7792123694667</v>
      </c>
      <c r="E517" s="622">
        <v>248760614.61904755</v>
      </c>
      <c r="F517" s="622">
        <v>707.39217930684219</v>
      </c>
      <c r="G517" s="3"/>
      <c r="H517" s="382">
        <v>-0.03</v>
      </c>
      <c r="I517" s="621">
        <f t="dataTable" ref="I517:K524" dt2D="0" dtr="0" r1="F79" ca="1"/>
        <v>3922.9256989195901</v>
      </c>
      <c r="J517" s="622">
        <v>246501604.9290655</v>
      </c>
      <c r="K517" s="622">
        <v>698.44064547405105</v>
      </c>
      <c r="L517" s="3"/>
      <c r="M517" s="3"/>
      <c r="N517" s="3"/>
      <c r="O517" s="3"/>
      <c r="P517" s="3"/>
      <c r="Q517" s="3"/>
      <c r="R517" s="3"/>
      <c r="S517" s="3"/>
      <c r="T517" s="3"/>
      <c r="U517" s="3"/>
      <c r="V517" s="3"/>
      <c r="W517" s="3"/>
      <c r="X517" s="3"/>
      <c r="Y517" s="3"/>
      <c r="Z517" s="3"/>
    </row>
    <row r="518" spans="1:26" ht="12.75" x14ac:dyDescent="0.2">
      <c r="A518" s="3"/>
      <c r="B518" s="3"/>
      <c r="C518" s="383">
        <v>-0.02</v>
      </c>
      <c r="D518" s="613">
        <v>3951.5361287127707</v>
      </c>
      <c r="E518" s="614">
        <v>248300432.83064434</v>
      </c>
      <c r="F518" s="614">
        <v>705.24953109051637</v>
      </c>
      <c r="G518" s="3"/>
      <c r="H518" s="383">
        <v>-0.02</v>
      </c>
      <c r="I518" s="613">
        <v>3927.4159020634547</v>
      </c>
      <c r="J518" s="614">
        <v>246780493.37495854</v>
      </c>
      <c r="K518" s="614">
        <v>699.25986598951374</v>
      </c>
      <c r="L518" s="3"/>
      <c r="M518" s="3"/>
      <c r="N518" s="3"/>
      <c r="O518" s="3"/>
      <c r="P518" s="3"/>
      <c r="Q518" s="3"/>
      <c r="R518" s="3"/>
      <c r="S518" s="3"/>
      <c r="T518" s="3"/>
      <c r="U518" s="3"/>
      <c r="V518" s="3"/>
      <c r="W518" s="3"/>
      <c r="X518" s="3"/>
      <c r="Y518" s="3"/>
      <c r="Z518" s="3"/>
    </row>
    <row r="519" spans="1:26" ht="12.75" x14ac:dyDescent="0.2">
      <c r="A519" s="3"/>
      <c r="B519" s="3"/>
      <c r="C519" s="384">
        <v>-0.01</v>
      </c>
      <c r="D519" s="615">
        <v>3944.0780414514106</v>
      </c>
      <c r="E519" s="616">
        <v>247826503.1627948</v>
      </c>
      <c r="F519" s="616">
        <v>703.08490699504853</v>
      </c>
      <c r="G519" s="3"/>
      <c r="H519" s="384">
        <v>-0.01</v>
      </c>
      <c r="I519" s="615">
        <v>3931.9061052073189</v>
      </c>
      <c r="J519" s="616">
        <v>247059381.82085171</v>
      </c>
      <c r="K519" s="616">
        <v>700.07908650497632</v>
      </c>
      <c r="L519" s="3"/>
      <c r="M519" s="3"/>
      <c r="N519" s="3"/>
      <c r="O519" s="3"/>
      <c r="P519" s="3"/>
      <c r="Q519" s="3"/>
      <c r="R519" s="3"/>
      <c r="S519" s="3"/>
      <c r="T519" s="3"/>
      <c r="U519" s="3"/>
      <c r="V519" s="3"/>
      <c r="W519" s="3"/>
      <c r="X519" s="3"/>
      <c r="Y519" s="3"/>
      <c r="Z519" s="3"/>
    </row>
    <row r="520" spans="1:26" ht="12.75" x14ac:dyDescent="0.2">
      <c r="A520" s="3"/>
      <c r="B520" s="3"/>
      <c r="C520" s="602">
        <v>0</v>
      </c>
      <c r="D520" s="617">
        <v>3936.3963083511826</v>
      </c>
      <c r="E520" s="618">
        <v>247338270.26674476</v>
      </c>
      <c r="F520" s="618">
        <v>700.89830702043889</v>
      </c>
      <c r="G520" s="3"/>
      <c r="H520" s="602">
        <v>0</v>
      </c>
      <c r="I520" s="617">
        <v>3936.3963083511826</v>
      </c>
      <c r="J520" s="618">
        <v>247338270.26674476</v>
      </c>
      <c r="K520" s="618">
        <v>700.89830702043889</v>
      </c>
      <c r="L520" s="3"/>
      <c r="M520" s="3"/>
      <c r="N520" s="3"/>
      <c r="O520" s="3"/>
      <c r="P520" s="3"/>
      <c r="Q520" s="3"/>
      <c r="R520" s="3"/>
      <c r="S520" s="3"/>
      <c r="T520" s="3"/>
      <c r="U520" s="3"/>
      <c r="V520" s="3"/>
      <c r="W520" s="3"/>
      <c r="X520" s="3"/>
      <c r="Y520" s="3"/>
      <c r="Z520" s="3"/>
    </row>
    <row r="521" spans="1:26" ht="12.75" x14ac:dyDescent="0.2">
      <c r="A521" s="3"/>
      <c r="B521" s="3"/>
      <c r="C521" s="383">
        <v>0.01</v>
      </c>
      <c r="D521" s="613">
        <v>3928.4819028861798</v>
      </c>
      <c r="E521" s="614">
        <v>246835153.8174887</v>
      </c>
      <c r="F521" s="614">
        <v>698.68973116668747</v>
      </c>
      <c r="G521" s="3"/>
      <c r="H521" s="383">
        <v>0.01</v>
      </c>
      <c r="I521" s="613">
        <v>3940.8865114950468</v>
      </c>
      <c r="J521" s="614">
        <v>247617158.7126379</v>
      </c>
      <c r="K521" s="614">
        <v>701.71752753590147</v>
      </c>
      <c r="L521" s="3"/>
      <c r="M521" s="3"/>
      <c r="N521" s="3"/>
      <c r="O521" s="3"/>
      <c r="P521" s="3"/>
      <c r="Q521" s="3"/>
      <c r="R521" s="3"/>
      <c r="S521" s="3"/>
      <c r="T521" s="3"/>
      <c r="U521" s="3"/>
      <c r="V521" s="3"/>
      <c r="W521" s="3"/>
      <c r="X521" s="3"/>
      <c r="Y521" s="3"/>
      <c r="Z521" s="3"/>
    </row>
    <row r="522" spans="1:26" ht="12.75" x14ac:dyDescent="0.2">
      <c r="A522" s="3"/>
      <c r="B522" s="3"/>
      <c r="C522" s="383">
        <v>0.02</v>
      </c>
      <c r="D522" s="613">
        <v>3920.325398588478</v>
      </c>
      <c r="E522" s="614">
        <v>246316547.48397532</v>
      </c>
      <c r="F522" s="614">
        <v>696.45917943379413</v>
      </c>
      <c r="G522" s="3"/>
      <c r="H522" s="383">
        <v>0.02</v>
      </c>
      <c r="I522" s="613">
        <v>3945.3767146389109</v>
      </c>
      <c r="J522" s="614">
        <v>247896047.15853098</v>
      </c>
      <c r="K522" s="614">
        <v>702.53674805136404</v>
      </c>
      <c r="L522" s="3"/>
      <c r="M522" s="3"/>
      <c r="N522" s="3"/>
      <c r="O522" s="3"/>
      <c r="P522" s="3"/>
      <c r="Q522" s="3"/>
      <c r="R522" s="3"/>
      <c r="S522" s="3"/>
      <c r="T522" s="3"/>
      <c r="U522" s="3"/>
      <c r="V522" s="3"/>
      <c r="W522" s="3"/>
      <c r="X522" s="3"/>
      <c r="Y522" s="3"/>
      <c r="Z522" s="3"/>
    </row>
    <row r="523" spans="1:26" ht="12.75" x14ac:dyDescent="0.2">
      <c r="A523" s="3"/>
      <c r="B523" s="3"/>
      <c r="C523" s="383">
        <v>0.03</v>
      </c>
      <c r="D523" s="613">
        <v>3911.9169528705406</v>
      </c>
      <c r="E523" s="614">
        <v>245781817.86426523</v>
      </c>
      <c r="F523" s="614">
        <v>694.20665182175901</v>
      </c>
      <c r="G523" s="3"/>
      <c r="H523" s="383">
        <v>0.03</v>
      </c>
      <c r="I523" s="613">
        <v>3949.8669177827751</v>
      </c>
      <c r="J523" s="614">
        <v>248174935.60442406</v>
      </c>
      <c r="K523" s="614">
        <v>703.35596856682673</v>
      </c>
      <c r="L523" s="3"/>
      <c r="M523" s="3"/>
      <c r="N523" s="3"/>
      <c r="O523" s="3"/>
      <c r="P523" s="3"/>
      <c r="Q523" s="3"/>
      <c r="R523" s="3"/>
      <c r="S523" s="3"/>
      <c r="T523" s="3"/>
      <c r="U523" s="3"/>
      <c r="V523" s="3"/>
      <c r="W523" s="3"/>
      <c r="X523" s="3"/>
      <c r="Y523" s="3"/>
      <c r="Z523" s="3"/>
    </row>
    <row r="524" spans="1:26" ht="12.75" x14ac:dyDescent="0.2">
      <c r="A524" s="3"/>
      <c r="B524" s="3"/>
      <c r="C524" s="388">
        <v>0.04</v>
      </c>
      <c r="D524" s="619">
        <v>3903.246290306749</v>
      </c>
      <c r="E524" s="620">
        <v>245230303.38473141</v>
      </c>
      <c r="F524" s="620">
        <v>691.93214833058244</v>
      </c>
      <c r="G524" s="3"/>
      <c r="H524" s="388">
        <v>0.04</v>
      </c>
      <c r="I524" s="619">
        <v>3954.3571209266383</v>
      </c>
      <c r="J524" s="620">
        <v>248453824.05031717</v>
      </c>
      <c r="K524" s="620">
        <v>704.17518908228919</v>
      </c>
      <c r="L524" s="3"/>
      <c r="M524" s="3"/>
      <c r="N524" s="3"/>
      <c r="O524" s="3"/>
      <c r="P524" s="3"/>
      <c r="Q524" s="3"/>
      <c r="R524" s="3"/>
      <c r="S524" s="3"/>
      <c r="T524" s="3"/>
      <c r="U524" s="3"/>
      <c r="V524" s="3"/>
      <c r="W524" s="3"/>
      <c r="X524" s="3"/>
      <c r="Y524" s="3"/>
      <c r="Z524" s="3"/>
    </row>
    <row r="525" spans="1:26" ht="12.75"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51" x14ac:dyDescent="0.2">
      <c r="A526" s="3"/>
      <c r="B526" s="447"/>
      <c r="C526" s="359" t="s">
        <v>972</v>
      </c>
      <c r="D526" s="360" t="s">
        <v>812</v>
      </c>
      <c r="E526" s="361" t="s">
        <v>813</v>
      </c>
      <c r="F526" s="361" t="s">
        <v>814</v>
      </c>
      <c r="G526" s="3"/>
      <c r="H526" s="3"/>
      <c r="I526" s="3"/>
      <c r="J526" s="3"/>
      <c r="K526" s="3"/>
      <c r="L526" s="3"/>
      <c r="M526" s="3"/>
      <c r="N526" s="3"/>
      <c r="O526" s="3"/>
      <c r="P526" s="3"/>
      <c r="Q526" s="3"/>
      <c r="R526" s="3"/>
      <c r="S526" s="3"/>
      <c r="T526" s="3"/>
      <c r="U526" s="3"/>
      <c r="V526" s="3"/>
      <c r="W526" s="3"/>
      <c r="X526" s="3"/>
      <c r="Y526" s="3"/>
      <c r="Z526" s="3"/>
    </row>
    <row r="527" spans="1:26" ht="12.75" x14ac:dyDescent="0.2">
      <c r="A527" s="3"/>
      <c r="B527" s="3"/>
      <c r="C527" s="362"/>
      <c r="D527" s="363">
        <f>$F$359</f>
        <v>3936.3963083511826</v>
      </c>
      <c r="E527" s="364">
        <f>$F$481</f>
        <v>247338270.26674476</v>
      </c>
      <c r="F527" s="364">
        <f>$H$356*1000/$F$10</f>
        <v>700.89830702043889</v>
      </c>
      <c r="G527" s="3"/>
      <c r="H527" s="3"/>
      <c r="I527" s="3"/>
      <c r="J527" s="3"/>
      <c r="K527" s="3"/>
      <c r="L527" s="3"/>
      <c r="M527" s="3"/>
      <c r="N527" s="3"/>
      <c r="O527" s="3"/>
      <c r="P527" s="3"/>
      <c r="Q527" s="3"/>
      <c r="R527" s="3"/>
      <c r="S527" s="3"/>
      <c r="T527" s="3"/>
      <c r="U527" s="3"/>
      <c r="V527" s="3"/>
      <c r="W527" s="3"/>
      <c r="X527" s="3"/>
      <c r="Y527" s="3"/>
      <c r="Z527" s="3"/>
    </row>
    <row r="528" spans="1:26" ht="12.75" x14ac:dyDescent="0.2">
      <c r="A528" s="3"/>
      <c r="B528" s="3"/>
      <c r="C528" s="382">
        <v>-0.03</v>
      </c>
      <c r="D528" s="621">
        <f t="dataTable" ref="D528:F535" dt2D="0" dtr="0" r1="F89" ca="1"/>
        <v>3757.8584722530109</v>
      </c>
      <c r="E528" s="622">
        <v>235043972.24748567</v>
      </c>
      <c r="F528" s="622">
        <v>670.72639759616595</v>
      </c>
      <c r="G528" s="3"/>
      <c r="H528" s="3"/>
      <c r="I528" s="3"/>
      <c r="J528" s="3"/>
      <c r="K528" s="3"/>
      <c r="L528" s="3"/>
      <c r="M528" s="3"/>
      <c r="N528" s="3"/>
      <c r="O528" s="3"/>
      <c r="P528" s="3"/>
      <c r="Q528" s="3"/>
      <c r="R528" s="3"/>
      <c r="S528" s="3"/>
      <c r="T528" s="3"/>
      <c r="U528" s="3"/>
      <c r="V528" s="3"/>
      <c r="W528" s="3"/>
      <c r="X528" s="3"/>
      <c r="Y528" s="3"/>
      <c r="Z528" s="3"/>
    </row>
    <row r="529" spans="1:26" ht="12.75" x14ac:dyDescent="0.2">
      <c r="A529" s="3"/>
      <c r="B529" s="3"/>
      <c r="C529" s="383">
        <v>-0.02</v>
      </c>
      <c r="D529" s="613">
        <v>3817.3710842857349</v>
      </c>
      <c r="E529" s="614">
        <v>239142071.58723882</v>
      </c>
      <c r="F529" s="614">
        <v>680.78370073759038</v>
      </c>
      <c r="G529" s="3"/>
      <c r="H529" s="3"/>
      <c r="I529" s="3"/>
      <c r="J529" s="3"/>
      <c r="K529" s="3"/>
      <c r="L529" s="3"/>
      <c r="M529" s="3"/>
      <c r="N529" s="3"/>
      <c r="O529" s="3"/>
      <c r="P529" s="3"/>
      <c r="Q529" s="3"/>
      <c r="R529" s="3"/>
      <c r="S529" s="3"/>
      <c r="T529" s="3"/>
      <c r="U529" s="3"/>
      <c r="V529" s="3"/>
      <c r="W529" s="3"/>
      <c r="X529" s="3"/>
      <c r="Y529" s="3"/>
      <c r="Z529" s="3"/>
    </row>
    <row r="530" spans="1:26" ht="12.75" x14ac:dyDescent="0.2">
      <c r="A530" s="3"/>
      <c r="B530" s="3"/>
      <c r="C530" s="384">
        <v>-0.01</v>
      </c>
      <c r="D530" s="615">
        <v>3876.8836963184585</v>
      </c>
      <c r="E530" s="616">
        <v>243240170.92699167</v>
      </c>
      <c r="F530" s="616">
        <v>690.84100387901469</v>
      </c>
      <c r="G530" s="3"/>
      <c r="H530" s="3"/>
      <c r="I530" s="3"/>
      <c r="J530" s="3"/>
      <c r="K530" s="3"/>
      <c r="L530" s="3"/>
      <c r="M530" s="3"/>
      <c r="N530" s="3"/>
      <c r="O530" s="3"/>
      <c r="P530" s="3"/>
      <c r="Q530" s="3"/>
      <c r="R530" s="3"/>
      <c r="S530" s="3"/>
      <c r="T530" s="3"/>
      <c r="U530" s="3"/>
      <c r="V530" s="3"/>
      <c r="W530" s="3"/>
      <c r="X530" s="3"/>
      <c r="Y530" s="3"/>
      <c r="Z530" s="3"/>
    </row>
    <row r="531" spans="1:26" ht="12.75" x14ac:dyDescent="0.2">
      <c r="A531" s="3"/>
      <c r="B531" s="3"/>
      <c r="C531" s="602">
        <v>0</v>
      </c>
      <c r="D531" s="617">
        <v>3936.3963083511826</v>
      </c>
      <c r="E531" s="618">
        <v>247338270.26674476</v>
      </c>
      <c r="F531" s="618">
        <v>700.89830702043889</v>
      </c>
      <c r="G531" s="3"/>
      <c r="H531" s="3"/>
      <c r="I531" s="3"/>
      <c r="J531" s="3"/>
      <c r="K531" s="3"/>
      <c r="L531" s="3"/>
      <c r="M531" s="3"/>
      <c r="N531" s="3"/>
      <c r="O531" s="3"/>
      <c r="P531" s="3"/>
      <c r="Q531" s="3"/>
      <c r="R531" s="3"/>
      <c r="S531" s="3"/>
      <c r="T531" s="3"/>
      <c r="U531" s="3"/>
      <c r="V531" s="3"/>
      <c r="W531" s="3"/>
      <c r="X531" s="3"/>
      <c r="Y531" s="3"/>
      <c r="Z531" s="3"/>
    </row>
    <row r="532" spans="1:26" ht="12.75" x14ac:dyDescent="0.2">
      <c r="A532" s="3"/>
      <c r="B532" s="3"/>
      <c r="C532" s="383">
        <v>0.01</v>
      </c>
      <c r="D532" s="613">
        <v>3995.9089203839062</v>
      </c>
      <c r="E532" s="614">
        <v>251436369.60649791</v>
      </c>
      <c r="F532" s="614">
        <v>710.95561016186343</v>
      </c>
      <c r="G532" s="3"/>
      <c r="H532" s="3"/>
      <c r="I532" s="3"/>
      <c r="J532" s="3"/>
      <c r="K532" s="3"/>
      <c r="L532" s="3"/>
      <c r="M532" s="3"/>
      <c r="N532" s="3"/>
      <c r="O532" s="3"/>
      <c r="P532" s="3"/>
      <c r="Q532" s="3"/>
      <c r="R532" s="3"/>
      <c r="S532" s="3"/>
      <c r="T532" s="3"/>
      <c r="U532" s="3"/>
      <c r="V532" s="3"/>
      <c r="W532" s="3"/>
      <c r="X532" s="3"/>
      <c r="Y532" s="3"/>
      <c r="Z532" s="3"/>
    </row>
    <row r="533" spans="1:26" ht="12.75" x14ac:dyDescent="0.2">
      <c r="A533" s="3"/>
      <c r="B533" s="3"/>
      <c r="C533" s="383">
        <v>0.02</v>
      </c>
      <c r="D533" s="613">
        <v>4055.4215324166316</v>
      </c>
      <c r="E533" s="614">
        <v>255534468.94625095</v>
      </c>
      <c r="F533" s="614">
        <v>721.01291330328786</v>
      </c>
      <c r="G533" s="3"/>
      <c r="H533" s="3"/>
      <c r="I533" s="3"/>
      <c r="J533" s="3"/>
      <c r="K533" s="3"/>
      <c r="L533" s="3"/>
      <c r="M533" s="3"/>
      <c r="N533" s="3"/>
      <c r="O533" s="3"/>
      <c r="P533" s="3"/>
      <c r="Q533" s="3"/>
      <c r="R533" s="3"/>
      <c r="S533" s="3"/>
      <c r="T533" s="3"/>
      <c r="U533" s="3"/>
      <c r="V533" s="3"/>
      <c r="W533" s="3"/>
      <c r="X533" s="3"/>
      <c r="Y533" s="3"/>
      <c r="Z533" s="3"/>
    </row>
    <row r="534" spans="1:26" ht="12.75" x14ac:dyDescent="0.2">
      <c r="A534" s="3"/>
      <c r="B534" s="3"/>
      <c r="C534" s="383">
        <v>0.03</v>
      </c>
      <c r="D534" s="613">
        <v>4114.9341444493557</v>
      </c>
      <c r="E534" s="614">
        <v>259632568.28600401</v>
      </c>
      <c r="F534" s="614">
        <v>731.07021644471251</v>
      </c>
      <c r="G534" s="3"/>
      <c r="H534" s="3"/>
      <c r="I534" s="3"/>
      <c r="J534" s="3"/>
      <c r="K534" s="3"/>
      <c r="L534" s="3"/>
      <c r="M534" s="3"/>
      <c r="N534" s="3"/>
      <c r="O534" s="3"/>
      <c r="P534" s="3"/>
      <c r="Q534" s="3"/>
      <c r="R534" s="3"/>
      <c r="S534" s="3"/>
      <c r="T534" s="3"/>
      <c r="U534" s="3"/>
      <c r="V534" s="3"/>
      <c r="W534" s="3"/>
      <c r="X534" s="3"/>
      <c r="Y534" s="3"/>
      <c r="Z534" s="3"/>
    </row>
    <row r="535" spans="1:26" ht="12.75" x14ac:dyDescent="0.2">
      <c r="A535" s="3"/>
      <c r="B535" s="3"/>
      <c r="C535" s="388">
        <v>0.04</v>
      </c>
      <c r="D535" s="619">
        <v>4174.4467564820789</v>
      </c>
      <c r="E535" s="620">
        <v>263730667.62575692</v>
      </c>
      <c r="F535" s="620">
        <v>741.12751958613649</v>
      </c>
      <c r="G535" s="3"/>
      <c r="H535" s="3"/>
      <c r="I535" s="3"/>
      <c r="J535" s="3"/>
      <c r="K535" s="3"/>
      <c r="L535" s="3"/>
      <c r="M535" s="3"/>
      <c r="N535" s="3"/>
      <c r="O535" s="3"/>
      <c r="P535" s="3"/>
      <c r="Q535" s="3"/>
      <c r="R535" s="3"/>
      <c r="S535" s="3"/>
      <c r="T535" s="3"/>
      <c r="U535" s="3"/>
      <c r="V535" s="3"/>
      <c r="W535" s="3"/>
      <c r="X535" s="3"/>
      <c r="Y535" s="3"/>
      <c r="Z535" s="3"/>
    </row>
    <row r="536" spans="1:26" ht="12.75"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63.75" x14ac:dyDescent="0.2">
      <c r="A537" s="3"/>
      <c r="B537" s="3"/>
      <c r="C537" s="359" t="s">
        <v>955</v>
      </c>
      <c r="D537" s="360" t="s">
        <v>812</v>
      </c>
      <c r="E537" s="361" t="s">
        <v>813</v>
      </c>
      <c r="F537" s="361" t="s">
        <v>814</v>
      </c>
      <c r="G537" s="3"/>
      <c r="H537" s="359" t="s">
        <v>956</v>
      </c>
      <c r="I537" s="360" t="s">
        <v>812</v>
      </c>
      <c r="J537" s="361" t="s">
        <v>813</v>
      </c>
      <c r="K537" s="361" t="s">
        <v>814</v>
      </c>
      <c r="L537" s="3"/>
      <c r="M537" s="3"/>
      <c r="N537" s="3"/>
      <c r="O537" s="3"/>
      <c r="P537" s="3"/>
      <c r="Q537" s="3"/>
      <c r="R537" s="3"/>
      <c r="S537" s="3"/>
      <c r="T537" s="3"/>
      <c r="U537" s="3"/>
      <c r="V537" s="3"/>
      <c r="W537" s="3"/>
      <c r="X537" s="3"/>
      <c r="Y537" s="3"/>
      <c r="Z537" s="3"/>
    </row>
    <row r="538" spans="1:26" ht="12.75" x14ac:dyDescent="0.2">
      <c r="A538" s="3"/>
      <c r="B538" s="3"/>
      <c r="C538" s="362"/>
      <c r="D538" s="363">
        <f>$F$359</f>
        <v>3936.3963083511826</v>
      </c>
      <c r="E538" s="364">
        <f>$F$481</f>
        <v>247338270.26674476</v>
      </c>
      <c r="F538" s="364">
        <f>$H$356*1000/$F$10</f>
        <v>700.89830702043889</v>
      </c>
      <c r="G538" s="3"/>
      <c r="H538" s="362"/>
      <c r="I538" s="363">
        <f>$F$359</f>
        <v>3936.3963083511826</v>
      </c>
      <c r="J538" s="364">
        <f>$F$481</f>
        <v>247338270.26674476</v>
      </c>
      <c r="K538" s="364">
        <f>$H$356*1000/$F$10</f>
        <v>700.89830702043889</v>
      </c>
      <c r="L538" s="3"/>
      <c r="M538" s="3"/>
      <c r="N538" s="3"/>
      <c r="O538" s="3"/>
      <c r="P538" s="3"/>
      <c r="Q538" s="3"/>
      <c r="R538" s="3"/>
      <c r="S538" s="3"/>
      <c r="T538" s="3"/>
      <c r="U538" s="3"/>
      <c r="V538" s="3"/>
      <c r="W538" s="3"/>
      <c r="X538" s="3"/>
      <c r="Y538" s="3"/>
      <c r="Z538" s="3"/>
    </row>
    <row r="539" spans="1:26" ht="12.75" x14ac:dyDescent="0.2">
      <c r="A539" s="3"/>
      <c r="B539" s="3"/>
      <c r="C539" s="382">
        <v>0.15</v>
      </c>
      <c r="D539" s="621">
        <f t="dataTable" ref="D539:F545" dt2D="0" dtr="0" r1="I34" ca="1"/>
        <v>4393.2750993920072</v>
      </c>
      <c r="E539" s="622">
        <v>279063021.63588649</v>
      </c>
      <c r="F539" s="622">
        <v>777.37444473589062</v>
      </c>
      <c r="G539" s="3"/>
      <c r="H539" s="603">
        <v>1</v>
      </c>
      <c r="I539" s="621">
        <f t="dataTable" ref="I539:K545" dt2D="0" dtr="0" r1="I35" ca="1"/>
        <v>4480.1176735680119</v>
      </c>
      <c r="J539" s="622">
        <v>283827613.82631642</v>
      </c>
      <c r="K539" s="622">
        <v>930.96147959297218</v>
      </c>
      <c r="L539" s="3"/>
      <c r="M539" s="3"/>
      <c r="N539" s="3"/>
      <c r="O539" s="3"/>
      <c r="P539" s="3"/>
      <c r="Q539" s="3"/>
      <c r="R539" s="3"/>
      <c r="S539" s="3"/>
      <c r="T539" s="3"/>
      <c r="U539" s="3"/>
      <c r="V539" s="3"/>
      <c r="W539" s="3"/>
      <c r="X539" s="3"/>
      <c r="Y539" s="3"/>
      <c r="Z539" s="3"/>
    </row>
    <row r="540" spans="1:26" ht="12.75" x14ac:dyDescent="0.2">
      <c r="A540" s="3"/>
      <c r="B540" s="3"/>
      <c r="C540" s="602">
        <v>0.2</v>
      </c>
      <c r="D540" s="617">
        <v>3936.3963083511826</v>
      </c>
      <c r="E540" s="618">
        <v>247338270.26674476</v>
      </c>
      <c r="F540" s="618">
        <v>700.89830702043889</v>
      </c>
      <c r="G540" s="3"/>
      <c r="H540" s="605">
        <v>2</v>
      </c>
      <c r="I540" s="615">
        <v>4198.8068900187027</v>
      </c>
      <c r="J540" s="616">
        <v>265196256.09645614</v>
      </c>
      <c r="K540" s="616">
        <v>930.96147959297218</v>
      </c>
      <c r="L540" s="3"/>
      <c r="M540" s="3"/>
      <c r="N540" s="3"/>
      <c r="O540" s="3"/>
      <c r="P540" s="3"/>
      <c r="Q540" s="3"/>
      <c r="R540" s="3"/>
      <c r="S540" s="3"/>
      <c r="T540" s="3"/>
      <c r="U540" s="3"/>
      <c r="V540" s="3"/>
      <c r="W540" s="3"/>
      <c r="X540" s="3"/>
      <c r="Y540" s="3"/>
      <c r="Z540" s="3"/>
    </row>
    <row r="541" spans="1:26" ht="12.75" x14ac:dyDescent="0.2">
      <c r="A541" s="3"/>
      <c r="B541" s="3"/>
      <c r="C541" s="383">
        <v>0.25</v>
      </c>
      <c r="D541" s="613">
        <v>3479.0522275733506</v>
      </c>
      <c r="E541" s="614">
        <v>215584172.17831758</v>
      </c>
      <c r="F541" s="614">
        <v>623.7874098788094</v>
      </c>
      <c r="G541" s="3"/>
      <c r="H541" s="606">
        <v>3</v>
      </c>
      <c r="I541" s="617">
        <v>3936.3963083511826</v>
      </c>
      <c r="J541" s="618">
        <v>247338270.26674476</v>
      </c>
      <c r="K541" s="618">
        <v>700.89830702043889</v>
      </c>
      <c r="L541" s="3"/>
      <c r="M541" s="3"/>
      <c r="N541" s="3"/>
      <c r="O541" s="3"/>
      <c r="P541" s="3"/>
      <c r="Q541" s="3"/>
      <c r="R541" s="3"/>
      <c r="S541" s="3"/>
      <c r="T541" s="3"/>
      <c r="U541" s="3"/>
      <c r="V541" s="3"/>
      <c r="W541" s="3"/>
      <c r="X541" s="3"/>
      <c r="Y541" s="3"/>
      <c r="Z541" s="3"/>
    </row>
    <row r="542" spans="1:26" ht="12.75" x14ac:dyDescent="0.2">
      <c r="A542" s="3"/>
      <c r="B542" s="3"/>
      <c r="C542" s="383">
        <v>0.3</v>
      </c>
      <c r="D542" s="613">
        <v>3022.7168949453485</v>
      </c>
      <c r="E542" s="614">
        <v>183892289.1347757</v>
      </c>
      <c r="F542" s="614">
        <v>547.31127216335756</v>
      </c>
      <c r="G542" s="3"/>
      <c r="H542" s="604">
        <v>4</v>
      </c>
      <c r="I542" s="613">
        <v>3690.522668111455</v>
      </c>
      <c r="J542" s="614">
        <v>230158758.25516215</v>
      </c>
      <c r="K542" s="614">
        <v>585.23196130799488</v>
      </c>
      <c r="L542" s="3"/>
      <c r="M542" s="3"/>
      <c r="N542" s="3"/>
      <c r="O542" s="3"/>
      <c r="P542" s="3"/>
      <c r="Q542" s="3"/>
      <c r="R542" s="3"/>
      <c r="S542" s="3"/>
      <c r="T542" s="3"/>
      <c r="U542" s="3"/>
      <c r="V542" s="3"/>
      <c r="W542" s="3"/>
      <c r="X542" s="3"/>
      <c r="Y542" s="3"/>
      <c r="Z542" s="3"/>
    </row>
    <row r="543" spans="1:26" ht="12.75" x14ac:dyDescent="0.2">
      <c r="A543" s="3"/>
      <c r="B543" s="3"/>
      <c r="C543" s="383">
        <v>0.35</v>
      </c>
      <c r="D543" s="613">
        <v>2565.3728141675169</v>
      </c>
      <c r="E543" s="614">
        <v>152138191.04634845</v>
      </c>
      <c r="F543" s="614">
        <v>470.20037502172818</v>
      </c>
      <c r="G543" s="3"/>
      <c r="H543" s="604">
        <v>5</v>
      </c>
      <c r="I543" s="613">
        <v>3462.2842326537498</v>
      </c>
      <c r="J543" s="614">
        <v>213773936.6072807</v>
      </c>
      <c r="K543" s="614">
        <v>516.46691330670581</v>
      </c>
      <c r="L543" s="3"/>
      <c r="M543" s="3"/>
      <c r="N543" s="3"/>
      <c r="O543" s="3"/>
      <c r="P543" s="3"/>
      <c r="Q543" s="3"/>
      <c r="R543" s="3"/>
      <c r="S543" s="3"/>
      <c r="T543" s="3"/>
      <c r="U543" s="3"/>
      <c r="V543" s="3"/>
      <c r="W543" s="3"/>
      <c r="X543" s="3"/>
      <c r="Y543" s="3"/>
      <c r="Z543" s="3"/>
    </row>
    <row r="544" spans="1:26" ht="12.75" x14ac:dyDescent="0.2">
      <c r="A544" s="3"/>
      <c r="B544" s="3"/>
      <c r="C544" s="383">
        <v>0.4</v>
      </c>
      <c r="D544" s="613">
        <v>2108.4940231266905</v>
      </c>
      <c r="E544" s="614">
        <v>120413439.67720674</v>
      </c>
      <c r="F544" s="614">
        <v>393.72423730627594</v>
      </c>
      <c r="G544" s="3"/>
      <c r="H544" s="604">
        <v>6</v>
      </c>
      <c r="I544" s="613">
        <v>3249.662527124387</v>
      </c>
      <c r="J544" s="614">
        <v>199063685.54978651</v>
      </c>
      <c r="K544" s="614">
        <v>470.20037502172801</v>
      </c>
      <c r="L544" s="3"/>
      <c r="M544" s="3"/>
      <c r="N544" s="3"/>
      <c r="O544" s="3"/>
      <c r="P544" s="3"/>
      <c r="Q544" s="3"/>
      <c r="R544" s="3"/>
      <c r="S544" s="3"/>
      <c r="T544" s="3"/>
      <c r="U544" s="3"/>
      <c r="V544" s="3"/>
      <c r="W544" s="3"/>
      <c r="X544" s="3"/>
      <c r="Y544" s="3"/>
      <c r="Z544" s="3"/>
    </row>
    <row r="545" spans="1:26" ht="12.75" x14ac:dyDescent="0.2">
      <c r="A545" s="3"/>
      <c r="B545" s="3"/>
      <c r="C545" s="388">
        <v>0.45</v>
      </c>
      <c r="D545" s="619">
        <v>1651.6152320858653</v>
      </c>
      <c r="E545" s="620">
        <v>88688688.308065072</v>
      </c>
      <c r="F545" s="620">
        <v>317.24809959082393</v>
      </c>
      <c r="G545" s="3"/>
      <c r="H545" s="607">
        <v>7</v>
      </c>
      <c r="I545" s="619">
        <v>3054.1289543869207</v>
      </c>
      <c r="J545" s="620">
        <v>185701431.96675465</v>
      </c>
      <c r="K545" s="620">
        <v>437.78760710149288</v>
      </c>
      <c r="L545" s="3"/>
      <c r="M545" s="3"/>
      <c r="N545" s="3"/>
      <c r="O545" s="3"/>
      <c r="P545" s="3"/>
      <c r="Q545" s="3"/>
      <c r="R545" s="3"/>
      <c r="S545" s="3"/>
      <c r="T545" s="3"/>
      <c r="U545" s="3"/>
      <c r="V545" s="3"/>
      <c r="W545" s="3"/>
      <c r="X545" s="3"/>
      <c r="Y545" s="3"/>
      <c r="Z545" s="3"/>
    </row>
    <row r="546" spans="1:26" ht="12.75"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25.5" x14ac:dyDescent="0.2">
      <c r="A547" s="3"/>
      <c r="B547" s="3"/>
      <c r="C547" s="359" t="s">
        <v>961</v>
      </c>
      <c r="D547" s="360" t="s">
        <v>812</v>
      </c>
      <c r="E547" s="361" t="s">
        <v>813</v>
      </c>
      <c r="F547" s="361" t="s">
        <v>814</v>
      </c>
      <c r="G547" s="3"/>
      <c r="H547" s="3"/>
      <c r="I547" s="3"/>
      <c r="J547" s="3"/>
      <c r="K547" s="28"/>
      <c r="L547" s="679"/>
      <c r="M547" s="3"/>
      <c r="N547" s="3"/>
      <c r="O547" s="3"/>
      <c r="P547" s="3"/>
      <c r="Q547" s="3"/>
      <c r="R547" s="3"/>
      <c r="S547" s="3"/>
      <c r="T547" s="3"/>
      <c r="U547" s="3"/>
      <c r="V547" s="3"/>
      <c r="W547" s="3"/>
      <c r="X547" s="3"/>
      <c r="Y547" s="3"/>
      <c r="Z547" s="3"/>
    </row>
    <row r="548" spans="1:26" ht="12.75" x14ac:dyDescent="0.2">
      <c r="A548" s="3"/>
      <c r="B548" s="3"/>
      <c r="C548" s="362"/>
      <c r="D548" s="363">
        <f>$F$359</f>
        <v>3936.3963083511826</v>
      </c>
      <c r="E548" s="364">
        <f>$F$481</f>
        <v>247338270.26674476</v>
      </c>
      <c r="F548" s="364">
        <f>$H$356*1000/$F$10</f>
        <v>700.89830702043889</v>
      </c>
      <c r="G548" s="3"/>
      <c r="H548" s="3"/>
      <c r="I548" s="3"/>
      <c r="J548" s="3"/>
      <c r="K548" s="3"/>
      <c r="L548" s="3"/>
      <c r="M548" s="3"/>
      <c r="N548" s="3"/>
      <c r="O548" s="3"/>
      <c r="P548" s="3"/>
      <c r="Q548" s="3"/>
      <c r="R548" s="3"/>
      <c r="S548" s="3"/>
      <c r="T548" s="3"/>
      <c r="U548" s="3"/>
      <c r="V548" s="3"/>
      <c r="W548" s="3"/>
      <c r="X548" s="3"/>
      <c r="Y548" s="3"/>
      <c r="Z548" s="3"/>
    </row>
    <row r="549" spans="1:26" ht="12.75" x14ac:dyDescent="0.2">
      <c r="A549" s="3"/>
      <c r="B549" s="3"/>
      <c r="C549" s="604">
        <v>0.5</v>
      </c>
      <c r="D549" s="613">
        <f t="dataTable" ref="D549:F554" dt2D="0" dtr="0" r1="I31" ca="1"/>
        <v>1262.8541678891352</v>
      </c>
      <c r="E549" s="614">
        <v>64095062.297041893</v>
      </c>
      <c r="F549" s="614">
        <v>235.19421781037278</v>
      </c>
      <c r="G549" s="3"/>
      <c r="H549" s="3"/>
      <c r="I549" s="3"/>
      <c r="J549" s="3"/>
      <c r="K549" s="3"/>
      <c r="L549" s="28"/>
      <c r="M549" s="3"/>
      <c r="N549" s="3"/>
      <c r="O549" s="3"/>
      <c r="P549" s="3"/>
      <c r="Q549" s="3"/>
      <c r="R549" s="3"/>
      <c r="S549" s="3"/>
      <c r="T549" s="3"/>
      <c r="U549" s="3"/>
      <c r="V549" s="3"/>
      <c r="W549" s="3"/>
      <c r="X549" s="3"/>
      <c r="Y549" s="3"/>
      <c r="Z549" s="3"/>
    </row>
    <row r="550" spans="1:26" ht="12.75" x14ac:dyDescent="0.2">
      <c r="A550" s="3"/>
      <c r="B550" s="3"/>
      <c r="C550" s="604">
        <v>0.55000000000000004</v>
      </c>
      <c r="D550" s="613">
        <v>1930.0919261028166</v>
      </c>
      <c r="E550" s="614">
        <v>109836355.85581802</v>
      </c>
      <c r="F550" s="614">
        <v>351.46155025634533</v>
      </c>
      <c r="G550" s="3"/>
      <c r="H550" s="3"/>
      <c r="I550" s="3"/>
      <c r="J550" s="3"/>
      <c r="K550" s="3"/>
      <c r="L550" s="28"/>
      <c r="M550" s="3"/>
      <c r="N550" s="3"/>
      <c r="O550" s="3"/>
      <c r="P550" s="3"/>
      <c r="Q550" s="3"/>
      <c r="R550" s="3"/>
      <c r="S550" s="3"/>
      <c r="T550" s="3"/>
      <c r="U550" s="3"/>
      <c r="V550" s="3"/>
      <c r="W550" s="3"/>
      <c r="X550" s="3"/>
      <c r="Y550" s="3"/>
      <c r="Z550" s="3"/>
    </row>
    <row r="551" spans="1:26" ht="12.75" x14ac:dyDescent="0.2">
      <c r="A551" s="3"/>
      <c r="B551" s="3"/>
      <c r="C551" s="605">
        <v>0.6</v>
      </c>
      <c r="D551" s="615">
        <v>2598.0848406620594</v>
      </c>
      <c r="E551" s="616">
        <v>155621721.45298073</v>
      </c>
      <c r="F551" s="616">
        <v>467.72888270231726</v>
      </c>
      <c r="G551" s="3"/>
      <c r="H551" s="3"/>
      <c r="I551" s="3"/>
      <c r="J551" s="3"/>
      <c r="K551" s="3"/>
      <c r="L551" s="595"/>
      <c r="M551" s="3"/>
      <c r="N551" s="3"/>
      <c r="O551" s="3"/>
      <c r="P551" s="3"/>
      <c r="Q551" s="3"/>
      <c r="R551" s="3"/>
      <c r="S551" s="3"/>
      <c r="T551" s="3"/>
      <c r="U551" s="3"/>
      <c r="V551" s="3"/>
      <c r="W551" s="3"/>
      <c r="X551" s="3"/>
      <c r="Y551" s="3"/>
      <c r="Z551" s="3"/>
    </row>
    <row r="552" spans="1:26" ht="12.75" x14ac:dyDescent="0.2">
      <c r="A552" s="3"/>
      <c r="B552" s="3"/>
      <c r="C552" s="810">
        <v>0.65</v>
      </c>
      <c r="D552" s="613">
        <v>3267.5970385576206</v>
      </c>
      <c r="E552" s="614">
        <v>201500162.92535591</v>
      </c>
      <c r="F552" s="614">
        <v>583.99621514828959</v>
      </c>
      <c r="G552" s="3"/>
      <c r="H552" s="3"/>
      <c r="I552" s="3"/>
      <c r="J552" s="3"/>
      <c r="K552" s="3"/>
      <c r="L552" s="3"/>
      <c r="M552" s="3"/>
      <c r="N552" s="3"/>
      <c r="O552" s="3"/>
      <c r="P552" s="3"/>
      <c r="Q552" s="3"/>
      <c r="R552" s="3"/>
      <c r="S552" s="3"/>
      <c r="T552" s="3"/>
      <c r="U552" s="3"/>
      <c r="V552" s="3"/>
      <c r="W552" s="3"/>
      <c r="X552" s="3"/>
      <c r="Y552" s="3"/>
      <c r="Z552" s="3"/>
    </row>
    <row r="553" spans="1:26" ht="12.75" x14ac:dyDescent="0.2">
      <c r="A553" s="3"/>
      <c r="B553" s="3"/>
      <c r="C553" s="606">
        <v>0.7</v>
      </c>
      <c r="D553" s="617">
        <v>3936.3963083511826</v>
      </c>
      <c r="E553" s="618">
        <v>247338270.26674476</v>
      </c>
      <c r="F553" s="618">
        <v>700.89830702043889</v>
      </c>
      <c r="G553" s="3"/>
      <c r="H553" s="3"/>
      <c r="I553" s="3"/>
      <c r="J553" s="3"/>
      <c r="K553" s="3"/>
      <c r="L553" s="3"/>
      <c r="M553" s="3"/>
      <c r="N553" s="3"/>
      <c r="O553" s="3"/>
      <c r="P553" s="3"/>
      <c r="Q553" s="3"/>
      <c r="R553" s="3"/>
      <c r="S553" s="3"/>
      <c r="T553" s="3"/>
      <c r="U553" s="3"/>
      <c r="V553" s="3"/>
      <c r="W553" s="3"/>
      <c r="X553" s="3"/>
      <c r="Y553" s="3"/>
      <c r="Z553" s="3"/>
    </row>
    <row r="554" spans="1:26" ht="12.75" x14ac:dyDescent="0.2">
      <c r="A554" s="3"/>
      <c r="B554" s="3"/>
      <c r="C554" s="607">
        <v>0.72</v>
      </c>
      <c r="D554" s="619">
        <v>4203.161688059884</v>
      </c>
      <c r="E554" s="620">
        <v>265625195.13934332</v>
      </c>
      <c r="F554" s="620">
        <v>747.02438434312114</v>
      </c>
      <c r="G554" s="3"/>
      <c r="H554" s="3"/>
      <c r="I554" s="3"/>
      <c r="J554" s="3"/>
      <c r="K554" s="3"/>
      <c r="L554" s="3"/>
      <c r="M554" s="3"/>
      <c r="N554" s="3"/>
      <c r="O554" s="3"/>
      <c r="P554" s="3"/>
      <c r="Q554" s="3"/>
      <c r="R554" s="3"/>
      <c r="S554" s="3"/>
      <c r="T554" s="3"/>
      <c r="U554" s="3"/>
      <c r="V554" s="3"/>
      <c r="W554" s="3"/>
      <c r="X554" s="3"/>
      <c r="Y554" s="3"/>
      <c r="Z554" s="3"/>
    </row>
    <row r="555" spans="1:26" ht="12.75"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51" x14ac:dyDescent="0.2">
      <c r="A556" s="3"/>
      <c r="B556" s="3"/>
      <c r="C556" s="359" t="s">
        <v>948</v>
      </c>
      <c r="D556" s="662" t="s">
        <v>812</v>
      </c>
      <c r="E556" s="361" t="s">
        <v>813</v>
      </c>
      <c r="F556" s="657" t="s">
        <v>814</v>
      </c>
      <c r="G556" s="3"/>
      <c r="H556" s="359" t="s">
        <v>171</v>
      </c>
      <c r="I556" s="662" t="s">
        <v>812</v>
      </c>
      <c r="J556" s="361" t="s">
        <v>813</v>
      </c>
      <c r="K556" s="657" t="s">
        <v>814</v>
      </c>
      <c r="L556" s="3"/>
      <c r="M556" s="3"/>
      <c r="N556" s="3"/>
      <c r="O556" s="3"/>
      <c r="P556" s="3"/>
      <c r="Q556" s="3"/>
      <c r="R556" s="3"/>
      <c r="S556" s="3"/>
      <c r="T556" s="3"/>
      <c r="U556" s="3"/>
      <c r="V556" s="3"/>
      <c r="W556" s="3"/>
      <c r="X556" s="3"/>
      <c r="Y556" s="3"/>
      <c r="Z556" s="3"/>
    </row>
    <row r="557" spans="1:26" ht="12.75" x14ac:dyDescent="0.2">
      <c r="A557" s="3"/>
      <c r="B557" s="3"/>
      <c r="C557" s="362"/>
      <c r="D557" s="363">
        <f>$F$359</f>
        <v>3936.3963083511826</v>
      </c>
      <c r="E557" s="364">
        <f>$F$481</f>
        <v>247338270.26674476</v>
      </c>
      <c r="F557" s="364">
        <f>$H$356*1000/$F$10</f>
        <v>700.89830702043889</v>
      </c>
      <c r="G557" s="3"/>
      <c r="H557" s="362"/>
      <c r="I557" s="363">
        <f>$F$359</f>
        <v>3936.3963083511826</v>
      </c>
      <c r="J557" s="364">
        <f>$F$481</f>
        <v>247338270.26674476</v>
      </c>
      <c r="K557" s="364">
        <f>$H$356*1000/$F$10</f>
        <v>700.89830702043889</v>
      </c>
      <c r="L557" s="3"/>
      <c r="M557" s="3"/>
      <c r="N557" s="3"/>
      <c r="O557" s="3"/>
      <c r="P557" s="3"/>
      <c r="Q557" s="3"/>
      <c r="R557" s="3"/>
      <c r="S557" s="3"/>
      <c r="T557" s="3"/>
      <c r="U557" s="3"/>
      <c r="V557" s="3"/>
      <c r="W557" s="3"/>
      <c r="X557" s="3"/>
      <c r="Y557" s="3"/>
      <c r="Z557" s="3"/>
    </row>
    <row r="558" spans="1:26" ht="12.75" x14ac:dyDescent="0.2">
      <c r="A558" s="3"/>
      <c r="B558" s="3"/>
      <c r="C558" s="383">
        <v>-0.3</v>
      </c>
      <c r="D558" s="663">
        <f t="dataTable" ref="D558:F563" dt2D="0" dtr="0" r1="I111" ca="1"/>
        <v>3936.3963083511826</v>
      </c>
      <c r="E558" s="614">
        <v>171458456.14863873</v>
      </c>
      <c r="F558" s="658">
        <v>700.89830702043889</v>
      </c>
      <c r="G558" s="3"/>
      <c r="H558" s="383">
        <v>0.5</v>
      </c>
      <c r="I558" s="663">
        <f t="dataTable" ref="I558:K563" dt2D="0" dtr="0" r1="I104" ca="1"/>
        <v>3936.3963083511826</v>
      </c>
      <c r="J558" s="614">
        <v>134923730.83251363</v>
      </c>
      <c r="K558" s="658">
        <v>700.89830702043889</v>
      </c>
      <c r="L558" s="3"/>
      <c r="M558" s="3"/>
      <c r="N558" s="3"/>
      <c r="O558" s="3"/>
      <c r="P558" s="3"/>
      <c r="Q558" s="3"/>
      <c r="R558" s="3"/>
      <c r="S558" s="3"/>
      <c r="T558" s="3"/>
      <c r="U558" s="3"/>
      <c r="V558" s="3"/>
      <c r="W558" s="3"/>
      <c r="X558" s="3"/>
      <c r="Y558" s="3"/>
      <c r="Z558" s="3"/>
    </row>
    <row r="559" spans="1:26" ht="12.75" x14ac:dyDescent="0.2">
      <c r="A559" s="3"/>
      <c r="B559" s="3"/>
      <c r="C559" s="383">
        <v>-0.2</v>
      </c>
      <c r="D559" s="663">
        <v>3936.3963083511826</v>
      </c>
      <c r="E559" s="614">
        <v>196751727.52134073</v>
      </c>
      <c r="F559" s="658">
        <v>700.89830702043889</v>
      </c>
      <c r="G559" s="3"/>
      <c r="H559" s="383">
        <v>0.6</v>
      </c>
      <c r="I559" s="663">
        <v>3936.3963083511826</v>
      </c>
      <c r="J559" s="614">
        <v>163027365.69107139</v>
      </c>
      <c r="K559" s="658">
        <v>700.89830702043889</v>
      </c>
      <c r="L559" s="3"/>
      <c r="M559" s="3"/>
      <c r="N559" s="3"/>
      <c r="O559" s="3"/>
      <c r="P559" s="3"/>
      <c r="Q559" s="3"/>
      <c r="R559" s="3"/>
      <c r="S559" s="3"/>
      <c r="T559" s="3"/>
      <c r="U559" s="3"/>
      <c r="V559" s="3"/>
      <c r="W559" s="3"/>
      <c r="X559" s="3"/>
      <c r="Y559" s="3"/>
      <c r="Z559" s="3"/>
    </row>
    <row r="560" spans="1:26" ht="12.75" x14ac:dyDescent="0.2">
      <c r="A560" s="3"/>
      <c r="B560" s="3"/>
      <c r="C560" s="384">
        <v>-0.1</v>
      </c>
      <c r="D560" s="664">
        <v>3936.3963083511826</v>
      </c>
      <c r="E560" s="616">
        <v>222044998.89404273</v>
      </c>
      <c r="F560" s="659">
        <v>700.89830702043889</v>
      </c>
      <c r="G560" s="3"/>
      <c r="H560" s="383">
        <v>0.7</v>
      </c>
      <c r="I560" s="664">
        <v>3936.3963083511826</v>
      </c>
      <c r="J560" s="616">
        <v>191131000.54962921</v>
      </c>
      <c r="K560" s="659">
        <v>700.89830702043889</v>
      </c>
      <c r="L560" s="3"/>
      <c r="M560" s="3"/>
      <c r="N560" s="3"/>
      <c r="O560" s="3"/>
      <c r="P560" s="3"/>
      <c r="Q560" s="3"/>
      <c r="R560" s="3"/>
      <c r="S560" s="3"/>
      <c r="T560" s="3"/>
      <c r="U560" s="3"/>
      <c r="V560" s="3"/>
      <c r="W560" s="3"/>
      <c r="X560" s="3"/>
      <c r="Y560" s="3"/>
      <c r="Z560" s="3"/>
    </row>
    <row r="561" spans="1:26" ht="12.75" x14ac:dyDescent="0.2">
      <c r="A561" s="3"/>
      <c r="B561" s="3"/>
      <c r="C561" s="608">
        <v>0</v>
      </c>
      <c r="D561" s="665">
        <v>3936.3963083511826</v>
      </c>
      <c r="E561" s="618">
        <v>247338270.26674476</v>
      </c>
      <c r="F561" s="660">
        <v>700.89830702043889</v>
      </c>
      <c r="G561" s="3"/>
      <c r="H561" s="384">
        <v>0.8</v>
      </c>
      <c r="I561" s="663">
        <v>3936.3963083511826</v>
      </c>
      <c r="J561" s="614">
        <v>219234635.40818703</v>
      </c>
      <c r="K561" s="658">
        <v>700.89830702043889</v>
      </c>
      <c r="L561" s="3"/>
      <c r="M561" s="3"/>
      <c r="N561" s="3"/>
      <c r="O561" s="3"/>
      <c r="P561" s="3"/>
      <c r="Q561" s="3"/>
      <c r="R561" s="3"/>
      <c r="S561" s="3"/>
      <c r="T561" s="3"/>
      <c r="U561" s="3"/>
      <c r="V561" s="3"/>
      <c r="W561" s="3"/>
      <c r="X561" s="3"/>
      <c r="Y561" s="3"/>
      <c r="Z561" s="3"/>
    </row>
    <row r="562" spans="1:26" ht="12.75" x14ac:dyDescent="0.2">
      <c r="A562" s="3"/>
      <c r="B562" s="3"/>
      <c r="C562" s="383">
        <v>0.05</v>
      </c>
      <c r="D562" s="663">
        <v>3936.3963083511826</v>
      </c>
      <c r="E562" s="614">
        <v>259984905.95309576</v>
      </c>
      <c r="F562" s="658">
        <v>700.89830702043889</v>
      </c>
      <c r="G562" s="3"/>
      <c r="H562" s="608">
        <v>0.9</v>
      </c>
      <c r="I562" s="665">
        <v>3936.3963083511826</v>
      </c>
      <c r="J562" s="618">
        <v>247338270.26674476</v>
      </c>
      <c r="K562" s="660">
        <v>700.89830702043889</v>
      </c>
      <c r="L562" s="3"/>
      <c r="M562" s="3"/>
      <c r="N562" s="3"/>
      <c r="O562" s="3"/>
      <c r="P562" s="3"/>
      <c r="Q562" s="3"/>
      <c r="R562" s="3"/>
      <c r="S562" s="3"/>
      <c r="T562" s="3"/>
      <c r="U562" s="3"/>
      <c r="V562" s="3"/>
      <c r="W562" s="3"/>
      <c r="X562" s="3"/>
      <c r="Y562" s="3"/>
      <c r="Z562" s="3"/>
    </row>
    <row r="563" spans="1:26" ht="12.75" x14ac:dyDescent="0.2">
      <c r="A563" s="3"/>
      <c r="B563" s="3"/>
      <c r="C563" s="388">
        <v>0.1</v>
      </c>
      <c r="D563" s="666">
        <v>3936.3963083511826</v>
      </c>
      <c r="E563" s="620">
        <v>272631541.63944685</v>
      </c>
      <c r="F563" s="661">
        <v>700.89830702043889</v>
      </c>
      <c r="G563" s="3"/>
      <c r="H563" s="609">
        <v>0.95</v>
      </c>
      <c r="I563" s="666">
        <v>3936.3963083511826</v>
      </c>
      <c r="J563" s="620">
        <v>261390087.6960237</v>
      </c>
      <c r="K563" s="661">
        <v>700.89830702043889</v>
      </c>
      <c r="L563" s="3"/>
      <c r="M563" s="3"/>
      <c r="N563" s="3"/>
      <c r="O563" s="3"/>
      <c r="P563" s="3"/>
      <c r="Q563" s="3"/>
      <c r="R563" s="3"/>
      <c r="S563" s="3"/>
      <c r="T563" s="3"/>
      <c r="U563" s="3"/>
      <c r="V563" s="3"/>
      <c r="W563" s="3"/>
      <c r="X563" s="3"/>
      <c r="Y563" s="3"/>
      <c r="Z563" s="3"/>
    </row>
    <row r="564" spans="1:26" ht="12.75"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38.25" x14ac:dyDescent="0.2">
      <c r="A565" s="3"/>
      <c r="B565" s="3"/>
      <c r="C565" s="359" t="s">
        <v>939</v>
      </c>
      <c r="D565" s="662" t="s">
        <v>812</v>
      </c>
      <c r="E565" s="361" t="s">
        <v>813</v>
      </c>
      <c r="F565" s="657" t="s">
        <v>814</v>
      </c>
      <c r="G565" s="3"/>
      <c r="H565" s="3"/>
      <c r="I565" s="3"/>
      <c r="J565" s="3"/>
      <c r="K565" s="3"/>
      <c r="L565" s="3"/>
      <c r="M565" s="3"/>
      <c r="N565" s="3"/>
      <c r="O565" s="3"/>
      <c r="P565" s="3"/>
      <c r="Q565" s="3"/>
      <c r="R565" s="3"/>
      <c r="S565" s="3"/>
      <c r="T565" s="3"/>
      <c r="U565" s="3"/>
      <c r="V565" s="3"/>
      <c r="W565" s="3"/>
      <c r="X565" s="3"/>
      <c r="Y565" s="3"/>
      <c r="Z565" s="3"/>
    </row>
    <row r="566" spans="1:26" ht="12.75" x14ac:dyDescent="0.2">
      <c r="A566" s="3"/>
      <c r="B566" s="3"/>
      <c r="C566" s="362"/>
      <c r="D566" s="363">
        <f>$F$359</f>
        <v>3936.3963083511826</v>
      </c>
      <c r="E566" s="364">
        <f>$F$481</f>
        <v>247338270.26674476</v>
      </c>
      <c r="F566" s="364">
        <f>$H$356*1000/$F$10</f>
        <v>700.89830702043889</v>
      </c>
      <c r="G566" s="3"/>
      <c r="H566" s="3"/>
      <c r="I566" s="3"/>
      <c r="J566" s="3"/>
      <c r="K566" s="3"/>
      <c r="L566" s="3"/>
      <c r="M566" s="3"/>
      <c r="N566" s="3"/>
      <c r="O566" s="3"/>
      <c r="P566" s="3"/>
      <c r="Q566" s="3"/>
      <c r="R566" s="3"/>
      <c r="S566" s="3"/>
      <c r="T566" s="3"/>
      <c r="U566" s="3"/>
      <c r="V566" s="3"/>
      <c r="W566" s="3"/>
      <c r="X566" s="3"/>
      <c r="Y566" s="3"/>
      <c r="Z566" s="3"/>
    </row>
    <row r="567" spans="1:26" ht="12.75" x14ac:dyDescent="0.2">
      <c r="A567" s="3"/>
      <c r="B567" s="3"/>
      <c r="C567" s="383">
        <v>-0.3</v>
      </c>
      <c r="D567" s="663">
        <f t="dataTable" ref="D567:F573" dt2D="0" dtr="0" r1="I108" ca="1"/>
        <v>3936.3963083511826</v>
      </c>
      <c r="E567" s="614">
        <v>249016603.30482736</v>
      </c>
      <c r="F567" s="658">
        <v>700.89830702043889</v>
      </c>
      <c r="G567" s="3"/>
      <c r="H567" s="3"/>
      <c r="I567" s="3"/>
      <c r="J567" s="3"/>
      <c r="K567" s="3"/>
      <c r="L567" s="3"/>
      <c r="M567" s="3"/>
      <c r="N567" s="3"/>
      <c r="O567" s="3"/>
      <c r="P567" s="3"/>
      <c r="Q567" s="3"/>
      <c r="R567" s="3"/>
      <c r="S567" s="3"/>
      <c r="T567" s="3"/>
      <c r="U567" s="3"/>
      <c r="V567" s="3"/>
      <c r="W567" s="3"/>
      <c r="X567" s="3"/>
      <c r="Y567" s="3"/>
      <c r="Z567" s="3"/>
    </row>
    <row r="568" spans="1:26" ht="12.75" x14ac:dyDescent="0.2">
      <c r="A568" s="3"/>
      <c r="B568" s="3"/>
      <c r="C568" s="383">
        <v>-0.2</v>
      </c>
      <c r="D568" s="663">
        <v>3936.3963083511826</v>
      </c>
      <c r="E568" s="614">
        <v>248457158.95879981</v>
      </c>
      <c r="F568" s="658">
        <v>700.89830702043889</v>
      </c>
      <c r="G568" s="3"/>
      <c r="H568" s="3"/>
      <c r="I568" s="3"/>
      <c r="J568" s="3"/>
      <c r="K568" s="3"/>
      <c r="L568" s="3"/>
      <c r="M568" s="3"/>
      <c r="N568" s="3"/>
      <c r="O568" s="3"/>
      <c r="P568" s="3"/>
      <c r="Q568" s="3"/>
      <c r="R568" s="3"/>
      <c r="S568" s="3"/>
      <c r="T568" s="3"/>
      <c r="U568" s="3"/>
      <c r="V568" s="3"/>
      <c r="W568" s="3"/>
      <c r="X568" s="3"/>
      <c r="Y568" s="3"/>
      <c r="Z568" s="3"/>
    </row>
    <row r="569" spans="1:26" ht="12.75" x14ac:dyDescent="0.2">
      <c r="A569" s="3"/>
      <c r="B569" s="3"/>
      <c r="C569" s="384">
        <v>-0.1</v>
      </c>
      <c r="D569" s="664">
        <v>3936.3963083511826</v>
      </c>
      <c r="E569" s="616">
        <v>247897714.61277235</v>
      </c>
      <c r="F569" s="659">
        <v>700.89830702043889</v>
      </c>
      <c r="G569" s="3"/>
      <c r="H569" s="3"/>
      <c r="I569" s="3"/>
      <c r="J569" s="3"/>
      <c r="K569" s="3"/>
      <c r="L569" s="3"/>
      <c r="M569" s="3"/>
      <c r="N569" s="3"/>
      <c r="O569" s="3"/>
      <c r="P569" s="3"/>
      <c r="Q569" s="3"/>
      <c r="R569" s="3"/>
      <c r="S569" s="3"/>
      <c r="T569" s="3"/>
      <c r="U569" s="3"/>
      <c r="V569" s="3"/>
      <c r="W569" s="3"/>
      <c r="X569" s="3"/>
      <c r="Y569" s="3"/>
      <c r="Z569" s="3"/>
    </row>
    <row r="570" spans="1:26" ht="12.75" x14ac:dyDescent="0.2">
      <c r="A570" s="3"/>
      <c r="B570" s="3"/>
      <c r="C570" s="608">
        <v>0</v>
      </c>
      <c r="D570" s="665">
        <v>3936.3963083511826</v>
      </c>
      <c r="E570" s="618">
        <v>247338270.26674476</v>
      </c>
      <c r="F570" s="660">
        <v>700.89830702043889</v>
      </c>
      <c r="G570" s="3"/>
      <c r="H570" s="3"/>
      <c r="I570" s="3"/>
      <c r="J570" s="3"/>
      <c r="K570" s="3"/>
      <c r="L570" s="3"/>
      <c r="M570" s="3"/>
      <c r="N570" s="3"/>
      <c r="O570" s="3"/>
      <c r="P570" s="3"/>
      <c r="Q570" s="3"/>
      <c r="R570" s="3"/>
      <c r="S570" s="3"/>
      <c r="T570" s="3"/>
      <c r="U570" s="3"/>
      <c r="V570" s="3"/>
      <c r="W570" s="3"/>
      <c r="X570" s="3"/>
      <c r="Y570" s="3"/>
      <c r="Z570" s="3"/>
    </row>
    <row r="571" spans="1:26" ht="12.75" x14ac:dyDescent="0.2">
      <c r="A571" s="3"/>
      <c r="B571" s="3"/>
      <c r="C571" s="383">
        <v>0.05</v>
      </c>
      <c r="D571" s="663">
        <v>3936.3963083511826</v>
      </c>
      <c r="E571" s="614">
        <v>247058548.09373105</v>
      </c>
      <c r="F571" s="658">
        <v>700.89830702043889</v>
      </c>
      <c r="G571" s="3"/>
      <c r="H571" s="3"/>
      <c r="I571" s="3"/>
      <c r="J571" s="3"/>
      <c r="K571" s="3"/>
      <c r="L571" s="3"/>
      <c r="M571" s="3"/>
      <c r="N571" s="3"/>
      <c r="O571" s="3"/>
      <c r="P571" s="3"/>
      <c r="Q571" s="3"/>
      <c r="R571" s="3"/>
      <c r="S571" s="3"/>
      <c r="T571" s="3"/>
      <c r="U571" s="3"/>
      <c r="V571" s="3"/>
      <c r="W571" s="3"/>
      <c r="X571" s="3"/>
      <c r="Y571" s="3"/>
      <c r="Z571" s="3"/>
    </row>
    <row r="572" spans="1:26" ht="12.75" x14ac:dyDescent="0.2">
      <c r="A572" s="3"/>
      <c r="B572" s="3"/>
      <c r="C572" s="383">
        <v>0.1</v>
      </c>
      <c r="D572" s="663">
        <v>3936.3963083511826</v>
      </c>
      <c r="E572" s="614">
        <v>246778825.92071724</v>
      </c>
      <c r="F572" s="658">
        <v>700.89830702043889</v>
      </c>
      <c r="G572" s="3"/>
      <c r="H572" s="3"/>
      <c r="I572" s="3"/>
      <c r="J572" s="3"/>
      <c r="K572" s="3"/>
      <c r="L572" s="3"/>
      <c r="M572" s="3"/>
      <c r="N572" s="3"/>
      <c r="O572" s="3"/>
      <c r="P572" s="3"/>
      <c r="Q572" s="3"/>
      <c r="R572" s="3"/>
      <c r="S572" s="3"/>
      <c r="T572" s="3"/>
      <c r="U572" s="3"/>
      <c r="V572" s="3"/>
      <c r="W572" s="3"/>
      <c r="X572" s="3"/>
      <c r="Y572" s="3"/>
      <c r="Z572" s="3"/>
    </row>
    <row r="573" spans="1:26" ht="12.75" x14ac:dyDescent="0.2">
      <c r="A573" s="3"/>
      <c r="B573" s="3"/>
      <c r="C573" s="388">
        <v>0.15</v>
      </c>
      <c r="D573" s="666">
        <v>3936.3963083511826</v>
      </c>
      <c r="E573" s="620">
        <v>246499103.74770346</v>
      </c>
      <c r="F573" s="661">
        <v>700.89830702043889</v>
      </c>
      <c r="G573" s="3"/>
      <c r="H573" s="3"/>
      <c r="I573" s="3"/>
      <c r="J573" s="3"/>
      <c r="K573" s="3"/>
      <c r="L573" s="3"/>
      <c r="M573" s="3"/>
      <c r="N573" s="3"/>
      <c r="O573" s="3"/>
      <c r="P573" s="3"/>
      <c r="Q573" s="3"/>
      <c r="R573" s="3"/>
      <c r="S573" s="3"/>
      <c r="T573" s="3"/>
      <c r="U573" s="3"/>
      <c r="V573" s="3"/>
      <c r="W573" s="3"/>
      <c r="X573" s="3"/>
      <c r="Y573" s="3"/>
      <c r="Z573" s="3"/>
    </row>
    <row r="574" spans="1:26" ht="12.75"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x14ac:dyDescent="0.2">
      <c r="A575" s="3"/>
      <c r="B575" s="611" t="s">
        <v>943</v>
      </c>
      <c r="C575" s="610"/>
      <c r="D575" s="610"/>
      <c r="E575" s="610"/>
      <c r="F575" s="610"/>
      <c r="G575" s="610"/>
      <c r="H575" s="610"/>
      <c r="I575" s="610"/>
      <c r="J575" s="610"/>
      <c r="K575" s="610"/>
      <c r="L575" s="610"/>
      <c r="M575" s="610"/>
      <c r="N575" s="3"/>
      <c r="O575" s="3"/>
      <c r="P575" s="3"/>
      <c r="Q575" s="3"/>
      <c r="R575" s="3"/>
      <c r="S575" s="3"/>
      <c r="T575" s="3"/>
      <c r="U575" s="3"/>
      <c r="V575" s="3"/>
      <c r="W575" s="3"/>
      <c r="X575" s="3"/>
      <c r="Y575" s="3"/>
      <c r="Z575" s="3"/>
    </row>
    <row r="576" spans="1:26" ht="12.75"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25.5" x14ac:dyDescent="0.2">
      <c r="A577" s="3"/>
      <c r="B577" s="3"/>
      <c r="C577" s="359"/>
      <c r="D577" s="359" t="s">
        <v>812</v>
      </c>
      <c r="E577" s="644" t="s">
        <v>947</v>
      </c>
      <c r="F577" s="639"/>
      <c r="G577" s="640"/>
      <c r="H577" s="643"/>
      <c r="I577" s="639"/>
      <c r="J577" s="639"/>
      <c r="K577" s="639"/>
      <c r="L577" s="639"/>
      <c r="M577" s="641"/>
      <c r="N577" s="3"/>
      <c r="O577" s="3"/>
      <c r="P577" s="3"/>
      <c r="Q577" s="3"/>
      <c r="R577" s="3"/>
      <c r="S577" s="3"/>
      <c r="T577" s="3"/>
      <c r="U577" s="3"/>
      <c r="V577" s="3"/>
      <c r="W577" s="3"/>
      <c r="X577" s="3"/>
      <c r="Y577" s="3"/>
      <c r="Z577" s="3"/>
    </row>
    <row r="578" spans="1:26" ht="12.75" x14ac:dyDescent="0.2">
      <c r="A578" s="3"/>
      <c r="B578" s="3"/>
      <c r="C578" s="364"/>
      <c r="D578" s="363">
        <f>$F$359</f>
        <v>3936.3963083511826</v>
      </c>
      <c r="E578" s="623">
        <v>-0.03</v>
      </c>
      <c r="F578" s="624">
        <v>-0.02</v>
      </c>
      <c r="G578" s="624">
        <v>-0.01</v>
      </c>
      <c r="H578" s="626">
        <v>0</v>
      </c>
      <c r="I578" s="624">
        <v>0.01</v>
      </c>
      <c r="J578" s="624">
        <v>0.02</v>
      </c>
      <c r="K578" s="624">
        <v>0.03</v>
      </c>
      <c r="L578" s="624">
        <v>0.04</v>
      </c>
      <c r="M578" s="625">
        <v>0.05</v>
      </c>
      <c r="N578" s="3"/>
      <c r="O578" s="3"/>
      <c r="P578" s="3"/>
      <c r="Q578" s="3"/>
      <c r="R578" s="3"/>
      <c r="S578" s="3"/>
      <c r="T578" s="3"/>
      <c r="U578" s="3"/>
      <c r="V578" s="3"/>
      <c r="W578" s="3"/>
      <c r="X578" s="3"/>
      <c r="Y578" s="3"/>
      <c r="Z578" s="3"/>
    </row>
    <row r="579" spans="1:26" ht="12.75" x14ac:dyDescent="0.2">
      <c r="A579" s="3"/>
      <c r="B579" s="3"/>
      <c r="C579" s="857"/>
      <c r="D579" s="382">
        <v>-0.03</v>
      </c>
      <c r="E579" s="627">
        <f t="dataTable" ref="E579:M587" dt2D="1" dtr="1" r1="F79" r2="F53" ca="1"/>
        <v>3945.3086029378742</v>
      </c>
      <c r="F579" s="628">
        <v>3949.7988060817383</v>
      </c>
      <c r="G579" s="628">
        <v>3954.289009225603</v>
      </c>
      <c r="H579" s="629">
        <v>3958.7792123694667</v>
      </c>
      <c r="I579" s="628">
        <v>3963.2694155133318</v>
      </c>
      <c r="J579" s="628">
        <v>3967.7596186571955</v>
      </c>
      <c r="K579" s="628">
        <v>3972.2498218010583</v>
      </c>
      <c r="L579" s="628">
        <v>3976.7400249449233</v>
      </c>
      <c r="M579" s="621">
        <v>3981.2302280887875</v>
      </c>
      <c r="N579" s="3"/>
      <c r="O579" s="3"/>
      <c r="P579" s="3"/>
      <c r="Q579" s="3"/>
      <c r="R579" s="3"/>
      <c r="S579" s="3"/>
      <c r="T579" s="3"/>
      <c r="U579" s="3"/>
      <c r="V579" s="3"/>
      <c r="W579" s="3"/>
      <c r="X579" s="3"/>
      <c r="Y579" s="3"/>
      <c r="Z579" s="3"/>
    </row>
    <row r="580" spans="1:26" ht="12.75" x14ac:dyDescent="0.2">
      <c r="A580" s="3"/>
      <c r="B580" s="3"/>
      <c r="C580" s="802"/>
      <c r="D580" s="383">
        <v>-0.02</v>
      </c>
      <c r="E580" s="630">
        <v>3938.0655192811787</v>
      </c>
      <c r="F580" s="631">
        <v>3942.5557224250429</v>
      </c>
      <c r="G580" s="631">
        <v>3947.0459255689066</v>
      </c>
      <c r="H580" s="632">
        <v>3951.5361287127707</v>
      </c>
      <c r="I580" s="631">
        <v>3956.0263318566354</v>
      </c>
      <c r="J580" s="631">
        <v>3960.5165350004995</v>
      </c>
      <c r="K580" s="631">
        <v>3965.0067381443632</v>
      </c>
      <c r="L580" s="631">
        <v>3969.4969412882265</v>
      </c>
      <c r="M580" s="613">
        <v>3973.9871444320911</v>
      </c>
      <c r="N580" s="3"/>
      <c r="O580" s="3"/>
      <c r="P580" s="3"/>
      <c r="Q580" s="3"/>
      <c r="R580" s="3"/>
      <c r="S580" s="3"/>
      <c r="T580" s="3"/>
      <c r="U580" s="3"/>
      <c r="V580" s="3"/>
      <c r="W580" s="3"/>
      <c r="X580" s="3"/>
      <c r="Y580" s="3"/>
      <c r="Z580" s="3"/>
    </row>
    <row r="581" spans="1:26" ht="12.75" x14ac:dyDescent="0.2">
      <c r="A581" s="3"/>
      <c r="B581" s="3"/>
      <c r="C581" s="802"/>
      <c r="D581" s="384">
        <v>-0.01</v>
      </c>
      <c r="E581" s="633">
        <v>3930.6074320198186</v>
      </c>
      <c r="F581" s="634">
        <v>3935.0976351636837</v>
      </c>
      <c r="G581" s="634">
        <v>3939.5878383075469</v>
      </c>
      <c r="H581" s="632">
        <v>3944.0780414514106</v>
      </c>
      <c r="I581" s="634">
        <v>3948.5682445952752</v>
      </c>
      <c r="J581" s="634">
        <v>3953.0584477391394</v>
      </c>
      <c r="K581" s="634">
        <v>3957.5486508830045</v>
      </c>
      <c r="L581" s="634">
        <v>3962.0388540268664</v>
      </c>
      <c r="M581" s="615">
        <v>3966.5290571707314</v>
      </c>
      <c r="N581" s="3"/>
      <c r="O581" s="3"/>
      <c r="P581" s="3"/>
      <c r="Q581" s="3"/>
      <c r="R581" s="3"/>
      <c r="S581" s="3"/>
      <c r="T581" s="3"/>
      <c r="U581" s="3"/>
      <c r="V581" s="3"/>
      <c r="W581" s="3"/>
      <c r="X581" s="3"/>
      <c r="Y581" s="3"/>
      <c r="Z581" s="3"/>
    </row>
    <row r="582" spans="1:26" ht="12.75" x14ac:dyDescent="0.2">
      <c r="A582" s="3"/>
      <c r="B582" s="3"/>
      <c r="C582" s="802"/>
      <c r="D582" s="608">
        <v>0</v>
      </c>
      <c r="E582" s="635">
        <v>3922.9256989195901</v>
      </c>
      <c r="F582" s="632">
        <v>3927.4159020634547</v>
      </c>
      <c r="G582" s="632">
        <v>3931.9061052073189</v>
      </c>
      <c r="H582" s="632">
        <v>3936.3963083511826</v>
      </c>
      <c r="I582" s="632">
        <v>3940.8865114950468</v>
      </c>
      <c r="J582" s="632">
        <v>3945.3767146389109</v>
      </c>
      <c r="K582" s="632">
        <v>3949.8669177827751</v>
      </c>
      <c r="L582" s="632">
        <v>3954.3571209266383</v>
      </c>
      <c r="M582" s="617">
        <v>3958.847324070503</v>
      </c>
      <c r="N582" s="3"/>
      <c r="O582" s="3"/>
      <c r="P582" s="3"/>
      <c r="Q582" s="3"/>
      <c r="R582" s="3"/>
      <c r="S582" s="3"/>
      <c r="T582" s="3"/>
      <c r="U582" s="3"/>
      <c r="V582" s="3"/>
      <c r="W582" s="3"/>
      <c r="X582" s="3"/>
      <c r="Y582" s="3"/>
      <c r="Z582" s="3"/>
    </row>
    <row r="583" spans="1:26" ht="25.5" x14ac:dyDescent="0.2">
      <c r="A583" s="3"/>
      <c r="B583" s="3"/>
      <c r="C583" s="858" t="s">
        <v>945</v>
      </c>
      <c r="D583" s="383">
        <v>0.01</v>
      </c>
      <c r="E583" s="630">
        <v>3915.0112934545868</v>
      </c>
      <c r="F583" s="631">
        <v>3919.5014965984515</v>
      </c>
      <c r="G583" s="631">
        <v>3923.9916997423147</v>
      </c>
      <c r="H583" s="632">
        <v>3928.4819028861798</v>
      </c>
      <c r="I583" s="631">
        <v>3932.9721060300444</v>
      </c>
      <c r="J583" s="631">
        <v>3937.4623091739086</v>
      </c>
      <c r="K583" s="631">
        <v>3941.9525123177723</v>
      </c>
      <c r="L583" s="631">
        <v>3946.4427154616351</v>
      </c>
      <c r="M583" s="613">
        <v>3950.9329186055011</v>
      </c>
      <c r="N583" s="3"/>
      <c r="O583" s="3"/>
      <c r="P583" s="3"/>
      <c r="Q583" s="3"/>
      <c r="R583" s="3"/>
      <c r="S583" s="3"/>
      <c r="T583" s="3"/>
      <c r="U583" s="3"/>
      <c r="V583" s="3"/>
      <c r="W583" s="3"/>
      <c r="X583" s="3"/>
      <c r="Y583" s="3"/>
      <c r="Z583" s="3"/>
    </row>
    <row r="584" spans="1:26" ht="12.75" x14ac:dyDescent="0.2">
      <c r="A584" s="3"/>
      <c r="B584" s="3"/>
      <c r="C584" s="859" t="s">
        <v>944</v>
      </c>
      <c r="D584" s="383">
        <v>0.02</v>
      </c>
      <c r="E584" s="630">
        <v>3906.8547891568851</v>
      </c>
      <c r="F584" s="631">
        <v>3911.3449923007497</v>
      </c>
      <c r="G584" s="631">
        <v>3915.8351954446148</v>
      </c>
      <c r="H584" s="632">
        <v>3920.325398588478</v>
      </c>
      <c r="I584" s="631">
        <v>3924.8156017323422</v>
      </c>
      <c r="J584" s="631">
        <v>3929.3058048762064</v>
      </c>
      <c r="K584" s="631">
        <v>3933.7960080200714</v>
      </c>
      <c r="L584" s="631">
        <v>3938.2862111639342</v>
      </c>
      <c r="M584" s="613">
        <v>3942.7764143077979</v>
      </c>
      <c r="N584" s="3"/>
      <c r="O584" s="3"/>
      <c r="P584" s="3"/>
      <c r="Q584" s="3"/>
      <c r="R584" s="3"/>
      <c r="S584" s="3"/>
      <c r="T584" s="3"/>
      <c r="U584" s="3"/>
      <c r="V584" s="3"/>
      <c r="W584" s="3"/>
      <c r="X584" s="3"/>
      <c r="Y584" s="3"/>
      <c r="Z584" s="3"/>
    </row>
    <row r="585" spans="1:26" ht="12.75" x14ac:dyDescent="0.2">
      <c r="A585" s="3"/>
      <c r="B585" s="3"/>
      <c r="C585" s="802"/>
      <c r="D585" s="383">
        <v>0.03</v>
      </c>
      <c r="E585" s="630">
        <v>3898.4463434389477</v>
      </c>
      <c r="F585" s="631">
        <v>3902.9365465828128</v>
      </c>
      <c r="G585" s="631">
        <v>3907.426749726676</v>
      </c>
      <c r="H585" s="632">
        <v>3911.9169528705406</v>
      </c>
      <c r="I585" s="631">
        <v>3916.4071560144043</v>
      </c>
      <c r="J585" s="631">
        <v>3920.8973591582694</v>
      </c>
      <c r="K585" s="631">
        <v>3925.3875623021336</v>
      </c>
      <c r="L585" s="631">
        <v>3929.8777654459973</v>
      </c>
      <c r="M585" s="613">
        <v>3934.3679685898601</v>
      </c>
      <c r="N585" s="3"/>
      <c r="O585" s="3"/>
      <c r="P585" s="3"/>
      <c r="Q585" s="3"/>
      <c r="R585" s="3"/>
      <c r="S585" s="3"/>
      <c r="T585" s="3"/>
      <c r="U585" s="3"/>
      <c r="V585" s="3"/>
      <c r="W585" s="3"/>
      <c r="X585" s="3"/>
      <c r="Y585" s="3"/>
      <c r="Z585" s="3"/>
    </row>
    <row r="586" spans="1:26" ht="12.75" x14ac:dyDescent="0.2">
      <c r="A586" s="3"/>
      <c r="B586" s="3"/>
      <c r="C586" s="802"/>
      <c r="D586" s="383">
        <v>0.04</v>
      </c>
      <c r="E586" s="630">
        <v>3889.7756808751574</v>
      </c>
      <c r="F586" s="631">
        <v>3894.2658840190215</v>
      </c>
      <c r="G586" s="631">
        <v>3898.7560871628857</v>
      </c>
      <c r="H586" s="632">
        <v>3903.246290306749</v>
      </c>
      <c r="I586" s="631">
        <v>3907.736493450614</v>
      </c>
      <c r="J586" s="631">
        <v>3912.2266965944787</v>
      </c>
      <c r="K586" s="631">
        <v>3916.7168997383424</v>
      </c>
      <c r="L586" s="631">
        <v>3921.2071028822056</v>
      </c>
      <c r="M586" s="613">
        <v>3925.6973060260693</v>
      </c>
      <c r="N586" s="3"/>
      <c r="O586" s="3"/>
      <c r="P586" s="3"/>
      <c r="Q586" s="3"/>
      <c r="R586" s="3"/>
      <c r="S586" s="3"/>
      <c r="T586" s="3"/>
      <c r="U586" s="3"/>
      <c r="V586" s="3"/>
      <c r="W586" s="3"/>
      <c r="X586" s="3"/>
      <c r="Y586" s="3"/>
      <c r="Z586" s="3"/>
    </row>
    <row r="587" spans="1:26" ht="12.75" x14ac:dyDescent="0.2">
      <c r="A587" s="3"/>
      <c r="B587" s="3"/>
      <c r="C587" s="860"/>
      <c r="D587" s="388">
        <v>0.05</v>
      </c>
      <c r="E587" s="636">
        <v>3880.8320759286294</v>
      </c>
      <c r="F587" s="637">
        <v>3885.3222790724931</v>
      </c>
      <c r="G587" s="637">
        <v>3889.8124822163572</v>
      </c>
      <c r="H587" s="638">
        <v>3894.3026853602209</v>
      </c>
      <c r="I587" s="637">
        <v>3898.7928885040856</v>
      </c>
      <c r="J587" s="637">
        <v>3903.2830916479497</v>
      </c>
      <c r="K587" s="637">
        <v>3907.7732947918148</v>
      </c>
      <c r="L587" s="637">
        <v>3912.2634979356776</v>
      </c>
      <c r="M587" s="619">
        <v>3916.7537010795413</v>
      </c>
      <c r="N587" s="3"/>
      <c r="O587" s="3"/>
      <c r="P587" s="3"/>
      <c r="Q587" s="3"/>
      <c r="R587" s="3"/>
      <c r="S587" s="3"/>
      <c r="T587" s="3"/>
      <c r="U587" s="3"/>
      <c r="V587" s="3"/>
      <c r="W587" s="3"/>
      <c r="X587" s="3"/>
      <c r="Y587" s="3"/>
      <c r="Z587" s="3"/>
    </row>
    <row r="588" spans="1:26" ht="12.75"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25.5" x14ac:dyDescent="0.2">
      <c r="A589" s="3"/>
      <c r="B589" s="3"/>
      <c r="C589" s="359"/>
      <c r="D589" s="359" t="s">
        <v>812</v>
      </c>
      <c r="E589" s="644" t="s">
        <v>947</v>
      </c>
      <c r="F589" s="639"/>
      <c r="G589" s="640"/>
      <c r="H589" s="643"/>
      <c r="I589" s="639"/>
      <c r="J589" s="639"/>
      <c r="K589" s="639"/>
      <c r="L589" s="639"/>
      <c r="M589" s="641"/>
      <c r="N589" s="3"/>
      <c r="O589" s="3"/>
      <c r="P589" s="3"/>
      <c r="Q589" s="3"/>
      <c r="R589" s="3"/>
      <c r="S589" s="3"/>
      <c r="T589" s="3"/>
      <c r="U589" s="3"/>
      <c r="V589" s="3"/>
      <c r="W589" s="3"/>
      <c r="X589" s="3"/>
      <c r="Y589" s="3"/>
      <c r="Z589" s="3"/>
    </row>
    <row r="590" spans="1:26" ht="12.75" x14ac:dyDescent="0.2">
      <c r="A590" s="3"/>
      <c r="B590" s="3"/>
      <c r="C590" s="364"/>
      <c r="D590" s="363">
        <f>$F$359</f>
        <v>3936.3963083511826</v>
      </c>
      <c r="E590" s="623">
        <v>-0.03</v>
      </c>
      <c r="F590" s="624">
        <v>-0.02</v>
      </c>
      <c r="G590" s="624">
        <v>-0.01</v>
      </c>
      <c r="H590" s="626">
        <v>0</v>
      </c>
      <c r="I590" s="624">
        <v>0.01</v>
      </c>
      <c r="J590" s="624">
        <v>0.02</v>
      </c>
      <c r="K590" s="624">
        <v>0.03</v>
      </c>
      <c r="L590" s="624">
        <v>0.04</v>
      </c>
      <c r="M590" s="625">
        <v>0.05</v>
      </c>
      <c r="N590" s="3"/>
      <c r="O590" s="3"/>
      <c r="P590" s="3"/>
      <c r="Q590" s="3"/>
      <c r="R590" s="3"/>
      <c r="S590" s="3"/>
      <c r="T590" s="3"/>
      <c r="U590" s="3"/>
      <c r="V590" s="3"/>
      <c r="W590" s="3"/>
      <c r="X590" s="3"/>
      <c r="Y590" s="3"/>
      <c r="Z590" s="3"/>
    </row>
    <row r="591" spans="1:26" ht="12.75" x14ac:dyDescent="0.2">
      <c r="A591" s="3"/>
      <c r="B591" s="3"/>
      <c r="C591" s="857"/>
      <c r="D591" s="382">
        <v>-0.03</v>
      </c>
      <c r="E591" s="627">
        <f t="dataTable" ref="E591:M599" dt2D="1" dtr="1" r1="F79" r2="F89" ca="1"/>
        <v>3744.3878628214184</v>
      </c>
      <c r="F591" s="628">
        <v>3748.8780659652825</v>
      </c>
      <c r="G591" s="628">
        <v>3753.3682691091467</v>
      </c>
      <c r="H591" s="629">
        <v>3757.8584722530109</v>
      </c>
      <c r="I591" s="628">
        <v>3762.3486753968741</v>
      </c>
      <c r="J591" s="628">
        <v>3766.8388785407392</v>
      </c>
      <c r="K591" s="628">
        <v>3771.3290816846029</v>
      </c>
      <c r="L591" s="628">
        <v>3775.8192848284675</v>
      </c>
      <c r="M591" s="621">
        <v>3780.3094879723308</v>
      </c>
      <c r="N591" s="3"/>
      <c r="O591" s="3"/>
      <c r="P591" s="3"/>
      <c r="Q591" s="3"/>
      <c r="R591" s="3"/>
      <c r="S591" s="3"/>
      <c r="T591" s="3"/>
      <c r="U591" s="3"/>
      <c r="V591" s="3"/>
      <c r="W591" s="3"/>
      <c r="X591" s="3"/>
      <c r="Y591" s="3"/>
      <c r="Z591" s="3"/>
    </row>
    <row r="592" spans="1:26" ht="12.75" x14ac:dyDescent="0.2">
      <c r="A592" s="3"/>
      <c r="B592" s="3"/>
      <c r="C592" s="802"/>
      <c r="D592" s="383">
        <v>-0.02</v>
      </c>
      <c r="E592" s="630">
        <v>3803.900474854142</v>
      </c>
      <c r="F592" s="631">
        <v>3808.3906779980066</v>
      </c>
      <c r="G592" s="631">
        <v>3812.8808811418698</v>
      </c>
      <c r="H592" s="632">
        <v>3817.3710842857349</v>
      </c>
      <c r="I592" s="631">
        <v>3821.8612874295986</v>
      </c>
      <c r="J592" s="631">
        <v>3826.3514905734628</v>
      </c>
      <c r="K592" s="631">
        <v>3830.8416937173265</v>
      </c>
      <c r="L592" s="631">
        <v>3835.3318968611911</v>
      </c>
      <c r="M592" s="613">
        <v>3839.8221000050544</v>
      </c>
      <c r="N592" s="3"/>
      <c r="O592" s="3"/>
      <c r="P592" s="3"/>
      <c r="Q592" s="3"/>
      <c r="R592" s="3"/>
      <c r="S592" s="3"/>
      <c r="T592" s="3"/>
      <c r="U592" s="3"/>
      <c r="V592" s="3"/>
      <c r="W592" s="3"/>
      <c r="X592" s="3"/>
      <c r="Y592" s="3"/>
      <c r="Z592" s="3"/>
    </row>
    <row r="593" spans="1:26" ht="12.75" x14ac:dyDescent="0.2">
      <c r="A593" s="3"/>
      <c r="B593" s="3"/>
      <c r="C593" s="802"/>
      <c r="D593" s="384">
        <v>-0.01</v>
      </c>
      <c r="E593" s="633">
        <v>3863.4130868868665</v>
      </c>
      <c r="F593" s="634">
        <v>3867.9032900307302</v>
      </c>
      <c r="G593" s="634">
        <v>3872.3934931745944</v>
      </c>
      <c r="H593" s="632">
        <v>3876.8836963184585</v>
      </c>
      <c r="I593" s="634">
        <v>3881.3738994623232</v>
      </c>
      <c r="J593" s="634">
        <v>3885.8641026061869</v>
      </c>
      <c r="K593" s="634">
        <v>3890.354305750051</v>
      </c>
      <c r="L593" s="634">
        <v>3894.8445088939152</v>
      </c>
      <c r="M593" s="615">
        <v>3899.3347120377798</v>
      </c>
      <c r="N593" s="3"/>
      <c r="O593" s="3"/>
      <c r="P593" s="3"/>
      <c r="Q593" s="3"/>
      <c r="R593" s="3"/>
      <c r="S593" s="3"/>
      <c r="T593" s="3"/>
      <c r="U593" s="3"/>
      <c r="V593" s="3"/>
      <c r="W593" s="3"/>
      <c r="X593" s="3"/>
      <c r="Y593" s="3"/>
      <c r="Z593" s="3"/>
    </row>
    <row r="594" spans="1:26" ht="12.75" x14ac:dyDescent="0.2">
      <c r="A594" s="3"/>
      <c r="B594" s="3"/>
      <c r="C594" s="802"/>
      <c r="D594" s="608">
        <v>0</v>
      </c>
      <c r="E594" s="635">
        <v>3922.9256989195901</v>
      </c>
      <c r="F594" s="632">
        <v>3927.4159020634547</v>
      </c>
      <c r="G594" s="632">
        <v>3931.9061052073189</v>
      </c>
      <c r="H594" s="632">
        <v>3936.3963083511826</v>
      </c>
      <c r="I594" s="632">
        <v>3940.8865114950468</v>
      </c>
      <c r="J594" s="632">
        <v>3945.3767146389109</v>
      </c>
      <c r="K594" s="632">
        <v>3949.8669177827751</v>
      </c>
      <c r="L594" s="632">
        <v>3954.3571209266383</v>
      </c>
      <c r="M594" s="617">
        <v>3958.847324070503</v>
      </c>
      <c r="N594" s="3"/>
      <c r="O594" s="3"/>
      <c r="P594" s="3"/>
      <c r="Q594" s="3"/>
      <c r="R594" s="3"/>
      <c r="S594" s="3"/>
      <c r="T594" s="3"/>
      <c r="U594" s="3"/>
      <c r="V594" s="3"/>
      <c r="W594" s="3"/>
      <c r="X594" s="3"/>
      <c r="Y594" s="3"/>
      <c r="Z594" s="3"/>
    </row>
    <row r="595" spans="1:26" ht="12.75" x14ac:dyDescent="0.2">
      <c r="A595" s="3"/>
      <c r="B595" s="3"/>
      <c r="C595" s="858" t="s">
        <v>973</v>
      </c>
      <c r="D595" s="383">
        <v>0.01</v>
      </c>
      <c r="E595" s="630">
        <v>3982.4383109523142</v>
      </c>
      <c r="F595" s="631">
        <v>3986.9285140961783</v>
      </c>
      <c r="G595" s="631">
        <v>3991.4187172400425</v>
      </c>
      <c r="H595" s="632">
        <v>3995.9089203839062</v>
      </c>
      <c r="I595" s="631">
        <v>4000.3991235277699</v>
      </c>
      <c r="J595" s="631">
        <v>4004.889326671635</v>
      </c>
      <c r="K595" s="631">
        <v>4009.3795298154982</v>
      </c>
      <c r="L595" s="631">
        <v>4013.8697329593633</v>
      </c>
      <c r="M595" s="613">
        <v>4018.359936103227</v>
      </c>
      <c r="N595" s="3"/>
      <c r="O595" s="3"/>
      <c r="P595" s="3"/>
      <c r="Q595" s="3"/>
      <c r="R595" s="3"/>
      <c r="S595" s="3"/>
      <c r="T595" s="3"/>
      <c r="U595" s="3"/>
      <c r="V595" s="3"/>
      <c r="W595" s="3"/>
      <c r="X595" s="3"/>
      <c r="Y595" s="3"/>
      <c r="Z595" s="3"/>
    </row>
    <row r="596" spans="1:26" ht="12.75" x14ac:dyDescent="0.2">
      <c r="A596" s="3"/>
      <c r="B596" s="3"/>
      <c r="C596" s="859" t="s">
        <v>944</v>
      </c>
      <c r="D596" s="383">
        <v>0.02</v>
      </c>
      <c r="E596" s="630">
        <v>4041.9509229850396</v>
      </c>
      <c r="F596" s="631">
        <v>4046.4411261289042</v>
      </c>
      <c r="G596" s="631">
        <v>4050.9313292727675</v>
      </c>
      <c r="H596" s="632">
        <v>4055.4215324166316</v>
      </c>
      <c r="I596" s="631">
        <v>4059.9117355604967</v>
      </c>
      <c r="J596" s="631">
        <v>4064.4019387043591</v>
      </c>
      <c r="K596" s="631">
        <v>4068.8921418482237</v>
      </c>
      <c r="L596" s="631">
        <v>4073.3823449920887</v>
      </c>
      <c r="M596" s="613">
        <v>4077.872548135952</v>
      </c>
      <c r="N596" s="3"/>
      <c r="O596" s="3"/>
      <c r="P596" s="3"/>
      <c r="Q596" s="3"/>
      <c r="R596" s="3"/>
      <c r="S596" s="3"/>
      <c r="T596" s="3"/>
      <c r="U596" s="3"/>
      <c r="V596" s="3"/>
      <c r="W596" s="3"/>
      <c r="X596" s="3"/>
      <c r="Y596" s="3"/>
      <c r="Z596" s="3"/>
    </row>
    <row r="597" spans="1:26" ht="12.75" x14ac:dyDescent="0.2">
      <c r="A597" s="3"/>
      <c r="B597" s="3"/>
      <c r="C597" s="802"/>
      <c r="D597" s="383">
        <v>0.03</v>
      </c>
      <c r="E597" s="630">
        <v>4101.4635350177641</v>
      </c>
      <c r="F597" s="631">
        <v>4105.9537381616274</v>
      </c>
      <c r="G597" s="631">
        <v>4110.4439413054915</v>
      </c>
      <c r="H597" s="632">
        <v>4114.9341444493557</v>
      </c>
      <c r="I597" s="631">
        <v>4119.4243475932199</v>
      </c>
      <c r="J597" s="631">
        <v>4123.914550737084</v>
      </c>
      <c r="K597" s="631">
        <v>4128.4047538809473</v>
      </c>
      <c r="L597" s="631">
        <v>4132.8949570248124</v>
      </c>
      <c r="M597" s="613">
        <v>4137.3851601686765</v>
      </c>
      <c r="N597" s="3"/>
      <c r="O597" s="3"/>
      <c r="P597" s="3"/>
      <c r="Q597" s="3"/>
      <c r="R597" s="3"/>
      <c r="S597" s="3"/>
      <c r="T597" s="3"/>
      <c r="U597" s="3"/>
      <c r="V597" s="3"/>
      <c r="W597" s="3"/>
      <c r="X597" s="3"/>
      <c r="Y597" s="3"/>
      <c r="Z597" s="3"/>
    </row>
    <row r="598" spans="1:26" ht="12.75" x14ac:dyDescent="0.2">
      <c r="A598" s="3"/>
      <c r="B598" s="3"/>
      <c r="C598" s="802"/>
      <c r="D598" s="383">
        <v>0.04</v>
      </c>
      <c r="E598" s="630">
        <v>4160.9761470504864</v>
      </c>
      <c r="F598" s="631">
        <v>4165.4663501943514</v>
      </c>
      <c r="G598" s="631">
        <v>4169.9565533382156</v>
      </c>
      <c r="H598" s="632">
        <v>4174.4467564820789</v>
      </c>
      <c r="I598" s="631">
        <v>4178.936959625943</v>
      </c>
      <c r="J598" s="631">
        <v>4183.4271627698072</v>
      </c>
      <c r="K598" s="631">
        <v>4187.9173659136713</v>
      </c>
      <c r="L598" s="631">
        <v>4192.4075690575355</v>
      </c>
      <c r="M598" s="613">
        <v>4196.8977722014006</v>
      </c>
      <c r="N598" s="3"/>
      <c r="O598" s="3"/>
      <c r="P598" s="3"/>
      <c r="Q598" s="3"/>
      <c r="R598" s="3"/>
      <c r="S598" s="3"/>
      <c r="T598" s="3"/>
      <c r="U598" s="3"/>
      <c r="V598" s="3"/>
      <c r="W598" s="3"/>
      <c r="X598" s="3"/>
      <c r="Y598" s="3"/>
      <c r="Z598" s="3"/>
    </row>
    <row r="599" spans="1:26" ht="12.75" x14ac:dyDescent="0.2">
      <c r="A599" s="3"/>
      <c r="B599" s="3"/>
      <c r="C599" s="860"/>
      <c r="D599" s="388">
        <v>0.05</v>
      </c>
      <c r="E599" s="636">
        <v>4220.4887590832122</v>
      </c>
      <c r="F599" s="637">
        <v>4224.9789622270755</v>
      </c>
      <c r="G599" s="637">
        <v>4229.4691653709397</v>
      </c>
      <c r="H599" s="638">
        <v>4233.9593685148029</v>
      </c>
      <c r="I599" s="637">
        <v>4238.4495716586689</v>
      </c>
      <c r="J599" s="637">
        <v>4242.9397748025331</v>
      </c>
      <c r="K599" s="637">
        <v>4247.4299779463963</v>
      </c>
      <c r="L599" s="637">
        <v>4251.9201810902614</v>
      </c>
      <c r="M599" s="619">
        <v>4256.4103842341246</v>
      </c>
      <c r="N599" s="3"/>
      <c r="O599" s="3"/>
      <c r="P599" s="3"/>
      <c r="Q599" s="3"/>
      <c r="R599" s="3"/>
      <c r="S599" s="3"/>
      <c r="T599" s="3"/>
      <c r="U599" s="3"/>
      <c r="V599" s="3"/>
      <c r="W599" s="3"/>
      <c r="X599" s="3"/>
      <c r="Y599" s="3"/>
      <c r="Z599" s="3"/>
    </row>
    <row r="600" spans="1:26" ht="12.75"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25.5" x14ac:dyDescent="0.2">
      <c r="A601" s="3"/>
      <c r="B601" s="3"/>
      <c r="C601" s="359"/>
      <c r="D601" s="359" t="s">
        <v>812</v>
      </c>
      <c r="E601" s="673" t="s">
        <v>960</v>
      </c>
      <c r="F601" s="639"/>
      <c r="G601" s="640"/>
      <c r="H601" s="643"/>
      <c r="I601" s="639"/>
      <c r="J601" s="639"/>
      <c r="K601" s="674"/>
      <c r="L601" s="675"/>
      <c r="M601" s="675"/>
      <c r="N601" s="3"/>
      <c r="O601" s="3"/>
      <c r="P601" s="3"/>
      <c r="Q601" s="3"/>
      <c r="R601" s="3"/>
      <c r="S601" s="3"/>
      <c r="T601" s="3"/>
      <c r="U601" s="3"/>
      <c r="V601" s="3"/>
      <c r="W601" s="3"/>
      <c r="X601" s="3"/>
      <c r="Y601" s="3"/>
      <c r="Z601" s="3"/>
    </row>
    <row r="602" spans="1:26" ht="12.75" x14ac:dyDescent="0.2">
      <c r="A602" s="3"/>
      <c r="B602" s="3"/>
      <c r="C602" s="364"/>
      <c r="D602" s="363">
        <f>$F$359</f>
        <v>3936.3963083511826</v>
      </c>
      <c r="E602" s="854">
        <v>0.5</v>
      </c>
      <c r="F602" s="852">
        <v>0.55000000000000004</v>
      </c>
      <c r="G602" s="851">
        <v>0.6</v>
      </c>
      <c r="H602" s="851">
        <v>0.65</v>
      </c>
      <c r="I602" s="853">
        <v>0.7</v>
      </c>
      <c r="J602" s="856">
        <v>0.72</v>
      </c>
      <c r="K602" s="671"/>
      <c r="L602" s="672"/>
      <c r="M602" s="672"/>
      <c r="N602" s="3"/>
      <c r="O602" s="3"/>
      <c r="P602" s="3"/>
      <c r="Q602" s="3"/>
      <c r="R602" s="3"/>
      <c r="S602" s="3"/>
      <c r="T602" s="3"/>
      <c r="U602" s="3"/>
      <c r="V602" s="3"/>
      <c r="W602" s="3"/>
      <c r="X602" s="3"/>
      <c r="Y602" s="3"/>
      <c r="Z602" s="3"/>
    </row>
    <row r="603" spans="1:26" ht="12.75" x14ac:dyDescent="0.2">
      <c r="A603" s="3"/>
      <c r="B603" s="3"/>
      <c r="C603" s="857"/>
      <c r="D603" s="382">
        <v>-0.03</v>
      </c>
      <c r="E603" s="627">
        <f t="dataTable" ref="E603:J611" dt2D="1" dtr="1" r1="I31" r2="F89" ca="1"/>
        <v>1165.6503723123431</v>
      </c>
      <c r="F603" s="628">
        <v>1812.5546203956783</v>
      </c>
      <c r="G603" s="628">
        <v>2460.214024824576</v>
      </c>
      <c r="H603" s="628">
        <v>3109.3927125897912</v>
      </c>
      <c r="I603" s="629">
        <v>3757.8584722530109</v>
      </c>
      <c r="J603" s="628">
        <v>4016.4904479095753</v>
      </c>
      <c r="K603" s="630"/>
      <c r="L603" s="631"/>
      <c r="M603" s="631"/>
      <c r="N603" s="3"/>
      <c r="O603" s="3"/>
      <c r="P603" s="3"/>
      <c r="Q603" s="3"/>
      <c r="R603" s="3"/>
      <c r="S603" s="3"/>
      <c r="T603" s="3"/>
      <c r="U603" s="3"/>
      <c r="V603" s="3"/>
      <c r="W603" s="3"/>
      <c r="X603" s="3"/>
      <c r="Y603" s="3"/>
      <c r="Z603" s="3"/>
    </row>
    <row r="604" spans="1:26" ht="12.75" x14ac:dyDescent="0.2">
      <c r="A604" s="3"/>
      <c r="B604" s="3"/>
      <c r="C604" s="802"/>
      <c r="D604" s="383">
        <v>-0.02</v>
      </c>
      <c r="E604" s="630">
        <v>1198.0516375046068</v>
      </c>
      <c r="F604" s="631">
        <v>1851.7337222980573</v>
      </c>
      <c r="G604" s="631">
        <v>2506.1709634370704</v>
      </c>
      <c r="H604" s="631">
        <v>3162.1274879124012</v>
      </c>
      <c r="I604" s="632">
        <v>3817.3710842857349</v>
      </c>
      <c r="J604" s="631">
        <v>4078.714194626345</v>
      </c>
      <c r="K604" s="630"/>
      <c r="L604" s="631"/>
      <c r="M604" s="631"/>
      <c r="N604" s="3"/>
      <c r="O604" s="3"/>
      <c r="P604" s="3"/>
      <c r="Q604" s="3"/>
      <c r="R604" s="3"/>
      <c r="S604" s="3"/>
      <c r="T604" s="3"/>
      <c r="U604" s="3"/>
      <c r="V604" s="3"/>
      <c r="W604" s="3"/>
      <c r="X604" s="3"/>
      <c r="Y604" s="3"/>
      <c r="Z604" s="3"/>
    </row>
    <row r="605" spans="1:26" ht="12.75" x14ac:dyDescent="0.2">
      <c r="A605" s="3"/>
      <c r="B605" s="3"/>
      <c r="C605" s="802"/>
      <c r="D605" s="384">
        <v>-0.01</v>
      </c>
      <c r="E605" s="633">
        <v>1230.452902696871</v>
      </c>
      <c r="F605" s="634">
        <v>1890.9128242004369</v>
      </c>
      <c r="G605" s="634">
        <v>2552.1279020495658</v>
      </c>
      <c r="H605" s="631">
        <v>3214.8622632350098</v>
      </c>
      <c r="I605" s="632">
        <v>3876.8836963184585</v>
      </c>
      <c r="J605" s="634">
        <v>4140.9379413431134</v>
      </c>
      <c r="K605" s="630"/>
      <c r="L605" s="631"/>
      <c r="M605" s="631"/>
      <c r="N605" s="3"/>
      <c r="O605" s="3"/>
      <c r="P605" s="3"/>
      <c r="Q605" s="3"/>
      <c r="R605" s="3"/>
      <c r="S605" s="3"/>
      <c r="T605" s="3"/>
      <c r="U605" s="3"/>
      <c r="V605" s="3"/>
      <c r="W605" s="3"/>
      <c r="X605" s="3"/>
      <c r="Y605" s="3"/>
      <c r="Z605" s="3"/>
    </row>
    <row r="606" spans="1:26" ht="12.75" x14ac:dyDescent="0.2">
      <c r="A606" s="3"/>
      <c r="B606" s="3"/>
      <c r="C606" s="802"/>
      <c r="D606" s="608">
        <v>0</v>
      </c>
      <c r="E606" s="635">
        <v>1262.8541678891352</v>
      </c>
      <c r="F606" s="632">
        <v>1930.0919261028166</v>
      </c>
      <c r="G606" s="632">
        <v>2598.0848406620594</v>
      </c>
      <c r="H606" s="632">
        <v>3267.5970385576206</v>
      </c>
      <c r="I606" s="632">
        <v>3936.3963083511826</v>
      </c>
      <c r="J606" s="632">
        <v>4203.161688059884</v>
      </c>
      <c r="K606" s="630"/>
      <c r="L606" s="631"/>
      <c r="M606" s="631"/>
      <c r="N606" s="3"/>
      <c r="O606" s="3"/>
      <c r="P606" s="3"/>
      <c r="Q606" s="3"/>
      <c r="R606" s="3"/>
      <c r="S606" s="3"/>
      <c r="T606" s="3"/>
      <c r="U606" s="3"/>
      <c r="V606" s="3"/>
      <c r="W606" s="3"/>
      <c r="X606" s="3"/>
      <c r="Y606" s="3"/>
      <c r="Z606" s="3"/>
    </row>
    <row r="607" spans="1:26" ht="12.75" x14ac:dyDescent="0.2">
      <c r="A607" s="3"/>
      <c r="B607" s="3"/>
      <c r="C607" s="858" t="s">
        <v>973</v>
      </c>
      <c r="D607" s="383">
        <v>0.01</v>
      </c>
      <c r="E607" s="630">
        <v>1295.2554330814</v>
      </c>
      <c r="F607" s="631">
        <v>1969.2710280051956</v>
      </c>
      <c r="G607" s="631">
        <v>2644.0417792745538</v>
      </c>
      <c r="H607" s="631">
        <v>3320.3318138802297</v>
      </c>
      <c r="I607" s="632">
        <v>3995.9089203839062</v>
      </c>
      <c r="J607" s="631">
        <v>4265.3854347766555</v>
      </c>
      <c r="K607" s="630"/>
      <c r="L607" s="631"/>
      <c r="M607" s="631"/>
      <c r="N607" s="3"/>
      <c r="O607" s="3"/>
      <c r="P607" s="3"/>
      <c r="Q607" s="3"/>
      <c r="R607" s="3"/>
      <c r="S607" s="3"/>
      <c r="T607" s="3"/>
      <c r="U607" s="3"/>
      <c r="V607" s="3"/>
      <c r="W607" s="3"/>
      <c r="X607" s="3"/>
      <c r="Y607" s="3"/>
      <c r="Z607" s="3"/>
    </row>
    <row r="608" spans="1:26" ht="12.75" x14ac:dyDescent="0.2">
      <c r="A608" s="3"/>
      <c r="B608" s="3"/>
      <c r="C608" s="859" t="s">
        <v>944</v>
      </c>
      <c r="D608" s="383">
        <v>0.02</v>
      </c>
      <c r="E608" s="630">
        <v>1327.6566982736645</v>
      </c>
      <c r="F608" s="631">
        <v>2008.4501299075762</v>
      </c>
      <c r="G608" s="631">
        <v>2689.9987178870483</v>
      </c>
      <c r="H608" s="631">
        <v>3373.0665892028387</v>
      </c>
      <c r="I608" s="632">
        <v>4055.4215324166316</v>
      </c>
      <c r="J608" s="631">
        <v>4327.6091814934252</v>
      </c>
      <c r="K608" s="630"/>
      <c r="L608" s="631"/>
      <c r="M608" s="631"/>
      <c r="N608" s="3"/>
      <c r="O608" s="3"/>
      <c r="P608" s="3"/>
      <c r="Q608" s="3"/>
      <c r="R608" s="3"/>
      <c r="S608" s="3"/>
      <c r="T608" s="3"/>
      <c r="U608" s="3"/>
      <c r="V608" s="3"/>
      <c r="W608" s="3"/>
      <c r="X608" s="3"/>
      <c r="Y608" s="3"/>
      <c r="Z608" s="3"/>
    </row>
    <row r="609" spans="1:26" ht="12.75" x14ac:dyDescent="0.2">
      <c r="A609" s="3"/>
      <c r="B609" s="3"/>
      <c r="C609" s="802"/>
      <c r="D609" s="383">
        <v>0.03</v>
      </c>
      <c r="E609" s="630">
        <v>1360.0579634659282</v>
      </c>
      <c r="F609" s="631">
        <v>2047.6292318099549</v>
      </c>
      <c r="G609" s="631">
        <v>2735.9556564995423</v>
      </c>
      <c r="H609" s="631">
        <v>3425.8013645254482</v>
      </c>
      <c r="I609" s="632">
        <v>4114.9341444493557</v>
      </c>
      <c r="J609" s="631">
        <v>4389.8329282101959</v>
      </c>
      <c r="K609" s="630"/>
      <c r="L609" s="631"/>
      <c r="M609" s="631"/>
      <c r="N609" s="3"/>
      <c r="O609" s="3"/>
      <c r="P609" s="3"/>
      <c r="Q609" s="3"/>
      <c r="R609" s="3"/>
      <c r="S609" s="3"/>
      <c r="T609" s="3"/>
      <c r="U609" s="3"/>
      <c r="V609" s="3"/>
      <c r="W609" s="3"/>
      <c r="X609" s="3"/>
      <c r="Y609" s="3"/>
      <c r="Z609" s="3"/>
    </row>
    <row r="610" spans="1:26" ht="12.75" x14ac:dyDescent="0.2">
      <c r="A610" s="3"/>
      <c r="B610" s="3"/>
      <c r="C610" s="802"/>
      <c r="D610" s="383">
        <v>0.04</v>
      </c>
      <c r="E610" s="630">
        <v>1392.4592286581922</v>
      </c>
      <c r="F610" s="631">
        <v>2086.808333712333</v>
      </c>
      <c r="G610" s="631">
        <v>2781.9125951120359</v>
      </c>
      <c r="H610" s="631">
        <v>3478.5361398480568</v>
      </c>
      <c r="I610" s="632">
        <v>4174.4467564820789</v>
      </c>
      <c r="J610" s="631">
        <v>4452.0566749269656</v>
      </c>
      <c r="K610" s="630"/>
      <c r="L610" s="631"/>
      <c r="M610" s="631"/>
      <c r="N610" s="3"/>
      <c r="O610" s="3"/>
      <c r="P610" s="3"/>
      <c r="Q610" s="3"/>
      <c r="R610" s="3"/>
      <c r="S610" s="3"/>
      <c r="T610" s="3"/>
      <c r="U610" s="3"/>
      <c r="V610" s="3"/>
      <c r="W610" s="3"/>
      <c r="X610" s="3"/>
      <c r="Y610" s="3"/>
      <c r="Z610" s="3"/>
    </row>
    <row r="611" spans="1:26" ht="12.75" x14ac:dyDescent="0.2">
      <c r="A611" s="3"/>
      <c r="B611" s="3"/>
      <c r="C611" s="860"/>
      <c r="D611" s="388">
        <v>0.05</v>
      </c>
      <c r="E611" s="636">
        <v>1424.8604938504575</v>
      </c>
      <c r="F611" s="637">
        <v>2125.9874356147125</v>
      </c>
      <c r="G611" s="637">
        <v>2827.8695337245313</v>
      </c>
      <c r="H611" s="637">
        <v>3531.2709151706667</v>
      </c>
      <c r="I611" s="638">
        <v>4233.9593685148029</v>
      </c>
      <c r="J611" s="637">
        <v>4514.2804216437362</v>
      </c>
      <c r="K611" s="630"/>
      <c r="L611" s="631"/>
      <c r="M611" s="631"/>
      <c r="N611" s="3"/>
      <c r="O611" s="3"/>
      <c r="P611" s="3"/>
      <c r="Q611" s="3"/>
      <c r="R611" s="3"/>
      <c r="S611" s="3"/>
      <c r="T611" s="3"/>
      <c r="U611" s="3"/>
      <c r="V611" s="3"/>
      <c r="W611" s="3"/>
      <c r="X611" s="3"/>
      <c r="Y611" s="3"/>
      <c r="Z611" s="3"/>
    </row>
    <row r="612" spans="1:26" ht="12.75"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25.5" x14ac:dyDescent="0.2">
      <c r="A613" s="3"/>
      <c r="B613" s="3"/>
      <c r="C613" s="359"/>
      <c r="D613" s="359" t="s">
        <v>812</v>
      </c>
      <c r="E613" s="673" t="s">
        <v>960</v>
      </c>
      <c r="F613" s="639"/>
      <c r="G613" s="680"/>
      <c r="H613" s="643"/>
      <c r="I613" s="639"/>
      <c r="J613" s="639"/>
      <c r="K613" s="674"/>
      <c r="L613" s="675"/>
      <c r="M613" s="675"/>
      <c r="N613" s="3"/>
      <c r="O613" s="3"/>
      <c r="P613" s="3"/>
      <c r="Q613" s="3"/>
      <c r="R613" s="3"/>
      <c r="S613" s="3"/>
      <c r="T613" s="3"/>
      <c r="U613" s="3"/>
      <c r="V613" s="3"/>
      <c r="W613" s="3"/>
      <c r="X613" s="3"/>
      <c r="Y613" s="3"/>
      <c r="Z613" s="3"/>
    </row>
    <row r="614" spans="1:26" ht="12.75" x14ac:dyDescent="0.2">
      <c r="A614" s="3"/>
      <c r="B614" s="3"/>
      <c r="C614" s="364"/>
      <c r="D614" s="363">
        <f>$F$359</f>
        <v>3936.3963083511826</v>
      </c>
      <c r="E614" s="655">
        <v>0.5</v>
      </c>
      <c r="F614" s="652">
        <v>0.55000000000000004</v>
      </c>
      <c r="G614" s="851">
        <v>0.6</v>
      </c>
      <c r="H614" s="851">
        <v>0.65</v>
      </c>
      <c r="I614" s="654">
        <v>0.7</v>
      </c>
      <c r="J614" s="681">
        <v>0.72</v>
      </c>
      <c r="K614" s="671"/>
      <c r="L614" s="672"/>
      <c r="M614" s="672"/>
      <c r="N614" s="3"/>
      <c r="O614" s="3"/>
      <c r="P614" s="3"/>
      <c r="Q614" s="3"/>
      <c r="R614" s="3"/>
      <c r="S614" s="3"/>
      <c r="T614" s="3"/>
      <c r="U614" s="3"/>
      <c r="V614" s="3"/>
      <c r="W614" s="3"/>
      <c r="X614" s="3"/>
      <c r="Y614" s="3"/>
      <c r="Z614" s="3"/>
    </row>
    <row r="615" spans="1:26" ht="12.75" x14ac:dyDescent="0.2">
      <c r="A615" s="3"/>
      <c r="B615" s="3"/>
      <c r="C615" s="857"/>
      <c r="D615" s="382">
        <v>0.15</v>
      </c>
      <c r="E615" s="627">
        <f t="dataTable" ref="E615:J622" dt2D="1" dtr="1" r1="I31" r2="I34" ca="1"/>
        <v>1589.402403848148</v>
      </c>
      <c r="F615" s="628">
        <v>2289.4387143917484</v>
      </c>
      <c r="G615" s="628">
        <v>2990.1728822773644</v>
      </c>
      <c r="H615" s="628">
        <v>3691.5991085927094</v>
      </c>
      <c r="I615" s="629">
        <v>4393.2750993920072</v>
      </c>
      <c r="J615" s="628">
        <v>4673.0817313568614</v>
      </c>
      <c r="K615" s="630"/>
      <c r="L615" s="631"/>
      <c r="M615" s="631"/>
      <c r="N615" s="3"/>
      <c r="O615" s="3"/>
      <c r="P615" s="3"/>
      <c r="Q615" s="3"/>
      <c r="R615" s="3"/>
      <c r="S615" s="3"/>
      <c r="T615" s="3"/>
      <c r="U615" s="3"/>
      <c r="V615" s="3"/>
      <c r="W615" s="3"/>
      <c r="X615" s="3"/>
      <c r="Y615" s="3"/>
      <c r="Z615" s="3"/>
    </row>
    <row r="616" spans="1:26" ht="12.75" x14ac:dyDescent="0.2">
      <c r="A616" s="3"/>
      <c r="B616" s="3"/>
      <c r="C616" s="802"/>
      <c r="D616" s="608">
        <v>0.2</v>
      </c>
      <c r="E616" s="635">
        <v>1262.8541678891352</v>
      </c>
      <c r="F616" s="632">
        <v>1930.0919261028166</v>
      </c>
      <c r="G616" s="632">
        <v>2598.0848406620594</v>
      </c>
      <c r="H616" s="632">
        <v>3267.5970385576206</v>
      </c>
      <c r="I616" s="632">
        <v>3936.3963083511826</v>
      </c>
      <c r="J616" s="632">
        <v>4203.161688059884</v>
      </c>
      <c r="K616" s="630"/>
      <c r="L616" s="631"/>
      <c r="M616" s="631"/>
      <c r="N616" s="3"/>
      <c r="O616" s="3"/>
      <c r="P616" s="3"/>
      <c r="Q616" s="3"/>
      <c r="R616" s="3"/>
      <c r="S616" s="3"/>
      <c r="T616" s="3"/>
      <c r="U616" s="3"/>
      <c r="V616" s="3"/>
      <c r="W616" s="3"/>
      <c r="X616" s="3"/>
      <c r="Y616" s="3"/>
      <c r="Z616" s="3"/>
    </row>
    <row r="617" spans="1:26" ht="12.75" x14ac:dyDescent="0.2">
      <c r="A617" s="3"/>
      <c r="B617" s="3"/>
      <c r="C617" s="802"/>
      <c r="D617" s="384">
        <v>0.25</v>
      </c>
      <c r="E617" s="633">
        <v>936.07336432511329</v>
      </c>
      <c r="F617" s="634">
        <v>1571.2677265544387</v>
      </c>
      <c r="G617" s="634">
        <v>2207.3466126938979</v>
      </c>
      <c r="H617" s="631">
        <v>2843.5167998467155</v>
      </c>
      <c r="I617" s="632">
        <v>3479.0522275733506</v>
      </c>
      <c r="J617" s="634">
        <v>3733.1634760870902</v>
      </c>
      <c r="K617" s="630"/>
      <c r="L617" s="631"/>
      <c r="M617" s="631"/>
      <c r="N617" s="3"/>
      <c r="O617" s="3"/>
      <c r="P617" s="3"/>
      <c r="Q617" s="3"/>
      <c r="R617" s="3"/>
      <c r="S617" s="3"/>
      <c r="T617" s="3"/>
      <c r="U617" s="3"/>
      <c r="V617" s="3"/>
      <c r="W617" s="3"/>
      <c r="X617" s="3"/>
      <c r="Y617" s="3"/>
      <c r="Z617" s="3"/>
    </row>
    <row r="618" spans="1:26" ht="12.75" x14ac:dyDescent="0.2">
      <c r="A618" s="3"/>
      <c r="B618" s="3"/>
      <c r="C618" s="802"/>
      <c r="D618" s="383">
        <v>0.3</v>
      </c>
      <c r="E618" s="630">
        <v>609.58242736964951</v>
      </c>
      <c r="F618" s="631">
        <v>1212.8627611791908</v>
      </c>
      <c r="G618" s="631">
        <v>1815.599636575907</v>
      </c>
      <c r="H618" s="631">
        <v>2419.4365611358094</v>
      </c>
      <c r="I618" s="632">
        <v>3022.7168949453485</v>
      </c>
      <c r="J618" s="631">
        <v>3262.6999743772913</v>
      </c>
      <c r="K618" s="630"/>
      <c r="L618" s="631"/>
      <c r="M618" s="631"/>
      <c r="N618" s="3"/>
      <c r="O618" s="3"/>
      <c r="P618" s="3"/>
      <c r="Q618" s="3"/>
      <c r="R618" s="3"/>
      <c r="S618" s="3"/>
      <c r="T618" s="3"/>
      <c r="U618" s="3"/>
      <c r="V618" s="3"/>
      <c r="W618" s="3"/>
      <c r="X618" s="3"/>
      <c r="Y618" s="3"/>
      <c r="Z618" s="3"/>
    </row>
    <row r="619" spans="1:26" ht="25.5" x14ac:dyDescent="0.2">
      <c r="A619" s="3"/>
      <c r="B619" s="3"/>
      <c r="C619" s="858" t="s">
        <v>974</v>
      </c>
      <c r="D619" s="383">
        <v>0.35</v>
      </c>
      <c r="E619" s="630">
        <v>284.04293956046661</v>
      </c>
      <c r="F619" s="631">
        <v>854.379627128126</v>
      </c>
      <c r="G619" s="631">
        <v>1424.3179501949221</v>
      </c>
      <c r="H619" s="631">
        <v>1994.8910326878984</v>
      </c>
      <c r="I619" s="632">
        <v>2565.3728141675169</v>
      </c>
      <c r="J619" s="631">
        <v>2793.2452208173213</v>
      </c>
      <c r="K619" s="630"/>
      <c r="L619" s="631"/>
      <c r="M619" s="631"/>
      <c r="N619" s="3"/>
      <c r="O619" s="3"/>
      <c r="P619" s="3"/>
      <c r="Q619" s="3"/>
      <c r="R619" s="3"/>
      <c r="S619" s="3"/>
      <c r="T619" s="3"/>
      <c r="U619" s="3"/>
      <c r="V619" s="3"/>
      <c r="W619" s="3"/>
      <c r="X619" s="3"/>
      <c r="Y619" s="3"/>
      <c r="Z619" s="3"/>
    </row>
    <row r="620" spans="1:26" ht="12.75" x14ac:dyDescent="0.2">
      <c r="A620" s="3"/>
      <c r="B620" s="3"/>
      <c r="C620" s="859" t="s">
        <v>975</v>
      </c>
      <c r="D620" s="383">
        <v>0.4</v>
      </c>
      <c r="E620" s="630">
        <v>-42.106931897684113</v>
      </c>
      <c r="F620" s="631">
        <v>495.032838839193</v>
      </c>
      <c r="G620" s="631">
        <v>1032.637899313075</v>
      </c>
      <c r="H620" s="631">
        <v>1571.3542523898159</v>
      </c>
      <c r="I620" s="632">
        <v>2108.4940231266905</v>
      </c>
      <c r="J620" s="631">
        <v>2324.3432306874042</v>
      </c>
      <c r="K620" s="630"/>
      <c r="L620" s="631"/>
      <c r="M620" s="631"/>
      <c r="N620" s="3"/>
      <c r="O620" s="3"/>
      <c r="P620" s="3"/>
      <c r="Q620" s="3"/>
      <c r="R620" s="3"/>
      <c r="S620" s="3"/>
      <c r="T620" s="3"/>
      <c r="U620" s="3"/>
      <c r="V620" s="3"/>
      <c r="W620" s="3"/>
      <c r="X620" s="3"/>
      <c r="Y620" s="3"/>
      <c r="Z620" s="3"/>
    </row>
    <row r="621" spans="1:26" ht="12.75" x14ac:dyDescent="0.2">
      <c r="A621" s="3"/>
      <c r="B621" s="3"/>
      <c r="C621" s="802"/>
      <c r="D621" s="383">
        <v>0.45</v>
      </c>
      <c r="E621" s="630">
        <v>-369.69409069602557</v>
      </c>
      <c r="F621" s="631">
        <v>135.4534829452503</v>
      </c>
      <c r="G621" s="631">
        <v>641.4343816079064</v>
      </c>
      <c r="H621" s="631">
        <v>1146.808723941904</v>
      </c>
      <c r="I621" s="632">
        <v>1651.6152320858653</v>
      </c>
      <c r="J621" s="631">
        <v>1853.8797289776044</v>
      </c>
      <c r="K621" s="630"/>
      <c r="L621" s="631"/>
      <c r="M621" s="631"/>
      <c r="N621" s="3"/>
      <c r="O621" s="3"/>
      <c r="P621" s="3"/>
      <c r="Q621" s="3"/>
      <c r="R621" s="3"/>
      <c r="S621" s="3"/>
      <c r="T621" s="3"/>
      <c r="U621" s="3"/>
      <c r="V621" s="3"/>
      <c r="W621" s="3"/>
      <c r="X621" s="3"/>
      <c r="Y621" s="3"/>
      <c r="Z621" s="3"/>
    </row>
    <row r="622" spans="1:26" ht="12.75" x14ac:dyDescent="0.2">
      <c r="A622" s="3"/>
      <c r="B622" s="3"/>
      <c r="C622" s="834"/>
      <c r="D622" s="388">
        <v>0.5</v>
      </c>
      <c r="E622" s="636">
        <v>-695.37867241717004</v>
      </c>
      <c r="F622" s="637">
        <v>-223.29254792731064</v>
      </c>
      <c r="G622" s="637">
        <v>250.15269522692185</v>
      </c>
      <c r="H622" s="637">
        <v>722.33012073013697</v>
      </c>
      <c r="I622" s="638">
        <v>1194.8146097208564</v>
      </c>
      <c r="J622" s="619">
        <v>1383.8815170048103</v>
      </c>
      <c r="K622" s="630"/>
      <c r="L622" s="631"/>
      <c r="M622" s="631"/>
      <c r="N622" s="3"/>
      <c r="O622" s="3"/>
      <c r="P622" s="3"/>
      <c r="Q622" s="3"/>
      <c r="R622" s="3"/>
      <c r="S622" s="3"/>
      <c r="T622" s="3"/>
      <c r="U622" s="3"/>
      <c r="V622" s="3"/>
      <c r="W622" s="3"/>
      <c r="X622" s="3"/>
      <c r="Y622" s="3"/>
      <c r="Z622" s="3"/>
    </row>
    <row r="623" spans="1:26" ht="12.75"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sheetData>
  <customSheetViews>
    <customSheetView guid="{1474D8E2-8801-474F-99A3-0D3DFA4B5FB3}" scale="85" fitToPage="1" hiddenRows="1" topLeftCell="A99">
      <selection activeCell="I98" sqref="I98:I102"/>
      <pageMargins left="0.7" right="0.7" top="0.75" bottom="0.75" header="0.3" footer="0.3"/>
      <pageSetup scale="62" fitToHeight="0" orientation="landscape" r:id="rId1"/>
    </customSheetView>
    <customSheetView guid="{0270675F-18D5-4C83-B813-43237B4A5065}" scale="85" fitToPage="1" hiddenRows="1" topLeftCell="A527">
      <selection activeCell="F565" sqref="F565"/>
      <pageMargins left="0.7" right="0.7" top="0.75" bottom="0.75" header="0.3" footer="0.3"/>
      <pageSetup scale="62" fitToHeight="0" orientation="landscape" r:id="rId2"/>
    </customSheetView>
    <customSheetView guid="{68E4D3DD-37C5-4451-9CB1-FD36A6953DAF}" scale="85" showPageBreaks="1" fitToPage="1" printArea="1" hiddenRows="1" topLeftCell="A65">
      <selection activeCell="I98" sqref="I98:I102"/>
      <pageMargins left="0.7" right="0.7" top="0.75" bottom="0.75" header="0.3" footer="0.3"/>
      <pageSetup scale="62" fitToHeight="0" orientation="landscape" r:id="rId3"/>
    </customSheetView>
  </customSheetViews>
  <pageMargins left="0.7" right="0.7" top="0.75" bottom="0.75" header="0.3" footer="0.3"/>
  <pageSetup scale="62" fitToHeight="0" orientation="landscape"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57"/>
  <sheetViews>
    <sheetView zoomScale="85" zoomScaleNormal="85" workbookViewId="0">
      <selection activeCell="C7" sqref="C7"/>
    </sheetView>
  </sheetViews>
  <sheetFormatPr defaultColWidth="14.42578125" defaultRowHeight="15.75" customHeight="1" x14ac:dyDescent="0.2"/>
  <cols>
    <col min="1" max="1" width="3.85546875" style="226" customWidth="1"/>
    <col min="2" max="2" width="4.7109375" style="226" customWidth="1"/>
    <col min="3" max="3" width="15.28515625" style="226" customWidth="1"/>
    <col min="4" max="5" width="14.42578125" style="226"/>
    <col min="6" max="6" width="19.140625" style="226" customWidth="1"/>
    <col min="7" max="7" width="16.28515625" style="226" customWidth="1"/>
    <col min="8" max="8" width="15" style="226" bestFit="1" customWidth="1"/>
    <col min="9" max="16384" width="14.42578125" style="226"/>
  </cols>
  <sheetData>
    <row r="1" spans="1:26" ht="45" customHeight="1" x14ac:dyDescent="0.3">
      <c r="A1" s="142"/>
      <c r="B1" s="119"/>
      <c r="C1" s="119"/>
      <c r="D1" s="119"/>
      <c r="E1" s="119"/>
      <c r="F1" s="119"/>
      <c r="G1" s="119"/>
      <c r="H1" s="119"/>
      <c r="I1" s="119"/>
      <c r="J1" s="119"/>
      <c r="K1" s="119"/>
      <c r="L1" s="119"/>
      <c r="M1" s="119"/>
      <c r="N1" s="119"/>
      <c r="O1" s="119"/>
      <c r="P1" s="119"/>
      <c r="Q1" s="119"/>
      <c r="R1" s="119"/>
      <c r="S1" s="119"/>
      <c r="T1" s="119"/>
      <c r="U1" s="119"/>
      <c r="V1" s="119"/>
      <c r="W1" s="119"/>
      <c r="X1" s="119"/>
      <c r="Y1" s="119"/>
      <c r="Z1" s="119"/>
    </row>
    <row r="2" spans="1:26" ht="28.5" customHeight="1" x14ac:dyDescent="0.2">
      <c r="A2" s="144" t="s">
        <v>508</v>
      </c>
      <c r="B2" s="119"/>
      <c r="C2" s="119"/>
      <c r="D2" s="119"/>
      <c r="E2" s="119"/>
      <c r="F2" s="119"/>
      <c r="G2" s="119"/>
      <c r="H2" s="119"/>
      <c r="I2" s="119"/>
      <c r="J2" s="119"/>
      <c r="K2" s="119"/>
      <c r="L2" s="119"/>
      <c r="M2" s="119"/>
      <c r="N2" s="119"/>
      <c r="O2" s="119"/>
      <c r="P2" s="119"/>
      <c r="Q2" s="119"/>
      <c r="R2" s="119"/>
      <c r="S2" s="119"/>
      <c r="T2" s="119"/>
      <c r="U2" s="119"/>
      <c r="V2" s="119"/>
      <c r="W2" s="119"/>
      <c r="X2" s="119"/>
      <c r="Y2" s="119"/>
      <c r="Z2" s="119"/>
    </row>
    <row r="3" spans="1:26" ht="15.75" customHeight="1" x14ac:dyDescent="0.2">
      <c r="A3" s="167"/>
      <c r="B3" s="122"/>
      <c r="C3" s="122"/>
      <c r="D3" s="122"/>
      <c r="E3" s="122"/>
      <c r="F3" s="122"/>
      <c r="G3" s="122"/>
      <c r="H3" s="122"/>
      <c r="I3" s="122"/>
      <c r="J3" s="122"/>
      <c r="K3" s="122"/>
      <c r="L3" s="122"/>
      <c r="M3" s="122"/>
      <c r="N3" s="122"/>
      <c r="O3" s="122"/>
      <c r="P3" s="122"/>
      <c r="Q3" s="122"/>
      <c r="R3" s="122"/>
      <c r="S3" s="122"/>
      <c r="T3" s="122"/>
      <c r="U3" s="122"/>
      <c r="V3" s="122"/>
      <c r="W3" s="122"/>
      <c r="X3" s="122"/>
      <c r="Y3" s="122"/>
      <c r="Z3" s="122"/>
    </row>
    <row r="4" spans="1:26" ht="15.75" customHeight="1" x14ac:dyDescent="0.2">
      <c r="A4" s="145" t="s">
        <v>356</v>
      </c>
      <c r="B4" s="119"/>
      <c r="C4" s="119"/>
      <c r="D4" s="119"/>
      <c r="F4" s="152" t="s">
        <v>593</v>
      </c>
      <c r="G4" s="146"/>
      <c r="H4" s="146"/>
      <c r="I4" s="146"/>
      <c r="J4" s="146"/>
      <c r="K4" s="119"/>
      <c r="L4" s="119"/>
      <c r="M4" s="119"/>
      <c r="N4" s="119"/>
      <c r="O4" s="119"/>
      <c r="P4" s="119"/>
      <c r="Q4" s="119"/>
      <c r="R4" s="119"/>
      <c r="S4" s="119"/>
      <c r="T4" s="119"/>
      <c r="U4" s="119"/>
      <c r="V4" s="119"/>
      <c r="W4" s="119"/>
      <c r="X4" s="119"/>
      <c r="Y4" s="119"/>
      <c r="Z4" s="119"/>
    </row>
    <row r="5" spans="1:26" ht="15.75" customHeight="1" x14ac:dyDescent="0.2">
      <c r="A5" s="147"/>
      <c r="B5" s="122"/>
      <c r="C5" s="122"/>
      <c r="D5" s="122"/>
      <c r="E5" s="122"/>
      <c r="F5" s="148"/>
      <c r="G5" s="148"/>
      <c r="H5" s="148"/>
      <c r="I5" s="148"/>
      <c r="J5" s="148"/>
      <c r="K5" s="122"/>
      <c r="L5" s="122"/>
      <c r="M5" s="122"/>
      <c r="N5" s="122"/>
      <c r="O5" s="122"/>
      <c r="P5" s="122"/>
      <c r="Q5" s="122"/>
      <c r="R5" s="122"/>
      <c r="S5" s="122"/>
      <c r="T5" s="122"/>
      <c r="U5" s="122"/>
      <c r="V5" s="122"/>
      <c r="W5" s="122"/>
      <c r="X5" s="122"/>
      <c r="Y5" s="122"/>
      <c r="Z5" s="122"/>
    </row>
    <row r="6" spans="1:26" ht="15.75" customHeight="1" x14ac:dyDescent="0.2">
      <c r="A6" s="145" t="s">
        <v>25</v>
      </c>
      <c r="B6" s="119"/>
      <c r="C6" s="119"/>
      <c r="D6" s="119"/>
      <c r="E6" s="119"/>
      <c r="F6" s="146" t="s">
        <v>0</v>
      </c>
      <c r="G6" s="146" t="s">
        <v>1</v>
      </c>
      <c r="H6" s="146" t="s">
        <v>2</v>
      </c>
      <c r="I6" s="146"/>
      <c r="J6" s="146"/>
      <c r="L6" s="119"/>
      <c r="M6" s="119"/>
      <c r="N6" s="119"/>
      <c r="O6" s="119"/>
      <c r="P6" s="119"/>
      <c r="Q6" s="119"/>
      <c r="R6" s="119"/>
      <c r="S6" s="119"/>
      <c r="T6" s="119"/>
      <c r="U6" s="119"/>
      <c r="V6" s="119"/>
      <c r="W6" s="119"/>
      <c r="X6" s="119"/>
      <c r="Y6" s="119"/>
      <c r="Z6" s="119"/>
    </row>
    <row r="7" spans="1:26" ht="15.75" customHeight="1" x14ac:dyDescent="0.2">
      <c r="A7" s="122"/>
      <c r="B7" s="340" t="s">
        <v>3</v>
      </c>
      <c r="C7" s="405"/>
      <c r="D7" s="405"/>
      <c r="E7" s="405"/>
      <c r="F7" s="405"/>
      <c r="G7" s="405"/>
      <c r="H7" s="405"/>
      <c r="I7" s="412"/>
      <c r="J7" s="412"/>
      <c r="K7" s="412"/>
      <c r="L7" s="412"/>
      <c r="M7" s="412"/>
      <c r="N7" s="412"/>
      <c r="O7" s="122"/>
      <c r="P7" s="122"/>
      <c r="Q7" s="122"/>
      <c r="R7" s="122"/>
      <c r="S7" s="122"/>
      <c r="T7" s="122"/>
      <c r="U7" s="122"/>
      <c r="V7" s="122"/>
      <c r="W7" s="122"/>
      <c r="X7" s="122"/>
      <c r="Y7" s="122"/>
      <c r="Z7" s="122"/>
    </row>
    <row r="8" spans="1:26" ht="15.75" customHeight="1" x14ac:dyDescent="0.2">
      <c r="A8" s="122"/>
      <c r="B8" s="405"/>
      <c r="C8" s="395" t="s">
        <v>4</v>
      </c>
      <c r="D8" s="405"/>
      <c r="E8" s="405"/>
      <c r="F8" s="406">
        <v>7.9000000000000001E-2</v>
      </c>
      <c r="G8" s="405" t="s">
        <v>5</v>
      </c>
      <c r="H8" s="405" t="s">
        <v>6</v>
      </c>
      <c r="I8" s="412"/>
      <c r="J8" s="412"/>
      <c r="K8" s="412"/>
      <c r="L8" s="412"/>
      <c r="M8" s="412"/>
      <c r="N8" s="412"/>
      <c r="O8" s="122"/>
      <c r="P8" s="122"/>
      <c r="Q8" s="122"/>
      <c r="R8" s="122"/>
      <c r="S8" s="122"/>
      <c r="T8" s="122"/>
      <c r="U8" s="122"/>
      <c r="V8" s="122"/>
      <c r="W8" s="122"/>
      <c r="X8" s="122"/>
      <c r="Y8" s="122"/>
      <c r="Z8" s="122"/>
    </row>
    <row r="9" spans="1:26" ht="15.75" customHeight="1" x14ac:dyDescent="0.2">
      <c r="A9" s="122"/>
      <c r="B9" s="405"/>
      <c r="C9" s="395" t="s">
        <v>7</v>
      </c>
      <c r="D9" s="405"/>
      <c r="E9" s="405"/>
      <c r="F9" s="406">
        <v>2.5000000000000001E-2</v>
      </c>
      <c r="G9" s="405" t="s">
        <v>5</v>
      </c>
      <c r="H9" s="405"/>
      <c r="I9" s="412"/>
      <c r="J9" s="412"/>
      <c r="K9" s="412"/>
      <c r="L9" s="412"/>
      <c r="M9" s="412"/>
      <c r="N9" s="412"/>
      <c r="O9" s="122"/>
      <c r="P9" s="122"/>
      <c r="Q9" s="122"/>
      <c r="R9" s="122"/>
      <c r="S9" s="122"/>
      <c r="T9" s="122"/>
      <c r="U9" s="122"/>
      <c r="V9" s="122"/>
      <c r="W9" s="122"/>
      <c r="X9" s="122"/>
      <c r="Y9" s="122"/>
      <c r="Z9" s="122"/>
    </row>
    <row r="10" spans="1:26" ht="15.75" customHeight="1" x14ac:dyDescent="0.2">
      <c r="A10" s="122"/>
      <c r="B10" s="405"/>
      <c r="C10" s="395" t="s">
        <v>8</v>
      </c>
      <c r="D10" s="405"/>
      <c r="E10" s="405"/>
      <c r="F10" s="416">
        <v>157.54</v>
      </c>
      <c r="G10" s="405" t="s">
        <v>9</v>
      </c>
      <c r="H10" s="405" t="s">
        <v>10</v>
      </c>
      <c r="I10" s="412"/>
      <c r="J10" s="412"/>
      <c r="K10" s="412"/>
      <c r="L10" s="412"/>
      <c r="M10" s="412"/>
      <c r="N10" s="412"/>
      <c r="O10" s="122"/>
      <c r="P10" s="122"/>
      <c r="Q10" s="122"/>
      <c r="R10" s="122"/>
      <c r="S10" s="122"/>
      <c r="T10" s="122"/>
      <c r="U10" s="122"/>
      <c r="V10" s="122"/>
      <c r="W10" s="122"/>
      <c r="X10" s="122"/>
      <c r="Y10" s="122"/>
      <c r="Z10" s="122"/>
    </row>
    <row r="11" spans="1:26" ht="15.75" customHeight="1" x14ac:dyDescent="0.2">
      <c r="A11" s="122"/>
      <c r="B11" s="405"/>
      <c r="C11" s="395" t="s">
        <v>11</v>
      </c>
      <c r="D11" s="405"/>
      <c r="E11" s="405"/>
      <c r="F11" s="408">
        <v>0</v>
      </c>
      <c r="G11" s="405" t="s">
        <v>5</v>
      </c>
      <c r="H11" s="405" t="s">
        <v>12</v>
      </c>
      <c r="I11" s="412"/>
      <c r="J11" s="412"/>
      <c r="K11" s="412"/>
      <c r="L11" s="412"/>
      <c r="M11" s="412"/>
      <c r="N11" s="412"/>
      <c r="O11" s="122"/>
      <c r="P11" s="122"/>
      <c r="Q11" s="122"/>
      <c r="R11" s="122"/>
      <c r="S11" s="122"/>
      <c r="T11" s="122"/>
      <c r="U11" s="122"/>
      <c r="V11" s="122"/>
      <c r="W11" s="122"/>
      <c r="X11" s="122"/>
      <c r="Y11" s="122"/>
      <c r="Z11" s="122"/>
    </row>
    <row r="12" spans="1:26" ht="15.75" customHeight="1" x14ac:dyDescent="0.2">
      <c r="A12" s="122"/>
      <c r="B12" s="405"/>
      <c r="C12" s="395" t="s">
        <v>13</v>
      </c>
      <c r="D12" s="405"/>
      <c r="E12" s="405"/>
      <c r="F12" s="406">
        <v>0.10199999999999999</v>
      </c>
      <c r="G12" s="405" t="s">
        <v>5</v>
      </c>
      <c r="H12" s="405" t="s">
        <v>14</v>
      </c>
      <c r="I12" s="412"/>
      <c r="J12" s="412"/>
      <c r="K12" s="412"/>
      <c r="L12" s="412"/>
      <c r="M12" s="412"/>
      <c r="N12" s="412"/>
      <c r="O12" s="122"/>
      <c r="P12" s="122"/>
      <c r="Q12" s="122"/>
      <c r="R12" s="122"/>
      <c r="S12" s="122"/>
      <c r="T12" s="122"/>
      <c r="U12" s="122"/>
      <c r="V12" s="122"/>
      <c r="W12" s="122"/>
      <c r="X12" s="122"/>
      <c r="Y12" s="122"/>
      <c r="Z12" s="122"/>
    </row>
    <row r="13" spans="1:26" ht="15.75" customHeight="1" x14ac:dyDescent="0.2">
      <c r="A13" s="122"/>
      <c r="B13" s="405"/>
      <c r="C13" s="395" t="s">
        <v>15</v>
      </c>
      <c r="D13" s="405"/>
      <c r="E13" s="405"/>
      <c r="F13" s="409">
        <v>173.60908000000001</v>
      </c>
      <c r="G13" s="405" t="s">
        <v>9</v>
      </c>
      <c r="H13" s="405"/>
      <c r="I13" s="412"/>
      <c r="J13" s="412"/>
      <c r="K13" s="412"/>
      <c r="L13" s="412"/>
      <c r="M13" s="412"/>
      <c r="N13" s="412"/>
      <c r="O13" s="122"/>
      <c r="P13" s="122"/>
      <c r="Q13" s="122"/>
      <c r="R13" s="122"/>
      <c r="S13" s="122"/>
      <c r="T13" s="122"/>
      <c r="U13" s="122"/>
      <c r="V13" s="122"/>
      <c r="W13" s="122"/>
      <c r="X13" s="122"/>
      <c r="Y13" s="122"/>
      <c r="Z13" s="122"/>
    </row>
    <row r="14" spans="1:26" ht="15.75" customHeight="1" x14ac:dyDescent="0.2">
      <c r="A14" s="122"/>
      <c r="B14" s="405"/>
      <c r="C14" s="395" t="s">
        <v>16</v>
      </c>
      <c r="D14" s="405"/>
      <c r="E14" s="405"/>
      <c r="F14" s="406">
        <v>8.4000000000000005E-2</v>
      </c>
      <c r="G14" s="405" t="s">
        <v>5</v>
      </c>
      <c r="H14" s="405" t="s">
        <v>1073</v>
      </c>
      <c r="I14" s="412"/>
      <c r="J14" s="412"/>
      <c r="K14" s="412"/>
      <c r="L14" s="412"/>
      <c r="M14" s="412"/>
      <c r="N14" s="412"/>
      <c r="O14" s="122"/>
      <c r="P14" s="122"/>
      <c r="Q14" s="122"/>
      <c r="R14" s="122"/>
      <c r="S14" s="122"/>
      <c r="T14" s="122"/>
      <c r="U14" s="122"/>
      <c r="V14" s="122"/>
      <c r="W14" s="122"/>
      <c r="X14" s="122"/>
      <c r="Y14" s="122"/>
      <c r="Z14" s="122"/>
    </row>
    <row r="15" spans="1:26" ht="15.75" customHeight="1" x14ac:dyDescent="0.2">
      <c r="A15" s="122"/>
      <c r="B15" s="405"/>
      <c r="C15" s="395" t="s">
        <v>17</v>
      </c>
      <c r="D15" s="405"/>
      <c r="E15" s="405"/>
      <c r="F15" s="406">
        <v>0.23977099999999996</v>
      </c>
      <c r="G15" s="405" t="s">
        <v>5</v>
      </c>
      <c r="H15" s="405"/>
      <c r="I15" s="412"/>
      <c r="J15" s="412"/>
      <c r="K15" s="412"/>
      <c r="L15" s="412"/>
      <c r="M15" s="412"/>
      <c r="N15" s="412"/>
      <c r="O15" s="122"/>
      <c r="P15" s="122"/>
      <c r="Q15" s="122"/>
      <c r="R15" s="122"/>
      <c r="S15" s="122"/>
      <c r="T15" s="122"/>
      <c r="U15" s="122"/>
      <c r="V15" s="122"/>
      <c r="W15" s="122"/>
      <c r="X15" s="122"/>
      <c r="Y15" s="122"/>
      <c r="Z15" s="122"/>
    </row>
    <row r="16" spans="1:26" ht="15.75" customHeight="1" x14ac:dyDescent="0.2">
      <c r="A16" s="122"/>
      <c r="B16" s="405"/>
      <c r="C16" s="395" t="s">
        <v>18</v>
      </c>
      <c r="D16" s="405"/>
      <c r="E16" s="405"/>
      <c r="F16" s="406">
        <v>0.14899999999999999</v>
      </c>
      <c r="G16" s="405" t="s">
        <v>5</v>
      </c>
      <c r="H16" s="405" t="s">
        <v>19</v>
      </c>
      <c r="I16" s="412"/>
      <c r="J16" s="412"/>
      <c r="K16" s="412"/>
      <c r="L16" s="412"/>
      <c r="M16" s="412"/>
      <c r="N16" s="412"/>
      <c r="O16" s="122"/>
      <c r="P16" s="122"/>
      <c r="Q16" s="122"/>
      <c r="R16" s="122"/>
      <c r="S16" s="122"/>
      <c r="T16" s="122"/>
      <c r="U16" s="122"/>
      <c r="V16" s="122"/>
      <c r="W16" s="122"/>
      <c r="X16" s="122"/>
      <c r="Y16" s="122"/>
      <c r="Z16" s="122"/>
    </row>
    <row r="17" spans="1:26" ht="15.75" customHeight="1" x14ac:dyDescent="0.2">
      <c r="A17" s="122"/>
      <c r="B17" s="410"/>
      <c r="C17" s="411"/>
      <c r="D17" s="412"/>
      <c r="E17" s="412"/>
      <c r="F17" s="412"/>
      <c r="G17" s="412"/>
      <c r="H17" s="412"/>
      <c r="I17" s="412"/>
      <c r="J17" s="412"/>
      <c r="K17" s="412"/>
      <c r="L17" s="412"/>
      <c r="M17" s="412"/>
      <c r="N17" s="412"/>
      <c r="O17" s="122"/>
      <c r="P17" s="122"/>
      <c r="Q17" s="122"/>
      <c r="R17" s="122"/>
      <c r="S17" s="122"/>
      <c r="T17" s="122"/>
      <c r="U17" s="122"/>
      <c r="V17" s="122"/>
      <c r="W17" s="122"/>
      <c r="X17" s="122"/>
      <c r="Y17" s="122"/>
      <c r="Z17" s="122"/>
    </row>
    <row r="18" spans="1:26" ht="15.75" customHeight="1" x14ac:dyDescent="0.2">
      <c r="A18" s="122"/>
      <c r="B18" s="340" t="s">
        <v>20</v>
      </c>
      <c r="C18" s="395"/>
      <c r="D18" s="405"/>
      <c r="E18" s="405"/>
      <c r="F18" s="405"/>
      <c r="G18" s="405"/>
      <c r="H18" s="405"/>
      <c r="I18" s="412"/>
      <c r="J18" s="412"/>
      <c r="K18" s="412"/>
      <c r="L18" s="412"/>
      <c r="M18" s="412"/>
      <c r="N18" s="412"/>
      <c r="O18" s="122"/>
      <c r="P18" s="122"/>
      <c r="Q18" s="122"/>
      <c r="R18" s="122"/>
      <c r="S18" s="122"/>
      <c r="T18" s="122"/>
      <c r="U18" s="122"/>
      <c r="V18" s="122"/>
      <c r="W18" s="122"/>
      <c r="X18" s="122"/>
      <c r="Y18" s="122"/>
      <c r="Z18" s="122"/>
    </row>
    <row r="19" spans="1:26" ht="15.75" customHeight="1" x14ac:dyDescent="0.2">
      <c r="A19" s="122"/>
      <c r="B19" s="405"/>
      <c r="C19" s="395" t="s">
        <v>21</v>
      </c>
      <c r="D19" s="405"/>
      <c r="E19" s="405"/>
      <c r="F19" s="406">
        <v>0.16800000000000001</v>
      </c>
      <c r="G19" s="395" t="s">
        <v>5</v>
      </c>
      <c r="H19" s="405" t="s">
        <v>22</v>
      </c>
      <c r="I19" s="412"/>
      <c r="J19" s="412"/>
      <c r="K19" s="412"/>
      <c r="L19" s="412"/>
      <c r="M19" s="412"/>
      <c r="N19" s="412"/>
      <c r="O19" s="122"/>
      <c r="P19" s="122"/>
      <c r="Q19" s="122"/>
      <c r="R19" s="122"/>
      <c r="S19" s="122"/>
      <c r="T19" s="122"/>
      <c r="U19" s="122"/>
      <c r="V19" s="122"/>
      <c r="W19" s="122"/>
      <c r="X19" s="122"/>
      <c r="Y19" s="122"/>
      <c r="Z19" s="122"/>
    </row>
    <row r="20" spans="1:26" ht="15.75" customHeight="1" x14ac:dyDescent="0.2">
      <c r="A20" s="122"/>
      <c r="B20" s="405"/>
      <c r="C20" s="395" t="s">
        <v>23</v>
      </c>
      <c r="D20" s="405"/>
      <c r="E20" s="405"/>
      <c r="F20" s="413">
        <v>0.12</v>
      </c>
      <c r="G20" s="395" t="s">
        <v>5</v>
      </c>
      <c r="H20" s="405"/>
      <c r="I20" s="412"/>
      <c r="J20" s="412"/>
      <c r="K20" s="412"/>
      <c r="L20" s="412"/>
      <c r="M20" s="412"/>
      <c r="N20" s="412"/>
      <c r="O20" s="122"/>
      <c r="P20" s="122"/>
      <c r="Q20" s="122"/>
      <c r="R20" s="122"/>
      <c r="S20" s="122"/>
      <c r="T20" s="122"/>
      <c r="U20" s="122"/>
      <c r="V20" s="122"/>
      <c r="W20" s="122"/>
      <c r="X20" s="122"/>
      <c r="Y20" s="122"/>
      <c r="Z20" s="122"/>
    </row>
    <row r="21" spans="1:26" customFormat="1" ht="15.75" customHeight="1" x14ac:dyDescent="0.2">
      <c r="A21" s="3"/>
      <c r="B21" s="447"/>
      <c r="C21" s="447"/>
      <c r="D21" s="447"/>
      <c r="E21" s="447"/>
      <c r="F21" s="447"/>
      <c r="G21" s="447"/>
      <c r="H21" s="447"/>
      <c r="I21" s="447"/>
      <c r="J21" s="447"/>
      <c r="K21" s="447"/>
      <c r="L21" s="447"/>
      <c r="M21" s="447"/>
      <c r="N21" s="447"/>
      <c r="O21" s="3"/>
      <c r="P21" s="3"/>
      <c r="Q21" s="3"/>
      <c r="R21" s="3"/>
      <c r="S21" s="3"/>
      <c r="T21" s="3"/>
      <c r="U21" s="3"/>
      <c r="V21" s="3"/>
      <c r="W21" s="3"/>
      <c r="X21" s="3"/>
      <c r="Y21" s="3"/>
      <c r="Z21" s="3"/>
    </row>
    <row r="22" spans="1:26" customFormat="1" ht="15.75" customHeight="1" x14ac:dyDescent="0.2">
      <c r="A22" s="3"/>
      <c r="B22" s="447"/>
      <c r="C22" s="447"/>
      <c r="D22" s="447"/>
      <c r="E22" s="447"/>
      <c r="F22" s="578" t="s">
        <v>44</v>
      </c>
      <c r="G22" s="579"/>
      <c r="H22" s="480"/>
      <c r="I22" s="578" t="s">
        <v>351</v>
      </c>
      <c r="J22" s="579"/>
      <c r="K22" s="579"/>
      <c r="L22" s="3"/>
      <c r="M22" s="3"/>
      <c r="N22" s="3"/>
      <c r="O22" s="3"/>
      <c r="P22" s="3"/>
      <c r="Q22" s="3"/>
      <c r="R22" s="3"/>
      <c r="S22" s="3"/>
      <c r="T22" s="3"/>
      <c r="U22" s="3"/>
      <c r="V22" s="3"/>
      <c r="W22" s="3"/>
      <c r="X22" s="3"/>
      <c r="Y22" s="3"/>
      <c r="Z22" s="3"/>
    </row>
    <row r="23" spans="1:26" customFormat="1" ht="18" customHeight="1" x14ac:dyDescent="0.2">
      <c r="A23" s="3"/>
      <c r="B23" s="452"/>
      <c r="C23" s="447"/>
      <c r="D23" s="447"/>
      <c r="E23" s="447"/>
      <c r="F23" s="414" t="s">
        <v>0</v>
      </c>
      <c r="G23" s="5" t="s">
        <v>1</v>
      </c>
      <c r="H23" s="2"/>
      <c r="I23" s="414" t="s">
        <v>0</v>
      </c>
      <c r="J23" s="5" t="s">
        <v>1</v>
      </c>
      <c r="K23" s="5" t="s">
        <v>2</v>
      </c>
      <c r="L23" s="3"/>
      <c r="M23" s="3"/>
      <c r="N23" s="3"/>
      <c r="O23" s="3"/>
      <c r="P23" s="3"/>
      <c r="Q23" s="3"/>
      <c r="R23" s="3"/>
      <c r="S23" s="3"/>
      <c r="T23" s="3"/>
      <c r="U23" s="3"/>
      <c r="V23" s="3"/>
      <c r="W23" s="3"/>
      <c r="X23" s="3"/>
      <c r="Y23" s="3"/>
      <c r="Z23" s="3"/>
    </row>
    <row r="24" spans="1:26" customFormat="1" ht="18" customHeight="1" x14ac:dyDescent="0.2">
      <c r="A24" s="3"/>
      <c r="B24" s="392" t="s">
        <v>46</v>
      </c>
      <c r="C24" s="455"/>
      <c r="D24" s="455"/>
      <c r="E24" s="455"/>
      <c r="F24" s="455"/>
      <c r="G24" s="5"/>
      <c r="H24" s="2"/>
      <c r="I24" s="455"/>
      <c r="J24" s="5"/>
      <c r="K24" s="5"/>
      <c r="L24" s="3"/>
      <c r="M24" s="3"/>
      <c r="N24" s="3"/>
      <c r="O24" s="3"/>
      <c r="P24" s="3"/>
      <c r="Q24" s="3"/>
      <c r="R24" s="3"/>
      <c r="S24" s="3"/>
      <c r="T24" s="3"/>
      <c r="U24" s="3"/>
      <c r="V24" s="3"/>
      <c r="W24" s="3"/>
      <c r="X24" s="3"/>
      <c r="Y24" s="3"/>
      <c r="Z24" s="3"/>
    </row>
    <row r="25" spans="1:26" ht="15.75" customHeight="1" x14ac:dyDescent="0.2">
      <c r="A25" s="122"/>
      <c r="B25" s="405"/>
      <c r="C25" s="395" t="s">
        <v>47</v>
      </c>
      <c r="D25" s="405"/>
      <c r="E25" s="405"/>
      <c r="F25" s="417">
        <v>1.26</v>
      </c>
      <c r="G25" s="395" t="s">
        <v>48</v>
      </c>
      <c r="H25" s="405" t="s">
        <v>357</v>
      </c>
      <c r="I25" s="407">
        <v>1.26</v>
      </c>
      <c r="J25" s="395" t="s">
        <v>48</v>
      </c>
      <c r="K25" s="405" t="s">
        <v>12</v>
      </c>
      <c r="L25" s="122"/>
      <c r="M25" s="122"/>
      <c r="N25" s="122"/>
      <c r="O25" s="122"/>
      <c r="P25" s="122"/>
      <c r="Q25" s="122"/>
      <c r="R25" s="122"/>
      <c r="S25" s="122"/>
      <c r="T25" s="122"/>
      <c r="U25" s="122"/>
      <c r="V25" s="122"/>
      <c r="W25" s="122"/>
      <c r="X25" s="122"/>
      <c r="Y25" s="122"/>
      <c r="Z25" s="122"/>
    </row>
    <row r="26" spans="1:26" ht="15.75" customHeight="1" x14ac:dyDescent="0.2">
      <c r="A26" s="122"/>
      <c r="B26" s="405"/>
      <c r="C26" s="395" t="s">
        <v>51</v>
      </c>
      <c r="D26" s="405"/>
      <c r="E26" s="405"/>
      <c r="F26" s="395"/>
      <c r="G26" s="395"/>
      <c r="H26" s="405"/>
      <c r="I26" s="417">
        <v>1</v>
      </c>
      <c r="J26" s="395" t="s">
        <v>52</v>
      </c>
      <c r="K26" s="405" t="s">
        <v>12</v>
      </c>
      <c r="L26" s="122"/>
      <c r="M26" s="122"/>
      <c r="N26" s="122"/>
      <c r="O26" s="122"/>
      <c r="P26" s="122"/>
      <c r="Q26" s="122"/>
      <c r="R26" s="122"/>
      <c r="S26" s="122"/>
      <c r="T26" s="122"/>
      <c r="U26" s="122"/>
      <c r="V26" s="122"/>
      <c r="W26" s="122"/>
      <c r="X26" s="122"/>
      <c r="Y26" s="122"/>
      <c r="Z26" s="122"/>
    </row>
    <row r="27" spans="1:26" ht="15.75" customHeight="1" x14ac:dyDescent="0.2">
      <c r="A27" s="122"/>
      <c r="B27" s="405"/>
      <c r="C27" s="395" t="s">
        <v>53</v>
      </c>
      <c r="D27" s="405"/>
      <c r="E27" s="405"/>
      <c r="F27" s="417">
        <v>6.7</v>
      </c>
      <c r="G27" s="395" t="s">
        <v>54</v>
      </c>
      <c r="H27" s="405" t="s">
        <v>358</v>
      </c>
      <c r="I27" s="503">
        <f>F27</f>
        <v>6.7</v>
      </c>
      <c r="J27" s="395" t="s">
        <v>54</v>
      </c>
      <c r="K27" s="582"/>
      <c r="L27" s="122"/>
      <c r="M27" s="122"/>
      <c r="N27" s="122"/>
      <c r="O27" s="122"/>
      <c r="P27" s="122"/>
      <c r="Q27" s="122"/>
      <c r="R27" s="122"/>
      <c r="S27" s="122"/>
      <c r="T27" s="122"/>
      <c r="U27" s="122"/>
      <c r="V27" s="122"/>
      <c r="W27" s="122"/>
      <c r="X27" s="122"/>
      <c r="Y27" s="122"/>
      <c r="Z27" s="122"/>
    </row>
    <row r="28" spans="1:26" ht="15.75" customHeight="1" x14ac:dyDescent="0.2">
      <c r="A28" s="122"/>
      <c r="B28" s="405"/>
      <c r="C28" s="395" t="s">
        <v>359</v>
      </c>
      <c r="D28" s="405"/>
      <c r="E28" s="405"/>
      <c r="F28" s="504">
        <v>392</v>
      </c>
      <c r="G28" s="395" t="s">
        <v>57</v>
      </c>
      <c r="H28" s="405" t="s">
        <v>357</v>
      </c>
      <c r="I28" s="505">
        <f>F28*1.2</f>
        <v>470.4</v>
      </c>
      <c r="J28" s="395" t="s">
        <v>57</v>
      </c>
      <c r="K28" s="405" t="s">
        <v>360</v>
      </c>
      <c r="L28" s="122"/>
      <c r="M28" s="122"/>
      <c r="N28" s="122"/>
      <c r="O28" s="122"/>
      <c r="P28" s="122"/>
      <c r="Q28" s="122"/>
      <c r="R28" s="122"/>
      <c r="S28" s="122"/>
      <c r="T28" s="122"/>
      <c r="U28" s="122"/>
      <c r="V28" s="122"/>
      <c r="W28" s="122"/>
      <c r="X28" s="122"/>
      <c r="Y28" s="122"/>
      <c r="Z28" s="122"/>
    </row>
    <row r="29" spans="1:26" ht="15.75" customHeight="1" x14ac:dyDescent="0.2">
      <c r="A29" s="122"/>
      <c r="B29" s="412"/>
      <c r="C29" s="412"/>
      <c r="D29" s="412"/>
      <c r="E29" s="412"/>
      <c r="F29" s="412"/>
      <c r="G29" s="412"/>
      <c r="H29" s="412"/>
      <c r="I29" s="412"/>
      <c r="J29" s="412"/>
      <c r="K29" s="412"/>
      <c r="L29" s="122"/>
      <c r="M29" s="122"/>
      <c r="N29" s="122"/>
      <c r="O29" s="122"/>
      <c r="P29" s="122"/>
      <c r="Q29" s="122"/>
      <c r="R29" s="122"/>
      <c r="S29" s="122"/>
      <c r="T29" s="122"/>
      <c r="U29" s="122"/>
      <c r="V29" s="122"/>
      <c r="W29" s="122"/>
      <c r="X29" s="122"/>
      <c r="Y29" s="122"/>
      <c r="Z29" s="122"/>
    </row>
    <row r="30" spans="1:26" ht="15.75" customHeight="1" x14ac:dyDescent="0.2">
      <c r="A30" s="122"/>
      <c r="B30" s="340" t="s">
        <v>361</v>
      </c>
      <c r="C30" s="405"/>
      <c r="D30" s="405"/>
      <c r="E30" s="405"/>
      <c r="F30" s="405"/>
      <c r="G30" s="405"/>
      <c r="H30" s="405"/>
      <c r="I30" s="405"/>
      <c r="J30" s="405"/>
      <c r="K30" s="405"/>
      <c r="L30" s="122"/>
      <c r="M30" s="122"/>
      <c r="N30" s="122"/>
      <c r="O30" s="122"/>
      <c r="P30" s="122"/>
      <c r="Q30" s="122"/>
      <c r="R30" s="122"/>
      <c r="S30" s="122"/>
      <c r="T30" s="122"/>
      <c r="U30" s="122"/>
      <c r="V30" s="122"/>
      <c r="W30" s="122"/>
      <c r="X30" s="122"/>
      <c r="Y30" s="122"/>
      <c r="Z30" s="122"/>
    </row>
    <row r="31" spans="1:26" ht="15.75" customHeight="1" x14ac:dyDescent="0.2">
      <c r="A31" s="122"/>
      <c r="B31" s="405"/>
      <c r="C31" s="395" t="s">
        <v>60</v>
      </c>
      <c r="D31" s="405"/>
      <c r="E31" s="405"/>
      <c r="F31" s="417">
        <v>1.1000000000000001</v>
      </c>
      <c r="G31" s="395" t="s">
        <v>61</v>
      </c>
      <c r="H31" s="405" t="s">
        <v>357</v>
      </c>
      <c r="I31" s="418">
        <v>2.5</v>
      </c>
      <c r="J31" s="395" t="s">
        <v>61</v>
      </c>
      <c r="K31" s="405" t="s">
        <v>362</v>
      </c>
      <c r="L31" s="122"/>
      <c r="M31" s="122"/>
      <c r="N31" s="122"/>
      <c r="O31" s="122"/>
      <c r="P31" s="122"/>
      <c r="Q31" s="122"/>
      <c r="R31" s="122"/>
      <c r="S31" s="122"/>
      <c r="T31" s="122"/>
      <c r="U31" s="122"/>
      <c r="V31" s="122"/>
      <c r="W31" s="122"/>
      <c r="X31" s="122"/>
      <c r="Y31" s="122"/>
      <c r="Z31" s="122"/>
    </row>
    <row r="32" spans="1:26" ht="15.75" customHeight="1" x14ac:dyDescent="0.2">
      <c r="A32" s="122"/>
      <c r="B32" s="405"/>
      <c r="C32" s="395" t="s">
        <v>63</v>
      </c>
      <c r="D32" s="405"/>
      <c r="E32" s="405"/>
      <c r="F32" s="395"/>
      <c r="G32" s="395"/>
      <c r="H32" s="405"/>
      <c r="I32" s="423">
        <v>5</v>
      </c>
      <c r="J32" s="395" t="s">
        <v>61</v>
      </c>
      <c r="K32" s="405" t="s">
        <v>362</v>
      </c>
      <c r="L32" s="122"/>
      <c r="M32" s="122"/>
      <c r="N32" s="122"/>
      <c r="O32" s="122"/>
      <c r="P32" s="122"/>
      <c r="Q32" s="122"/>
      <c r="R32" s="122"/>
      <c r="S32" s="122"/>
      <c r="T32" s="122"/>
      <c r="U32" s="122"/>
      <c r="V32" s="122"/>
      <c r="W32" s="122"/>
      <c r="X32" s="122"/>
      <c r="Y32" s="122"/>
      <c r="Z32" s="122"/>
    </row>
    <row r="33" spans="1:26" ht="15.75" customHeight="1" x14ac:dyDescent="0.2">
      <c r="A33" s="122"/>
      <c r="B33" s="405"/>
      <c r="C33" s="395" t="s">
        <v>65</v>
      </c>
      <c r="D33" s="405"/>
      <c r="E33" s="405"/>
      <c r="F33" s="417">
        <v>0</v>
      </c>
      <c r="G33" s="395" t="s">
        <v>66</v>
      </c>
      <c r="H33" s="405"/>
      <c r="I33" s="395"/>
      <c r="J33" s="395" t="s">
        <v>66</v>
      </c>
      <c r="K33" s="405"/>
      <c r="L33" s="122"/>
      <c r="M33" s="122"/>
      <c r="N33" s="122"/>
      <c r="O33" s="122"/>
      <c r="P33" s="122"/>
      <c r="Q33" s="122"/>
      <c r="R33" s="122"/>
      <c r="S33" s="122"/>
      <c r="T33" s="122"/>
      <c r="U33" s="122"/>
      <c r="V33" s="122"/>
      <c r="W33" s="122"/>
      <c r="X33" s="122"/>
      <c r="Y33" s="122"/>
      <c r="Z33" s="122"/>
    </row>
    <row r="34" spans="1:26" ht="15.75" customHeight="1" x14ac:dyDescent="0.2">
      <c r="A34" s="122"/>
      <c r="B34" s="405"/>
      <c r="C34" s="395" t="s">
        <v>67</v>
      </c>
      <c r="D34" s="405"/>
      <c r="E34" s="405"/>
      <c r="F34" s="395"/>
      <c r="G34" s="395" t="s">
        <v>66</v>
      </c>
      <c r="H34" s="405"/>
      <c r="I34" s="395"/>
      <c r="J34" s="395" t="s">
        <v>66</v>
      </c>
      <c r="K34" s="405"/>
      <c r="L34" s="122"/>
      <c r="M34" s="122"/>
      <c r="N34" s="122"/>
      <c r="O34" s="122"/>
      <c r="P34" s="122"/>
      <c r="Q34" s="122"/>
      <c r="R34" s="122"/>
      <c r="S34" s="122"/>
      <c r="T34" s="122"/>
      <c r="U34" s="122"/>
      <c r="V34" s="122"/>
      <c r="W34" s="122"/>
      <c r="X34" s="122"/>
      <c r="Y34" s="122"/>
      <c r="Z34" s="122"/>
    </row>
    <row r="35" spans="1:26" ht="15.75" customHeight="1" x14ac:dyDescent="0.2">
      <c r="A35" s="122"/>
      <c r="B35" s="405"/>
      <c r="C35" s="395" t="s">
        <v>363</v>
      </c>
      <c r="D35" s="405"/>
      <c r="E35" s="405"/>
      <c r="F35" s="408">
        <v>2.5999999999999999E-2</v>
      </c>
      <c r="G35" s="395" t="s">
        <v>69</v>
      </c>
      <c r="H35" s="405" t="s">
        <v>364</v>
      </c>
      <c r="I35" s="508"/>
      <c r="J35" s="395"/>
      <c r="K35" s="405"/>
      <c r="L35" s="122"/>
      <c r="M35" s="122"/>
      <c r="N35" s="122"/>
      <c r="O35" s="122"/>
      <c r="P35" s="122"/>
      <c r="Q35" s="122"/>
      <c r="R35" s="122"/>
      <c r="S35" s="122"/>
      <c r="T35" s="122"/>
      <c r="U35" s="122"/>
      <c r="V35" s="122"/>
      <c r="W35" s="122"/>
      <c r="X35" s="122"/>
      <c r="Y35" s="122"/>
      <c r="Z35" s="122"/>
    </row>
    <row r="36" spans="1:26" ht="15.75" customHeight="1" x14ac:dyDescent="0.2">
      <c r="A36" s="122"/>
      <c r="B36" s="405"/>
      <c r="C36" s="395" t="s">
        <v>365</v>
      </c>
      <c r="D36" s="405"/>
      <c r="E36" s="405"/>
      <c r="F36" s="509"/>
      <c r="G36" s="395"/>
      <c r="H36" s="405"/>
      <c r="I36" s="419">
        <v>0.04</v>
      </c>
      <c r="J36" s="395" t="s">
        <v>69</v>
      </c>
      <c r="K36" s="405" t="s">
        <v>366</v>
      </c>
      <c r="L36" s="122"/>
      <c r="M36" s="122"/>
      <c r="N36" s="122"/>
      <c r="O36" s="122"/>
      <c r="P36" s="122"/>
      <c r="Q36" s="122"/>
      <c r="R36" s="122"/>
      <c r="S36" s="122"/>
      <c r="T36" s="122"/>
      <c r="U36" s="122"/>
      <c r="V36" s="122"/>
      <c r="W36" s="122"/>
      <c r="X36" s="122"/>
      <c r="Y36" s="122"/>
      <c r="Z36" s="122"/>
    </row>
    <row r="37" spans="1:26" ht="15.75" customHeight="1" x14ac:dyDescent="0.2">
      <c r="A37" s="122"/>
      <c r="B37" s="405"/>
      <c r="C37" s="395" t="s">
        <v>73</v>
      </c>
      <c r="D37" s="405"/>
      <c r="E37" s="405"/>
      <c r="F37" s="510">
        <v>9.8000000000000004E-2</v>
      </c>
      <c r="G37" s="395" t="s">
        <v>69</v>
      </c>
      <c r="H37" s="405" t="s">
        <v>367</v>
      </c>
      <c r="I37" s="511">
        <f>F37</f>
        <v>9.8000000000000004E-2</v>
      </c>
      <c r="J37" s="395" t="s">
        <v>69</v>
      </c>
      <c r="K37" s="405"/>
      <c r="L37" s="122"/>
      <c r="M37" s="122"/>
      <c r="N37" s="122"/>
      <c r="O37" s="122"/>
      <c r="P37" s="122"/>
      <c r="Q37" s="122"/>
      <c r="R37" s="122"/>
      <c r="S37" s="122"/>
      <c r="T37" s="122"/>
      <c r="U37" s="122"/>
      <c r="V37" s="122"/>
      <c r="W37" s="122"/>
      <c r="X37" s="122"/>
      <c r="Y37" s="122"/>
      <c r="Z37" s="122"/>
    </row>
    <row r="38" spans="1:26" ht="15.75" customHeight="1" x14ac:dyDescent="0.2">
      <c r="A38" s="122"/>
      <c r="B38" s="412"/>
      <c r="C38" s="411"/>
      <c r="D38" s="412"/>
      <c r="E38" s="412"/>
      <c r="F38" s="412"/>
      <c r="G38" s="412"/>
      <c r="H38" s="412"/>
      <c r="I38" s="412"/>
      <c r="J38" s="412"/>
      <c r="K38" s="412"/>
      <c r="L38" s="122"/>
      <c r="M38" s="122"/>
      <c r="N38" s="122"/>
      <c r="O38" s="122"/>
      <c r="P38" s="122"/>
      <c r="Q38" s="122"/>
      <c r="R38" s="122"/>
      <c r="S38" s="122"/>
      <c r="T38" s="122"/>
      <c r="U38" s="122"/>
      <c r="V38" s="122"/>
      <c r="W38" s="122"/>
      <c r="X38" s="122"/>
      <c r="Y38" s="122"/>
      <c r="Z38" s="122"/>
    </row>
    <row r="39" spans="1:26" ht="15.75" customHeight="1" x14ac:dyDescent="0.2">
      <c r="A39" s="122"/>
      <c r="B39" s="340" t="s">
        <v>76</v>
      </c>
      <c r="C39" s="395"/>
      <c r="D39" s="405"/>
      <c r="E39" s="405"/>
      <c r="F39" s="405"/>
      <c r="G39" s="405"/>
      <c r="H39" s="405"/>
      <c r="I39" s="405"/>
      <c r="J39" s="405"/>
      <c r="K39" s="405"/>
      <c r="L39" s="122"/>
      <c r="M39" s="122"/>
      <c r="N39" s="122"/>
      <c r="O39" s="122"/>
      <c r="P39" s="122"/>
      <c r="Q39" s="122"/>
      <c r="R39" s="122"/>
      <c r="S39" s="122"/>
      <c r="T39" s="122"/>
      <c r="U39" s="122"/>
      <c r="V39" s="122"/>
      <c r="W39" s="122"/>
      <c r="X39" s="122"/>
      <c r="Y39" s="122"/>
      <c r="Z39" s="122"/>
    </row>
    <row r="40" spans="1:26" ht="15.75" customHeight="1" x14ac:dyDescent="0.2">
      <c r="A40" s="122"/>
      <c r="B40" s="405"/>
      <c r="C40" s="395" t="s">
        <v>272</v>
      </c>
      <c r="D40" s="405"/>
      <c r="E40" s="405"/>
      <c r="F40" s="436">
        <v>5.5</v>
      </c>
      <c r="G40" s="395" t="s">
        <v>77</v>
      </c>
      <c r="H40" s="405" t="s">
        <v>357</v>
      </c>
      <c r="I40" s="507">
        <f>F40*1.5</f>
        <v>8.25</v>
      </c>
      <c r="J40" s="395" t="s">
        <v>77</v>
      </c>
      <c r="K40" s="405" t="s">
        <v>368</v>
      </c>
      <c r="L40" s="122"/>
      <c r="M40" s="122"/>
      <c r="N40" s="122"/>
      <c r="O40" s="122"/>
      <c r="P40" s="122"/>
      <c r="Q40" s="122"/>
      <c r="R40" s="122"/>
      <c r="S40" s="122"/>
      <c r="T40" s="122"/>
      <c r="U40" s="122"/>
      <c r="V40" s="122"/>
      <c r="W40" s="122"/>
      <c r="X40" s="122"/>
      <c r="Y40" s="122"/>
      <c r="Z40" s="122"/>
    </row>
    <row r="41" spans="1:26" ht="15.75" customHeight="1" x14ac:dyDescent="0.2">
      <c r="A41" s="122"/>
      <c r="B41" s="405"/>
      <c r="C41" s="395" t="s">
        <v>273</v>
      </c>
      <c r="D41" s="405"/>
      <c r="E41" s="405"/>
      <c r="F41" s="442">
        <v>4.0999999999999996</v>
      </c>
      <c r="G41" s="395" t="s">
        <v>77</v>
      </c>
      <c r="H41" s="405" t="s">
        <v>357</v>
      </c>
      <c r="I41" s="507">
        <f>F41*2</f>
        <v>8.1999999999999993</v>
      </c>
      <c r="J41" s="395" t="s">
        <v>77</v>
      </c>
      <c r="K41" s="405"/>
      <c r="L41" s="122"/>
      <c r="M41" s="122"/>
      <c r="N41" s="122"/>
      <c r="O41" s="122"/>
      <c r="P41" s="122"/>
      <c r="Q41" s="122"/>
      <c r="R41" s="122"/>
      <c r="S41" s="122"/>
      <c r="T41" s="122"/>
      <c r="U41" s="122"/>
      <c r="V41" s="122"/>
      <c r="W41" s="122"/>
      <c r="X41" s="122"/>
      <c r="Y41" s="122"/>
      <c r="Z41" s="122"/>
    </row>
    <row r="42" spans="1:26" ht="12.75" x14ac:dyDescent="0.2">
      <c r="A42" s="122"/>
      <c r="B42" s="405"/>
      <c r="C42" s="395" t="s">
        <v>274</v>
      </c>
      <c r="D42" s="405"/>
      <c r="E42" s="405"/>
      <c r="F42" s="442">
        <v>3</v>
      </c>
      <c r="G42" s="395" t="s">
        <v>77</v>
      </c>
      <c r="H42" s="405" t="s">
        <v>357</v>
      </c>
      <c r="I42" s="507">
        <f>F42</f>
        <v>3</v>
      </c>
      <c r="J42" s="395" t="s">
        <v>77</v>
      </c>
      <c r="K42" s="405" t="s">
        <v>369</v>
      </c>
      <c r="L42" s="122"/>
      <c r="M42" s="122"/>
      <c r="N42" s="122"/>
      <c r="O42" s="122"/>
      <c r="P42" s="122"/>
      <c r="Q42" s="122"/>
      <c r="R42" s="122"/>
      <c r="S42" s="122"/>
      <c r="T42" s="122"/>
      <c r="U42" s="122"/>
      <c r="V42" s="122"/>
      <c r="W42" s="122"/>
      <c r="X42" s="122"/>
      <c r="Y42" s="122"/>
      <c r="Z42" s="122"/>
    </row>
    <row r="43" spans="1:26" ht="12.75" x14ac:dyDescent="0.2">
      <c r="A43" s="122"/>
      <c r="B43" s="405"/>
      <c r="C43" s="395" t="s">
        <v>275</v>
      </c>
      <c r="D43" s="405"/>
      <c r="E43" s="405"/>
      <c r="F43" s="512">
        <v>7.5</v>
      </c>
      <c r="G43" s="395" t="s">
        <v>77</v>
      </c>
      <c r="H43" s="405" t="s">
        <v>357</v>
      </c>
      <c r="I43" s="513">
        <f>F43*(I31/F31)</f>
        <v>17.045454545454543</v>
      </c>
      <c r="J43" s="395" t="s">
        <v>77</v>
      </c>
      <c r="K43" s="405"/>
      <c r="L43" s="122"/>
      <c r="M43" s="122"/>
      <c r="N43" s="122"/>
      <c r="O43" s="122"/>
      <c r="P43" s="122"/>
      <c r="Q43" s="122"/>
      <c r="R43" s="122"/>
      <c r="S43" s="122"/>
      <c r="T43" s="122"/>
      <c r="U43" s="122"/>
      <c r="V43" s="122"/>
      <c r="W43" s="122"/>
      <c r="X43" s="122"/>
      <c r="Y43" s="122"/>
      <c r="Z43" s="122"/>
    </row>
    <row r="44" spans="1:26" ht="12.75" x14ac:dyDescent="0.2">
      <c r="A44" s="122"/>
      <c r="B44" s="405"/>
      <c r="C44" s="391" t="s">
        <v>290</v>
      </c>
      <c r="D44" s="405"/>
      <c r="E44" s="405"/>
      <c r="F44" s="512">
        <v>6.5</v>
      </c>
      <c r="G44" s="395" t="s">
        <v>77</v>
      </c>
      <c r="H44" s="405" t="s">
        <v>357</v>
      </c>
      <c r="I44" s="513">
        <f>F44*1.5</f>
        <v>9.75</v>
      </c>
      <c r="J44" s="395"/>
      <c r="K44" s="405"/>
      <c r="L44" s="122"/>
      <c r="M44" s="122"/>
      <c r="N44" s="122"/>
      <c r="O44" s="122"/>
      <c r="P44" s="122"/>
      <c r="Q44" s="122"/>
      <c r="R44" s="122"/>
      <c r="S44" s="122"/>
      <c r="T44" s="122"/>
      <c r="U44" s="122"/>
      <c r="V44" s="122"/>
      <c r="W44" s="122"/>
      <c r="X44" s="122"/>
      <c r="Y44" s="122"/>
      <c r="Z44" s="122"/>
    </row>
    <row r="45" spans="1:26" ht="12.75" x14ac:dyDescent="0.2">
      <c r="A45" s="122"/>
      <c r="B45" s="405"/>
      <c r="C45" s="391" t="s">
        <v>277</v>
      </c>
      <c r="D45" s="405"/>
      <c r="E45" s="405"/>
      <c r="F45" s="438">
        <v>32.9</v>
      </c>
      <c r="G45" s="395" t="s">
        <v>77</v>
      </c>
      <c r="H45" s="405" t="s">
        <v>357</v>
      </c>
      <c r="I45" s="513">
        <f>F45</f>
        <v>32.9</v>
      </c>
      <c r="J45" s="395" t="s">
        <v>77</v>
      </c>
      <c r="K45" s="405"/>
      <c r="L45" s="122"/>
      <c r="M45" s="122"/>
      <c r="N45" s="122"/>
      <c r="O45" s="122"/>
      <c r="P45" s="122"/>
      <c r="Q45" s="122"/>
      <c r="R45" s="122"/>
      <c r="S45" s="122"/>
      <c r="T45" s="122"/>
      <c r="U45" s="122"/>
      <c r="V45" s="122"/>
      <c r="W45" s="122"/>
      <c r="X45" s="122"/>
      <c r="Y45" s="122"/>
      <c r="Z45" s="122"/>
    </row>
    <row r="46" spans="1:26" ht="12.75" x14ac:dyDescent="0.2">
      <c r="A46" s="122"/>
      <c r="B46" s="405"/>
      <c r="C46" s="391" t="s">
        <v>276</v>
      </c>
      <c r="D46" s="405"/>
      <c r="E46" s="405"/>
      <c r="F46" s="417">
        <v>0</v>
      </c>
      <c r="G46" s="393" t="s">
        <v>86</v>
      </c>
      <c r="H46" s="405"/>
      <c r="I46" s="436">
        <v>20</v>
      </c>
      <c r="J46" s="395" t="s">
        <v>86</v>
      </c>
      <c r="K46" s="405" t="s">
        <v>370</v>
      </c>
      <c r="L46" s="122"/>
      <c r="M46" s="122"/>
      <c r="N46" s="122"/>
      <c r="O46" s="122"/>
      <c r="P46" s="122"/>
      <c r="Q46" s="122"/>
      <c r="R46" s="122"/>
      <c r="S46" s="122"/>
      <c r="T46" s="122"/>
      <c r="U46" s="122"/>
      <c r="V46" s="122"/>
      <c r="W46" s="122"/>
      <c r="X46" s="122"/>
      <c r="Y46" s="122"/>
      <c r="Z46" s="122"/>
    </row>
    <row r="47" spans="1:26" ht="12.75" x14ac:dyDescent="0.2">
      <c r="A47" s="122"/>
      <c r="B47" s="405"/>
      <c r="C47" s="391" t="s">
        <v>757</v>
      </c>
      <c r="D47" s="405"/>
      <c r="E47" s="405"/>
      <c r="F47" s="417">
        <v>0</v>
      </c>
      <c r="G47" s="395" t="s">
        <v>487</v>
      </c>
      <c r="H47" s="405"/>
      <c r="I47" s="436">
        <v>4</v>
      </c>
      <c r="J47" s="395" t="s">
        <v>487</v>
      </c>
      <c r="K47" s="405"/>
      <c r="L47" s="122"/>
      <c r="M47" s="122"/>
      <c r="N47" s="122"/>
      <c r="O47" s="122"/>
      <c r="P47" s="122"/>
      <c r="Q47" s="122"/>
      <c r="R47" s="122"/>
      <c r="S47" s="122"/>
      <c r="T47" s="122"/>
      <c r="U47" s="122"/>
      <c r="V47" s="122"/>
      <c r="W47" s="122"/>
      <c r="X47" s="122"/>
      <c r="Y47" s="122"/>
      <c r="Z47" s="122"/>
    </row>
    <row r="48" spans="1:26" ht="12.75" x14ac:dyDescent="0.2">
      <c r="A48" s="122"/>
      <c r="B48" s="405"/>
      <c r="C48" s="391" t="s">
        <v>206</v>
      </c>
      <c r="D48" s="405"/>
      <c r="E48" s="405"/>
      <c r="F48" s="438">
        <v>1085.4102564102564</v>
      </c>
      <c r="G48" s="395" t="s">
        <v>87</v>
      </c>
      <c r="H48" s="405" t="s">
        <v>357</v>
      </c>
      <c r="I48" s="514">
        <f t="shared" ref="I48:I53" si="0">F48</f>
        <v>1085.4102564102564</v>
      </c>
      <c r="J48" s="395" t="s">
        <v>87</v>
      </c>
      <c r="K48" s="405"/>
      <c r="L48" s="122"/>
      <c r="M48" s="122"/>
      <c r="N48" s="122"/>
      <c r="O48" s="122"/>
      <c r="P48" s="122"/>
      <c r="Q48" s="122"/>
      <c r="R48" s="122"/>
      <c r="S48" s="122"/>
      <c r="T48" s="122"/>
      <c r="U48" s="122"/>
      <c r="V48" s="122"/>
      <c r="W48" s="122"/>
      <c r="X48" s="122"/>
      <c r="Y48" s="122"/>
      <c r="Z48" s="122"/>
    </row>
    <row r="49" spans="1:26" ht="12.75" x14ac:dyDescent="0.2">
      <c r="A49" s="122"/>
      <c r="B49" s="405"/>
      <c r="C49" s="391" t="s">
        <v>205</v>
      </c>
      <c r="D49" s="405"/>
      <c r="E49" s="405"/>
      <c r="F49" s="438">
        <v>805.36111111111109</v>
      </c>
      <c r="G49" s="395" t="s">
        <v>87</v>
      </c>
      <c r="H49" s="405" t="s">
        <v>357</v>
      </c>
      <c r="I49" s="514">
        <f t="shared" si="0"/>
        <v>805.36111111111109</v>
      </c>
      <c r="J49" s="395" t="s">
        <v>87</v>
      </c>
      <c r="K49" s="405"/>
      <c r="L49" s="122"/>
      <c r="M49" s="122"/>
      <c r="N49" s="122"/>
      <c r="O49" s="122"/>
      <c r="P49" s="122"/>
      <c r="Q49" s="122"/>
      <c r="R49" s="122"/>
      <c r="S49" s="122"/>
      <c r="T49" s="122"/>
      <c r="U49" s="122"/>
      <c r="V49" s="122"/>
      <c r="W49" s="122"/>
      <c r="X49" s="122"/>
      <c r="Y49" s="122"/>
      <c r="Z49" s="122"/>
    </row>
    <row r="50" spans="1:26" ht="12.75" x14ac:dyDescent="0.2">
      <c r="A50" s="122"/>
      <c r="B50" s="405"/>
      <c r="C50" s="391" t="s">
        <v>203</v>
      </c>
      <c r="D50" s="405"/>
      <c r="E50" s="405"/>
      <c r="F50" s="438">
        <v>1178.2432432432431</v>
      </c>
      <c r="G50" s="395" t="s">
        <v>87</v>
      </c>
      <c r="H50" s="405" t="s">
        <v>357</v>
      </c>
      <c r="I50" s="514">
        <f t="shared" si="0"/>
        <v>1178.2432432432431</v>
      </c>
      <c r="J50" s="395" t="s">
        <v>87</v>
      </c>
      <c r="K50" s="405"/>
      <c r="L50" s="122"/>
      <c r="M50" s="122"/>
      <c r="N50" s="122"/>
      <c r="O50" s="122"/>
      <c r="P50" s="122"/>
      <c r="Q50" s="122"/>
      <c r="R50" s="122"/>
      <c r="S50" s="122"/>
      <c r="T50" s="122"/>
      <c r="U50" s="122"/>
      <c r="V50" s="122"/>
      <c r="W50" s="122"/>
      <c r="X50" s="122"/>
      <c r="Y50" s="122"/>
      <c r="Z50" s="122"/>
    </row>
    <row r="51" spans="1:26" ht="12.75" x14ac:dyDescent="0.2">
      <c r="A51" s="122"/>
      <c r="B51" s="405"/>
      <c r="C51" s="391" t="s">
        <v>204</v>
      </c>
      <c r="D51" s="405"/>
      <c r="E51" s="405"/>
      <c r="F51" s="438">
        <v>876.03896456437292</v>
      </c>
      <c r="G51" s="395" t="s">
        <v>87</v>
      </c>
      <c r="H51" s="405" t="s">
        <v>357</v>
      </c>
      <c r="I51" s="514">
        <f t="shared" si="0"/>
        <v>876.03896456437292</v>
      </c>
      <c r="J51" s="395" t="s">
        <v>87</v>
      </c>
      <c r="K51" s="405"/>
      <c r="L51" s="122"/>
      <c r="M51" s="122"/>
      <c r="N51" s="122"/>
      <c r="O51" s="122"/>
      <c r="P51" s="122"/>
      <c r="Q51" s="122"/>
      <c r="R51" s="122"/>
      <c r="S51" s="122"/>
      <c r="T51" s="122"/>
      <c r="U51" s="122"/>
      <c r="V51" s="122"/>
      <c r="W51" s="122"/>
      <c r="X51" s="122"/>
      <c r="Y51" s="122"/>
      <c r="Z51" s="122"/>
    </row>
    <row r="52" spans="1:26" ht="12.75" x14ac:dyDescent="0.2">
      <c r="A52" s="122"/>
      <c r="B52" s="405"/>
      <c r="C52" s="391" t="s">
        <v>291</v>
      </c>
      <c r="D52" s="405"/>
      <c r="E52" s="405"/>
      <c r="F52" s="438">
        <v>870.70653377630128</v>
      </c>
      <c r="G52" s="395" t="s">
        <v>87</v>
      </c>
      <c r="H52" s="405" t="s">
        <v>357</v>
      </c>
      <c r="I52" s="514">
        <f t="shared" si="0"/>
        <v>870.70653377630128</v>
      </c>
      <c r="J52" s="395" t="s">
        <v>87</v>
      </c>
      <c r="K52" s="405"/>
      <c r="L52" s="122"/>
      <c r="M52" s="122"/>
      <c r="N52" s="122"/>
      <c r="O52" s="122"/>
      <c r="P52" s="122"/>
      <c r="Q52" s="122"/>
      <c r="R52" s="122"/>
      <c r="S52" s="122"/>
      <c r="T52" s="122"/>
      <c r="U52" s="122"/>
      <c r="V52" s="122"/>
      <c r="W52" s="122"/>
      <c r="X52" s="122"/>
      <c r="Y52" s="122"/>
      <c r="Z52" s="122"/>
    </row>
    <row r="53" spans="1:26" ht="12.75" x14ac:dyDescent="0.2">
      <c r="A53" s="122"/>
      <c r="B53" s="405"/>
      <c r="C53" s="391" t="s">
        <v>271</v>
      </c>
      <c r="D53" s="405"/>
      <c r="E53" s="405"/>
      <c r="F53" s="438">
        <v>592.2263084650582</v>
      </c>
      <c r="G53" s="395" t="s">
        <v>87</v>
      </c>
      <c r="H53" s="405" t="s">
        <v>357</v>
      </c>
      <c r="I53" s="514">
        <f t="shared" si="0"/>
        <v>592.2263084650582</v>
      </c>
      <c r="J53" s="395" t="s">
        <v>87</v>
      </c>
      <c r="K53" s="405"/>
      <c r="L53" s="122"/>
      <c r="M53" s="122"/>
      <c r="N53" s="122"/>
      <c r="O53" s="122"/>
      <c r="P53" s="122"/>
      <c r="Q53" s="122"/>
      <c r="R53" s="122"/>
      <c r="S53" s="122"/>
      <c r="T53" s="122"/>
      <c r="U53" s="122"/>
      <c r="V53" s="122"/>
      <c r="W53" s="122"/>
      <c r="X53" s="122"/>
      <c r="Y53" s="122"/>
      <c r="Z53" s="122"/>
    </row>
    <row r="54" spans="1:26" ht="12.75" x14ac:dyDescent="0.2">
      <c r="A54" s="122"/>
      <c r="B54" s="405"/>
      <c r="C54" s="395" t="s">
        <v>89</v>
      </c>
      <c r="D54" s="405"/>
      <c r="E54" s="405"/>
      <c r="F54" s="431">
        <v>0</v>
      </c>
      <c r="G54" s="429" t="s">
        <v>69</v>
      </c>
      <c r="H54" s="430"/>
      <c r="I54" s="429"/>
      <c r="J54" s="429"/>
      <c r="K54" s="430"/>
      <c r="L54" s="122"/>
      <c r="M54" s="122"/>
      <c r="N54" s="122"/>
      <c r="O54" s="122"/>
      <c r="P54" s="122"/>
      <c r="Q54" s="122"/>
      <c r="R54" s="122"/>
      <c r="S54" s="122"/>
      <c r="T54" s="122"/>
      <c r="U54" s="122"/>
      <c r="V54" s="122"/>
      <c r="W54" s="122"/>
      <c r="X54" s="122"/>
      <c r="Y54" s="122"/>
      <c r="Z54" s="122"/>
    </row>
    <row r="55" spans="1:26" ht="12.75" x14ac:dyDescent="0.2">
      <c r="A55" s="122"/>
      <c r="B55" s="412"/>
      <c r="C55" s="412"/>
      <c r="D55" s="412"/>
      <c r="E55" s="412"/>
      <c r="F55" s="412"/>
      <c r="G55" s="412"/>
      <c r="H55" s="412"/>
      <c r="I55" s="412"/>
      <c r="J55" s="412"/>
      <c r="K55" s="412"/>
      <c r="L55" s="122"/>
      <c r="M55" s="122"/>
      <c r="N55" s="122"/>
      <c r="O55" s="122"/>
      <c r="P55" s="122"/>
      <c r="Q55" s="122"/>
      <c r="R55" s="122"/>
      <c r="S55" s="122"/>
      <c r="T55" s="122"/>
      <c r="U55" s="122"/>
      <c r="V55" s="122"/>
      <c r="W55" s="122"/>
      <c r="X55" s="122"/>
      <c r="Y55" s="122"/>
      <c r="Z55" s="122"/>
    </row>
    <row r="56" spans="1:26" ht="12.75" x14ac:dyDescent="0.2">
      <c r="A56" s="122"/>
      <c r="B56" s="389" t="s">
        <v>215</v>
      </c>
      <c r="C56" s="432"/>
      <c r="D56" s="432"/>
      <c r="E56" s="432"/>
      <c r="F56" s="432"/>
      <c r="G56" s="432"/>
      <c r="H56" s="432"/>
      <c r="I56" s="432"/>
      <c r="J56" s="432"/>
      <c r="K56" s="432"/>
      <c r="L56" s="122"/>
      <c r="M56" s="122"/>
      <c r="N56" s="122"/>
      <c r="O56" s="122"/>
      <c r="P56" s="122"/>
      <c r="Q56" s="122"/>
      <c r="R56" s="122"/>
      <c r="S56" s="122"/>
      <c r="T56" s="122"/>
      <c r="U56" s="122"/>
      <c r="V56" s="122"/>
      <c r="W56" s="122"/>
      <c r="X56" s="122"/>
      <c r="Y56" s="122"/>
      <c r="Z56" s="122"/>
    </row>
    <row r="57" spans="1:26" ht="12.75" x14ac:dyDescent="0.2">
      <c r="A57" s="122"/>
      <c r="B57" s="422"/>
      <c r="C57" s="395" t="s">
        <v>110</v>
      </c>
      <c r="D57" s="405"/>
      <c r="E57" s="405"/>
      <c r="F57" s="517">
        <v>4936</v>
      </c>
      <c r="G57" s="395" t="s">
        <v>111</v>
      </c>
      <c r="H57" s="405" t="s">
        <v>357</v>
      </c>
      <c r="I57" s="518">
        <f>F57</f>
        <v>4936</v>
      </c>
      <c r="J57" s="395" t="s">
        <v>111</v>
      </c>
      <c r="K57" s="405"/>
      <c r="L57" s="122"/>
      <c r="M57" s="122"/>
      <c r="N57" s="122"/>
      <c r="O57" s="122"/>
      <c r="P57" s="122"/>
      <c r="Q57" s="122"/>
      <c r="R57" s="122"/>
      <c r="S57" s="122"/>
      <c r="T57" s="122"/>
      <c r="U57" s="122"/>
      <c r="V57" s="122"/>
      <c r="W57" s="122"/>
      <c r="X57" s="122"/>
      <c r="Y57" s="122"/>
      <c r="Z57" s="122"/>
    </row>
    <row r="58" spans="1:26" ht="12.75" x14ac:dyDescent="0.2">
      <c r="A58" s="122"/>
      <c r="B58" s="390"/>
      <c r="C58" s="391" t="s">
        <v>286</v>
      </c>
      <c r="D58" s="333"/>
      <c r="E58" s="333"/>
      <c r="F58" s="434">
        <v>0.5</v>
      </c>
      <c r="G58" s="333" t="s">
        <v>759</v>
      </c>
      <c r="H58" s="333" t="s">
        <v>760</v>
      </c>
      <c r="I58" s="333"/>
      <c r="J58" s="333"/>
      <c r="K58" s="333"/>
      <c r="L58" s="122"/>
      <c r="M58" s="122"/>
      <c r="N58" s="122"/>
      <c r="O58" s="122"/>
      <c r="P58" s="122"/>
      <c r="Q58" s="122"/>
      <c r="R58" s="122"/>
      <c r="S58" s="122"/>
      <c r="T58" s="122"/>
      <c r="U58" s="122"/>
      <c r="V58" s="122"/>
      <c r="W58" s="122"/>
      <c r="X58" s="122"/>
      <c r="Y58" s="122"/>
      <c r="Z58" s="122"/>
    </row>
    <row r="59" spans="1:26" ht="12.75" x14ac:dyDescent="0.2">
      <c r="A59" s="122"/>
      <c r="B59" s="390"/>
      <c r="C59" s="432" t="s">
        <v>283</v>
      </c>
      <c r="D59" s="390"/>
      <c r="E59" s="390"/>
      <c r="F59" s="435">
        <v>3313</v>
      </c>
      <c r="G59" s="390" t="s">
        <v>758</v>
      </c>
      <c r="H59" s="405" t="s">
        <v>357</v>
      </c>
      <c r="I59" s="390"/>
      <c r="J59" s="390"/>
      <c r="K59" s="405"/>
      <c r="L59" s="122"/>
      <c r="M59" s="122"/>
      <c r="N59" s="122"/>
      <c r="O59" s="122"/>
      <c r="P59" s="122"/>
      <c r="Q59" s="122"/>
      <c r="R59" s="122"/>
      <c r="S59" s="122"/>
      <c r="T59" s="122"/>
      <c r="U59" s="122"/>
      <c r="V59" s="122"/>
      <c r="W59" s="122"/>
      <c r="X59" s="122"/>
      <c r="Y59" s="122"/>
      <c r="Z59" s="122"/>
    </row>
    <row r="60" spans="1:26" ht="12.75" x14ac:dyDescent="0.2">
      <c r="A60" s="122"/>
      <c r="B60" s="412"/>
      <c r="C60" s="412"/>
      <c r="D60" s="412"/>
      <c r="E60" s="412"/>
      <c r="F60" s="412"/>
      <c r="G60" s="412"/>
      <c r="H60" s="412"/>
      <c r="I60" s="412"/>
      <c r="J60" s="412"/>
      <c r="K60" s="412"/>
      <c r="L60" s="122"/>
      <c r="M60" s="122"/>
      <c r="N60" s="122"/>
      <c r="O60" s="122"/>
      <c r="P60" s="122"/>
      <c r="Q60" s="122"/>
      <c r="R60" s="122"/>
      <c r="S60" s="122"/>
      <c r="T60" s="122"/>
      <c r="U60" s="122"/>
      <c r="V60" s="122"/>
      <c r="W60" s="122"/>
      <c r="X60" s="122"/>
      <c r="Y60" s="122"/>
      <c r="Z60" s="122"/>
    </row>
    <row r="61" spans="1:26" ht="12.75" x14ac:dyDescent="0.2">
      <c r="A61" s="122"/>
      <c r="B61" s="340" t="s">
        <v>91</v>
      </c>
      <c r="C61" s="405"/>
      <c r="D61" s="405"/>
      <c r="E61" s="405"/>
      <c r="F61" s="405"/>
      <c r="G61" s="405"/>
      <c r="H61" s="405"/>
      <c r="I61" s="405"/>
      <c r="J61" s="405"/>
      <c r="K61" s="405"/>
      <c r="L61" s="122"/>
      <c r="M61" s="122"/>
      <c r="N61" s="122"/>
      <c r="O61" s="122"/>
      <c r="P61" s="122"/>
      <c r="Q61" s="122"/>
      <c r="R61" s="122"/>
      <c r="S61" s="122"/>
      <c r="T61" s="122"/>
      <c r="U61" s="122"/>
      <c r="V61" s="122"/>
      <c r="W61" s="122"/>
      <c r="X61" s="122"/>
      <c r="Y61" s="122"/>
      <c r="Z61" s="122"/>
    </row>
    <row r="62" spans="1:26" ht="12.75" x14ac:dyDescent="0.2">
      <c r="A62" s="122"/>
      <c r="B62" s="405"/>
      <c r="C62" s="395" t="s">
        <v>92</v>
      </c>
      <c r="D62" s="405"/>
      <c r="E62" s="405"/>
      <c r="F62" s="417">
        <v>40</v>
      </c>
      <c r="G62" s="395" t="s">
        <v>93</v>
      </c>
      <c r="H62" s="405" t="s">
        <v>357</v>
      </c>
      <c r="I62" s="436">
        <v>5</v>
      </c>
      <c r="J62" s="395" t="s">
        <v>93</v>
      </c>
      <c r="K62" s="405" t="s">
        <v>371</v>
      </c>
      <c r="L62" s="122"/>
      <c r="M62" s="122"/>
      <c r="N62" s="122"/>
      <c r="O62" s="122"/>
      <c r="P62" s="122"/>
      <c r="Q62" s="122"/>
      <c r="R62" s="122"/>
      <c r="S62" s="122"/>
      <c r="T62" s="122"/>
      <c r="U62" s="122"/>
      <c r="V62" s="122"/>
      <c r="W62" s="122"/>
      <c r="X62" s="122"/>
      <c r="Y62" s="122"/>
      <c r="Z62" s="122"/>
    </row>
    <row r="63" spans="1:26" ht="12.75" x14ac:dyDescent="0.2">
      <c r="A63" s="122"/>
      <c r="B63" s="405"/>
      <c r="C63" s="395" t="s">
        <v>96</v>
      </c>
      <c r="D63" s="405"/>
      <c r="E63" s="405"/>
      <c r="F63" s="519">
        <v>10</v>
      </c>
      <c r="G63" s="395" t="s">
        <v>93</v>
      </c>
      <c r="H63" s="405" t="s">
        <v>357</v>
      </c>
      <c r="I63" s="436">
        <v>25</v>
      </c>
      <c r="J63" s="395" t="s">
        <v>93</v>
      </c>
      <c r="K63" s="405" t="s">
        <v>372</v>
      </c>
      <c r="L63" s="122"/>
      <c r="M63" s="122"/>
      <c r="N63" s="122"/>
      <c r="O63" s="122"/>
      <c r="P63" s="122"/>
      <c r="Q63" s="122"/>
      <c r="R63" s="122"/>
      <c r="S63" s="122"/>
      <c r="T63" s="122"/>
      <c r="U63" s="122"/>
      <c r="V63" s="122"/>
      <c r="W63" s="122"/>
      <c r="X63" s="122"/>
      <c r="Y63" s="122"/>
      <c r="Z63" s="122"/>
    </row>
    <row r="64" spans="1:26" ht="12.75" x14ac:dyDescent="0.2">
      <c r="A64" s="122"/>
      <c r="B64" s="405"/>
      <c r="C64" s="395" t="s">
        <v>99</v>
      </c>
      <c r="D64" s="405"/>
      <c r="E64" s="405"/>
      <c r="F64" s="421">
        <v>26.233928571428571</v>
      </c>
      <c r="G64" s="395" t="s">
        <v>93</v>
      </c>
      <c r="H64" s="405" t="s">
        <v>357</v>
      </c>
      <c r="I64" s="436">
        <v>300</v>
      </c>
      <c r="J64" s="395" t="s">
        <v>93</v>
      </c>
      <c r="K64" s="405" t="s">
        <v>372</v>
      </c>
      <c r="L64" s="122"/>
      <c r="M64" s="122"/>
      <c r="N64" s="122"/>
      <c r="O64" s="122"/>
      <c r="P64" s="122"/>
      <c r="Q64" s="122"/>
      <c r="R64" s="122"/>
      <c r="S64" s="122"/>
      <c r="T64" s="122"/>
      <c r="U64" s="122"/>
      <c r="V64" s="122"/>
      <c r="W64" s="122"/>
      <c r="X64" s="122"/>
      <c r="Y64" s="122"/>
      <c r="Z64" s="122"/>
    </row>
    <row r="65" spans="1:26" ht="12.75" x14ac:dyDescent="0.2">
      <c r="A65" s="122"/>
      <c r="B65" s="405"/>
      <c r="C65" s="395" t="s">
        <v>102</v>
      </c>
      <c r="D65" s="405"/>
      <c r="E65" s="405"/>
      <c r="F65" s="421">
        <v>77</v>
      </c>
      <c r="G65" s="395" t="s">
        <v>93</v>
      </c>
      <c r="H65" s="405" t="s">
        <v>357</v>
      </c>
      <c r="I65" s="436">
        <v>100</v>
      </c>
      <c r="J65" s="395" t="s">
        <v>93</v>
      </c>
      <c r="K65" s="405" t="s">
        <v>372</v>
      </c>
      <c r="L65" s="122"/>
      <c r="M65" s="122"/>
      <c r="N65" s="122"/>
      <c r="O65" s="122"/>
      <c r="P65" s="122"/>
      <c r="Q65" s="122"/>
      <c r="R65" s="122"/>
      <c r="S65" s="122"/>
      <c r="T65" s="122"/>
      <c r="U65" s="122"/>
      <c r="V65" s="122"/>
      <c r="W65" s="122"/>
      <c r="X65" s="122"/>
      <c r="Y65" s="122"/>
      <c r="Z65" s="122"/>
    </row>
    <row r="66" spans="1:26" ht="12.75" x14ac:dyDescent="0.2">
      <c r="A66" s="122"/>
      <c r="B66" s="405"/>
      <c r="C66" s="395" t="s">
        <v>105</v>
      </c>
      <c r="D66" s="405"/>
      <c r="E66" s="405"/>
      <c r="F66" s="417">
        <v>0.4</v>
      </c>
      <c r="G66" s="395" t="s">
        <v>106</v>
      </c>
      <c r="H66" s="405" t="s">
        <v>357</v>
      </c>
      <c r="I66" s="423">
        <v>4</v>
      </c>
      <c r="J66" s="395" t="s">
        <v>106</v>
      </c>
      <c r="K66" s="405" t="s">
        <v>372</v>
      </c>
      <c r="L66" s="122"/>
      <c r="M66" s="122"/>
      <c r="N66" s="122"/>
      <c r="O66" s="122"/>
      <c r="P66" s="122"/>
      <c r="Q66" s="122"/>
      <c r="R66" s="122"/>
      <c r="S66" s="122"/>
      <c r="T66" s="122"/>
      <c r="U66" s="122"/>
      <c r="V66" s="122"/>
      <c r="W66" s="122"/>
      <c r="X66" s="122"/>
      <c r="Y66" s="122"/>
      <c r="Z66" s="122"/>
    </row>
    <row r="67" spans="1:26" ht="12.75" x14ac:dyDescent="0.2">
      <c r="A67" s="122"/>
      <c r="B67" s="405"/>
      <c r="C67" s="395" t="s">
        <v>108</v>
      </c>
      <c r="D67" s="405"/>
      <c r="E67" s="405"/>
      <c r="F67" s="417">
        <v>50</v>
      </c>
      <c r="G67" s="395" t="s">
        <v>311</v>
      </c>
      <c r="H67" s="405"/>
      <c r="I67" s="520"/>
      <c r="J67" s="395"/>
      <c r="K67" s="405"/>
      <c r="L67" s="122"/>
      <c r="M67" s="122"/>
      <c r="N67" s="122"/>
      <c r="O67" s="122"/>
      <c r="P67" s="122"/>
      <c r="Q67" s="122"/>
      <c r="R67" s="122"/>
      <c r="S67" s="122"/>
      <c r="T67" s="122"/>
      <c r="U67" s="122"/>
      <c r="V67" s="122"/>
      <c r="W67" s="122"/>
      <c r="X67" s="122"/>
      <c r="Y67" s="122"/>
      <c r="Z67" s="122"/>
    </row>
    <row r="68" spans="1:26" ht="12.75" x14ac:dyDescent="0.2">
      <c r="A68" s="122"/>
      <c r="B68" s="412"/>
      <c r="C68" s="412"/>
      <c r="D68" s="412"/>
      <c r="E68" s="412"/>
      <c r="F68" s="412"/>
      <c r="G68" s="412"/>
      <c r="H68" s="412"/>
      <c r="I68" s="412"/>
      <c r="J68" s="412"/>
      <c r="K68" s="412"/>
      <c r="L68" s="122"/>
      <c r="M68" s="122"/>
      <c r="N68" s="122"/>
      <c r="O68" s="122"/>
      <c r="P68" s="122"/>
      <c r="Q68" s="122"/>
      <c r="R68" s="122"/>
      <c r="S68" s="122"/>
      <c r="T68" s="122"/>
      <c r="U68" s="122"/>
      <c r="V68" s="122"/>
      <c r="W68" s="122"/>
      <c r="X68" s="122"/>
      <c r="Y68" s="122"/>
      <c r="Z68" s="122"/>
    </row>
    <row r="69" spans="1:26" ht="12.75" x14ac:dyDescent="0.2">
      <c r="A69" s="122"/>
      <c r="B69" s="340" t="s">
        <v>109</v>
      </c>
      <c r="C69" s="405"/>
      <c r="D69" s="405"/>
      <c r="E69" s="405"/>
      <c r="F69" s="405"/>
      <c r="G69" s="405"/>
      <c r="H69" s="405"/>
      <c r="I69" s="405"/>
      <c r="J69" s="405"/>
      <c r="K69" s="405"/>
      <c r="L69" s="122"/>
      <c r="M69" s="122"/>
      <c r="N69" s="122"/>
      <c r="O69" s="122"/>
      <c r="P69" s="122"/>
      <c r="Q69" s="122"/>
      <c r="R69" s="122"/>
      <c r="S69" s="122"/>
      <c r="T69" s="122"/>
      <c r="U69" s="122"/>
      <c r="V69" s="122"/>
      <c r="W69" s="122"/>
      <c r="X69" s="122"/>
      <c r="Y69" s="122"/>
      <c r="Z69" s="122"/>
    </row>
    <row r="70" spans="1:26" ht="12.75" x14ac:dyDescent="0.2">
      <c r="A70" s="122"/>
      <c r="B70" s="405"/>
      <c r="C70" s="391" t="s">
        <v>92</v>
      </c>
      <c r="D70" s="405"/>
      <c r="E70" s="405"/>
      <c r="F70" s="521">
        <f>F90</f>
        <v>62.067017988999993</v>
      </c>
      <c r="G70" s="395" t="s">
        <v>113</v>
      </c>
      <c r="H70" s="395" t="s">
        <v>1047</v>
      </c>
      <c r="I70" s="516">
        <f>I90</f>
        <v>59.067017988999993</v>
      </c>
      <c r="J70" s="395" t="s">
        <v>113</v>
      </c>
      <c r="K70" s="405"/>
      <c r="L70" s="122"/>
      <c r="M70" s="122"/>
      <c r="N70" s="122"/>
      <c r="O70" s="122"/>
      <c r="P70" s="122"/>
      <c r="Q70" s="122"/>
      <c r="R70" s="122"/>
      <c r="S70" s="122"/>
      <c r="T70" s="122"/>
      <c r="U70" s="122"/>
      <c r="V70" s="122"/>
      <c r="W70" s="122"/>
      <c r="X70" s="122"/>
      <c r="Y70" s="122"/>
      <c r="Z70" s="122"/>
    </row>
    <row r="71" spans="1:26" ht="12.75" x14ac:dyDescent="0.2">
      <c r="A71" s="122"/>
      <c r="B71" s="405"/>
      <c r="C71" s="395" t="s">
        <v>96</v>
      </c>
      <c r="D71" s="405"/>
      <c r="E71" s="405"/>
      <c r="F71" s="519">
        <v>250</v>
      </c>
      <c r="G71" s="395" t="s">
        <v>113</v>
      </c>
      <c r="H71" s="405" t="s">
        <v>357</v>
      </c>
      <c r="I71" s="515">
        <f>F71</f>
        <v>250</v>
      </c>
      <c r="J71" s="395" t="s">
        <v>113</v>
      </c>
      <c r="K71" s="405"/>
      <c r="L71" s="122"/>
      <c r="M71" s="122"/>
      <c r="N71" s="122"/>
      <c r="O71" s="122"/>
      <c r="P71" s="122"/>
      <c r="Q71" s="122"/>
      <c r="R71" s="122"/>
      <c r="S71" s="122"/>
      <c r="T71" s="122"/>
      <c r="U71" s="122"/>
      <c r="V71" s="122"/>
      <c r="W71" s="122"/>
      <c r="X71" s="122"/>
      <c r="Y71" s="122"/>
      <c r="Z71" s="122"/>
    </row>
    <row r="72" spans="1:26" ht="12.75" x14ac:dyDescent="0.2">
      <c r="A72" s="122"/>
      <c r="B72" s="405"/>
      <c r="C72" s="395" t="s">
        <v>99</v>
      </c>
      <c r="D72" s="405"/>
      <c r="E72" s="405"/>
      <c r="F72" s="823">
        <v>0.60399999999999998</v>
      </c>
      <c r="G72" s="838" t="s">
        <v>1038</v>
      </c>
      <c r="H72" s="837"/>
      <c r="I72" s="848">
        <f>F72</f>
        <v>0.60399999999999998</v>
      </c>
      <c r="J72" s="838" t="s">
        <v>1038</v>
      </c>
      <c r="K72" s="405"/>
      <c r="L72" s="122"/>
      <c r="M72" s="122"/>
      <c r="N72" s="122"/>
      <c r="O72" s="122"/>
      <c r="P72" s="122"/>
      <c r="Q72" s="122"/>
      <c r="R72" s="122"/>
      <c r="S72" s="122"/>
      <c r="T72" s="122"/>
      <c r="U72" s="122"/>
      <c r="V72" s="122"/>
      <c r="W72" s="122"/>
      <c r="X72" s="122"/>
      <c r="Y72" s="122"/>
      <c r="Z72" s="122"/>
    </row>
    <row r="73" spans="1:26" ht="12.75" x14ac:dyDescent="0.2">
      <c r="A73" s="122"/>
      <c r="B73" s="405"/>
      <c r="C73" s="395" t="s">
        <v>102</v>
      </c>
      <c r="D73" s="405"/>
      <c r="E73" s="405"/>
      <c r="F73" s="847">
        <v>0.60899999999999999</v>
      </c>
      <c r="G73" s="838" t="s">
        <v>1038</v>
      </c>
      <c r="H73" s="837"/>
      <c r="I73" s="848">
        <f>F73</f>
        <v>0.60899999999999999</v>
      </c>
      <c r="J73" s="838" t="s">
        <v>1038</v>
      </c>
      <c r="K73" s="405"/>
      <c r="L73" s="122"/>
      <c r="M73" s="122"/>
      <c r="N73" s="122"/>
      <c r="O73" s="122"/>
      <c r="P73" s="122"/>
      <c r="Q73" s="122"/>
      <c r="R73" s="122"/>
      <c r="S73" s="122"/>
      <c r="T73" s="122"/>
      <c r="U73" s="122"/>
      <c r="V73" s="122"/>
      <c r="W73" s="122"/>
      <c r="X73" s="122"/>
      <c r="Y73" s="122"/>
      <c r="Z73" s="122"/>
    </row>
    <row r="74" spans="1:26" ht="12.75" x14ac:dyDescent="0.2">
      <c r="A74" s="122"/>
      <c r="B74" s="405"/>
      <c r="C74" s="395" t="s">
        <v>105</v>
      </c>
      <c r="D74" s="405"/>
      <c r="E74" s="405"/>
      <c r="F74" s="833">
        <v>6.4726792075215265</v>
      </c>
      <c r="G74" s="395" t="s">
        <v>1039</v>
      </c>
      <c r="H74" s="405" t="s">
        <v>357</v>
      </c>
      <c r="I74" s="516">
        <f>F74</f>
        <v>6.4726792075215265</v>
      </c>
      <c r="J74" s="395" t="s">
        <v>1039</v>
      </c>
      <c r="K74" s="405"/>
      <c r="L74" s="122"/>
      <c r="M74" s="122"/>
      <c r="N74" s="122"/>
      <c r="O74" s="122"/>
      <c r="P74" s="122"/>
      <c r="Q74" s="122"/>
      <c r="R74" s="122"/>
      <c r="S74" s="122"/>
      <c r="T74" s="122"/>
      <c r="U74" s="122"/>
      <c r="V74" s="122"/>
      <c r="W74" s="122"/>
      <c r="X74" s="122"/>
      <c r="Y74" s="122"/>
      <c r="Z74" s="122"/>
    </row>
    <row r="75" spans="1:26" ht="12.75" x14ac:dyDescent="0.2">
      <c r="A75" s="122"/>
      <c r="B75" s="405"/>
      <c r="C75" s="395" t="s">
        <v>108</v>
      </c>
      <c r="D75" s="405"/>
      <c r="E75" s="405"/>
      <c r="F75" s="442">
        <v>100</v>
      </c>
      <c r="G75" s="395" t="s">
        <v>124</v>
      </c>
      <c r="H75" s="422" t="s">
        <v>126</v>
      </c>
      <c r="I75" s="516">
        <f>F75</f>
        <v>100</v>
      </c>
      <c r="J75" s="395" t="s">
        <v>124</v>
      </c>
      <c r="K75" s="582"/>
      <c r="L75" s="122"/>
      <c r="M75" s="122"/>
      <c r="N75" s="122"/>
      <c r="O75" s="122"/>
      <c r="P75" s="122"/>
      <c r="Q75" s="122"/>
      <c r="R75" s="122"/>
      <c r="S75" s="122"/>
      <c r="T75" s="122"/>
      <c r="U75" s="122"/>
      <c r="V75" s="122"/>
      <c r="W75" s="122"/>
      <c r="X75" s="122"/>
      <c r="Y75" s="122"/>
      <c r="Z75" s="122"/>
    </row>
    <row r="76" spans="1:26" ht="12.75" x14ac:dyDescent="0.2">
      <c r="A76" s="122"/>
      <c r="B76" s="405"/>
      <c r="C76" s="395" t="s">
        <v>263</v>
      </c>
      <c r="D76" s="405"/>
      <c r="E76" s="405"/>
      <c r="F76" s="431">
        <v>0</v>
      </c>
      <c r="G76" s="429" t="s">
        <v>69</v>
      </c>
      <c r="H76" s="430"/>
      <c r="I76" s="429"/>
      <c r="J76" s="429"/>
      <c r="K76" s="430"/>
      <c r="L76" s="122"/>
      <c r="M76" s="122"/>
      <c r="N76" s="122"/>
      <c r="O76" s="122"/>
      <c r="P76" s="122"/>
      <c r="Q76" s="122"/>
      <c r="R76" s="122"/>
      <c r="S76" s="122"/>
      <c r="T76" s="122"/>
      <c r="U76" s="122"/>
      <c r="V76" s="122"/>
      <c r="W76" s="122"/>
      <c r="X76" s="122"/>
      <c r="Y76" s="122"/>
      <c r="Z76" s="122"/>
    </row>
    <row r="77" spans="1:26" customFormat="1" ht="12.75" x14ac:dyDescent="0.2">
      <c r="A77" s="3"/>
      <c r="B77" s="2"/>
      <c r="C77" s="393" t="s">
        <v>911</v>
      </c>
      <c r="D77" s="2"/>
      <c r="E77" s="2"/>
      <c r="F77" s="478">
        <v>0</v>
      </c>
      <c r="G77" s="475" t="s">
        <v>5</v>
      </c>
      <c r="H77" s="473"/>
      <c r="I77" s="475"/>
      <c r="J77" s="475"/>
      <c r="K77" s="473" t="s">
        <v>912</v>
      </c>
      <c r="L77" s="3"/>
      <c r="M77" s="3"/>
      <c r="N77" s="3"/>
      <c r="O77" s="3"/>
      <c r="P77" s="3"/>
      <c r="Q77" s="3"/>
      <c r="R77" s="3"/>
      <c r="S77" s="3"/>
      <c r="T77" s="3"/>
      <c r="U77" s="3"/>
      <c r="V77" s="3"/>
      <c r="W77" s="3"/>
      <c r="X77" s="3"/>
      <c r="Y77" s="3"/>
      <c r="Z77" s="3"/>
    </row>
    <row r="78" spans="1:26" ht="12.75" x14ac:dyDescent="0.2">
      <c r="A78" s="122"/>
      <c r="B78" s="412"/>
      <c r="C78" s="412"/>
      <c r="D78" s="412"/>
      <c r="E78" s="412"/>
      <c r="F78" s="412"/>
      <c r="G78" s="412"/>
      <c r="H78" s="412"/>
      <c r="I78" s="412"/>
      <c r="J78" s="412"/>
      <c r="K78" s="412"/>
      <c r="L78" s="122"/>
      <c r="M78" s="122"/>
      <c r="N78" s="122"/>
      <c r="O78" s="122"/>
      <c r="P78" s="122"/>
      <c r="Q78" s="122"/>
      <c r="R78" s="122"/>
      <c r="S78" s="122"/>
      <c r="T78" s="122"/>
      <c r="U78" s="122"/>
      <c r="V78" s="122"/>
      <c r="W78" s="122"/>
      <c r="X78" s="122"/>
      <c r="Y78" s="122"/>
      <c r="Z78" s="122"/>
    </row>
    <row r="79" spans="1:26" ht="12.75" x14ac:dyDescent="0.2">
      <c r="A79" s="122"/>
      <c r="B79" s="340" t="s">
        <v>130</v>
      </c>
      <c r="C79" s="522"/>
      <c r="D79" s="405"/>
      <c r="E79" s="405"/>
      <c r="F79" s="405"/>
      <c r="G79" s="395"/>
      <c r="H79" s="405"/>
      <c r="I79" s="405"/>
      <c r="J79" s="395"/>
      <c r="K79" s="405"/>
      <c r="L79" s="122"/>
      <c r="M79" s="122"/>
      <c r="N79" s="122"/>
      <c r="O79" s="122"/>
      <c r="P79" s="122"/>
      <c r="Q79" s="122"/>
      <c r="R79" s="122"/>
      <c r="S79" s="122"/>
      <c r="T79" s="122"/>
      <c r="U79" s="122"/>
      <c r="V79" s="122"/>
      <c r="W79" s="122"/>
      <c r="X79" s="122"/>
      <c r="Y79" s="122"/>
      <c r="Z79" s="122"/>
    </row>
    <row r="80" spans="1:26" ht="12.75" x14ac:dyDescent="0.2">
      <c r="A80" s="122"/>
      <c r="B80" s="405"/>
      <c r="C80" s="395" t="s">
        <v>373</v>
      </c>
      <c r="D80" s="405"/>
      <c r="E80" s="405"/>
      <c r="F80" s="523"/>
      <c r="G80" s="391"/>
      <c r="H80" s="422"/>
      <c r="I80" s="523"/>
      <c r="J80" s="391"/>
      <c r="K80" s="422"/>
      <c r="L80" s="122"/>
      <c r="M80" s="122"/>
      <c r="N80" s="122"/>
      <c r="O80" s="122"/>
      <c r="P80" s="122"/>
      <c r="Q80" s="122"/>
      <c r="R80" s="122"/>
      <c r="S80" s="122"/>
      <c r="T80" s="122"/>
      <c r="U80" s="122"/>
      <c r="V80" s="122"/>
      <c r="W80" s="122"/>
      <c r="X80" s="122"/>
      <c r="Y80" s="122"/>
      <c r="Z80" s="122"/>
    </row>
    <row r="81" spans="1:26" ht="12.75" x14ac:dyDescent="0.2">
      <c r="A81" s="122"/>
      <c r="B81" s="405"/>
      <c r="C81" s="395" t="s">
        <v>374</v>
      </c>
      <c r="D81" s="405"/>
      <c r="E81" s="405"/>
      <c r="F81" s="523"/>
      <c r="G81" s="391"/>
      <c r="H81" s="422"/>
      <c r="I81" s="523"/>
      <c r="J81" s="391"/>
      <c r="K81" s="422"/>
      <c r="L81" s="122"/>
      <c r="M81" s="122"/>
      <c r="N81" s="122"/>
      <c r="O81" s="122"/>
      <c r="P81" s="122"/>
      <c r="Q81" s="122"/>
      <c r="R81" s="122"/>
      <c r="S81" s="122"/>
      <c r="T81" s="122"/>
      <c r="U81" s="122"/>
      <c r="V81" s="122"/>
      <c r="W81" s="122"/>
      <c r="X81" s="122"/>
      <c r="Y81" s="122"/>
      <c r="Z81" s="122"/>
    </row>
    <row r="82" spans="1:26" ht="12.75" x14ac:dyDescent="0.2">
      <c r="A82" s="122"/>
      <c r="B82" s="412"/>
      <c r="C82" s="412"/>
      <c r="D82" s="412"/>
      <c r="E82" s="412"/>
      <c r="F82" s="412"/>
      <c r="G82" s="412"/>
      <c r="H82" s="412"/>
      <c r="I82" s="412"/>
      <c r="J82" s="412"/>
      <c r="K82" s="412"/>
      <c r="L82" s="122"/>
      <c r="M82" s="122"/>
      <c r="N82" s="122"/>
      <c r="O82" s="122"/>
      <c r="P82" s="122"/>
      <c r="Q82" s="122"/>
      <c r="R82" s="122"/>
      <c r="S82" s="122"/>
      <c r="T82" s="122"/>
      <c r="U82" s="122"/>
      <c r="V82" s="122"/>
      <c r="W82" s="122"/>
      <c r="X82" s="122"/>
      <c r="Y82" s="122"/>
      <c r="Z82" s="122"/>
    </row>
    <row r="83" spans="1:26" ht="12.75" x14ac:dyDescent="0.2">
      <c r="A83" s="122"/>
      <c r="B83" s="439" t="s">
        <v>287</v>
      </c>
      <c r="C83" s="390"/>
      <c r="D83" s="390"/>
      <c r="E83" s="390"/>
      <c r="F83" s="390"/>
      <c r="G83" s="390"/>
      <c r="H83" s="390"/>
      <c r="I83" s="390"/>
      <c r="J83" s="390"/>
      <c r="K83" s="390"/>
      <c r="L83" s="122"/>
      <c r="M83" s="122"/>
      <c r="N83" s="122"/>
      <c r="O83" s="122"/>
      <c r="P83" s="122"/>
      <c r="Q83" s="122"/>
      <c r="R83" s="122"/>
      <c r="S83" s="122"/>
      <c r="T83" s="122"/>
      <c r="U83" s="122"/>
      <c r="V83" s="122"/>
      <c r="W83" s="122"/>
      <c r="X83" s="122"/>
      <c r="Y83" s="122"/>
      <c r="Z83" s="122"/>
    </row>
    <row r="84" spans="1:26" ht="12.75" x14ac:dyDescent="0.2">
      <c r="A84" s="122"/>
      <c r="B84" s="390"/>
      <c r="C84" s="432" t="s">
        <v>375</v>
      </c>
      <c r="D84" s="390"/>
      <c r="E84" s="390"/>
      <c r="F84" s="440">
        <f>2928/F31</f>
        <v>2661.8181818181815</v>
      </c>
      <c r="G84" s="390" t="s">
        <v>288</v>
      </c>
      <c r="H84" s="405" t="s">
        <v>357</v>
      </c>
      <c r="I84" s="440">
        <f>F84</f>
        <v>2661.8181818181815</v>
      </c>
      <c r="J84" s="390" t="s">
        <v>288</v>
      </c>
      <c r="K84" s="405"/>
      <c r="L84" s="122"/>
      <c r="M84" s="122"/>
      <c r="N84" s="122"/>
      <c r="O84" s="122"/>
      <c r="P84" s="122"/>
      <c r="Q84" s="122"/>
      <c r="R84" s="122"/>
      <c r="S84" s="122"/>
      <c r="T84" s="122"/>
      <c r="U84" s="122"/>
      <c r="V84" s="122"/>
      <c r="W84" s="122"/>
      <c r="X84" s="122"/>
      <c r="Y84" s="122"/>
      <c r="Z84" s="122"/>
    </row>
    <row r="85" spans="1:26" ht="12.75" x14ac:dyDescent="0.2">
      <c r="A85" s="122"/>
      <c r="B85" s="390"/>
      <c r="C85" s="432" t="s">
        <v>284</v>
      </c>
      <c r="D85" s="390"/>
      <c r="E85" s="390"/>
      <c r="F85" s="440">
        <f>954/F31</f>
        <v>867.27272727272725</v>
      </c>
      <c r="G85" s="390" t="s">
        <v>288</v>
      </c>
      <c r="H85" s="405" t="s">
        <v>357</v>
      </c>
      <c r="I85" s="440">
        <f>F85</f>
        <v>867.27272727272725</v>
      </c>
      <c r="J85" s="390" t="s">
        <v>288</v>
      </c>
      <c r="K85" s="405"/>
      <c r="L85" s="122"/>
      <c r="M85" s="122"/>
      <c r="N85" s="122"/>
      <c r="O85" s="122"/>
      <c r="P85" s="122"/>
      <c r="Q85" s="122"/>
      <c r="R85" s="122"/>
      <c r="S85" s="122"/>
      <c r="T85" s="122"/>
      <c r="U85" s="122"/>
      <c r="V85" s="122"/>
      <c r="W85" s="122"/>
      <c r="X85" s="122"/>
      <c r="Y85" s="122"/>
      <c r="Z85" s="122"/>
    </row>
    <row r="86" spans="1:26" ht="12.75" x14ac:dyDescent="0.2">
      <c r="A86" s="122"/>
      <c r="B86" s="412"/>
      <c r="C86" s="412"/>
      <c r="D86" s="412"/>
      <c r="E86" s="412"/>
      <c r="F86" s="412"/>
      <c r="G86" s="412"/>
      <c r="H86" s="412"/>
      <c r="I86" s="412"/>
      <c r="J86" s="412"/>
      <c r="K86" s="412"/>
      <c r="L86" s="122"/>
      <c r="M86" s="122"/>
      <c r="N86" s="122"/>
      <c r="O86" s="122"/>
      <c r="P86" s="122"/>
      <c r="Q86" s="122"/>
      <c r="R86" s="122"/>
      <c r="S86" s="122"/>
      <c r="T86" s="122"/>
      <c r="U86" s="122"/>
      <c r="V86" s="122"/>
      <c r="W86" s="122"/>
      <c r="X86" s="122"/>
      <c r="Y86" s="122"/>
      <c r="Z86" s="122"/>
    </row>
    <row r="87" spans="1:26" ht="12.75" x14ac:dyDescent="0.2">
      <c r="A87" s="122"/>
      <c r="B87" s="340" t="s">
        <v>131</v>
      </c>
      <c r="C87" s="405"/>
      <c r="D87" s="405"/>
      <c r="E87" s="405"/>
      <c r="F87" s="395"/>
      <c r="G87" s="405"/>
      <c r="H87" s="405"/>
      <c r="I87" s="405"/>
      <c r="J87" s="405"/>
      <c r="K87" s="405"/>
      <c r="L87" s="122"/>
      <c r="M87" s="122"/>
      <c r="N87" s="122"/>
      <c r="O87" s="122"/>
      <c r="P87" s="122"/>
      <c r="Q87" s="122"/>
      <c r="R87" s="122"/>
      <c r="S87" s="122"/>
      <c r="T87" s="122"/>
      <c r="U87" s="122"/>
      <c r="V87" s="122"/>
      <c r="W87" s="122"/>
      <c r="X87" s="122"/>
      <c r="Y87" s="122"/>
      <c r="Z87" s="122"/>
    </row>
    <row r="88" spans="1:26" ht="12.75" x14ac:dyDescent="0.2">
      <c r="A88" s="122"/>
      <c r="B88" s="405"/>
      <c r="C88" s="395" t="s">
        <v>376</v>
      </c>
      <c r="D88" s="405"/>
      <c r="E88" s="405"/>
      <c r="F88" s="521">
        <f>51*(1.079)^3</f>
        <v>64.067017988999993</v>
      </c>
      <c r="G88" s="395" t="s">
        <v>113</v>
      </c>
      <c r="H88" s="405" t="s">
        <v>747</v>
      </c>
      <c r="I88" s="524">
        <f>F88</f>
        <v>64.067017988999993</v>
      </c>
      <c r="J88" s="395" t="s">
        <v>113</v>
      </c>
      <c r="K88" s="405"/>
      <c r="L88" s="122"/>
      <c r="M88" s="122"/>
      <c r="N88" s="122"/>
      <c r="O88" s="122"/>
      <c r="P88" s="122"/>
      <c r="Q88" s="122"/>
      <c r="R88" s="122"/>
      <c r="S88" s="122"/>
      <c r="T88" s="122"/>
      <c r="U88" s="122"/>
      <c r="V88" s="122"/>
      <c r="W88" s="122"/>
      <c r="X88" s="122"/>
      <c r="Y88" s="122"/>
      <c r="Z88" s="122"/>
    </row>
    <row r="89" spans="1:26" ht="12.75" x14ac:dyDescent="0.2">
      <c r="A89" s="122"/>
      <c r="B89" s="405"/>
      <c r="C89" s="395" t="s">
        <v>133</v>
      </c>
      <c r="D89" s="405"/>
      <c r="E89" s="405"/>
      <c r="F89" s="417">
        <f>100/50</f>
        <v>2</v>
      </c>
      <c r="G89" s="395" t="s">
        <v>113</v>
      </c>
      <c r="H89" s="422" t="s">
        <v>748</v>
      </c>
      <c r="I89" s="417">
        <f>250/50</f>
        <v>5</v>
      </c>
      <c r="J89" s="395" t="s">
        <v>113</v>
      </c>
      <c r="K89" s="422"/>
      <c r="L89" s="122"/>
      <c r="M89" s="122"/>
      <c r="N89" s="122"/>
      <c r="O89" s="122"/>
      <c r="P89" s="122"/>
      <c r="Q89" s="122"/>
      <c r="R89" s="122"/>
      <c r="S89" s="122"/>
      <c r="T89" s="122"/>
      <c r="U89" s="122"/>
      <c r="V89" s="122"/>
      <c r="W89" s="122"/>
      <c r="X89" s="122"/>
      <c r="Y89" s="122"/>
      <c r="Z89" s="122"/>
    </row>
    <row r="90" spans="1:26" ht="12.75" x14ac:dyDescent="0.2">
      <c r="A90" s="122"/>
      <c r="B90" s="405"/>
      <c r="C90" s="391" t="s">
        <v>378</v>
      </c>
      <c r="D90" s="422"/>
      <c r="E90" s="422"/>
      <c r="F90" s="525">
        <f>F88-F89</f>
        <v>62.067017988999993</v>
      </c>
      <c r="G90" s="391" t="s">
        <v>113</v>
      </c>
      <c r="H90" s="422"/>
      <c r="I90" s="525">
        <f>I88-I89</f>
        <v>59.067017988999993</v>
      </c>
      <c r="J90" s="391" t="s">
        <v>113</v>
      </c>
      <c r="K90" s="422"/>
      <c r="L90" s="122"/>
      <c r="M90" s="122"/>
      <c r="N90" s="122"/>
      <c r="O90" s="122"/>
      <c r="P90" s="122"/>
      <c r="Q90" s="122"/>
      <c r="R90" s="122"/>
      <c r="S90" s="122"/>
      <c r="T90" s="122"/>
      <c r="U90" s="122"/>
      <c r="V90" s="122"/>
      <c r="W90" s="122"/>
      <c r="X90" s="122"/>
      <c r="Y90" s="122"/>
      <c r="Z90" s="122"/>
    </row>
    <row r="91" spans="1:26" ht="12.75" x14ac:dyDescent="0.2">
      <c r="A91" s="122"/>
      <c r="B91" s="405"/>
      <c r="C91" s="395" t="s">
        <v>138</v>
      </c>
      <c r="D91" s="405"/>
      <c r="E91" s="405"/>
      <c r="F91" s="417">
        <v>0</v>
      </c>
      <c r="G91" s="395" t="s">
        <v>139</v>
      </c>
      <c r="H91" s="405"/>
      <c r="I91" s="417">
        <v>0</v>
      </c>
      <c r="J91" s="395" t="s">
        <v>139</v>
      </c>
      <c r="K91" s="405"/>
      <c r="L91" s="122"/>
      <c r="M91" s="122"/>
      <c r="N91" s="122"/>
      <c r="O91" s="122"/>
      <c r="P91" s="122"/>
      <c r="Q91" s="122"/>
      <c r="R91" s="122"/>
      <c r="S91" s="122"/>
      <c r="T91" s="122"/>
      <c r="U91" s="122"/>
      <c r="V91" s="122"/>
      <c r="W91" s="122"/>
      <c r="X91" s="122"/>
      <c r="Y91" s="122"/>
      <c r="Z91" s="122"/>
    </row>
    <row r="92" spans="1:26" ht="12.75" x14ac:dyDescent="0.2">
      <c r="A92" s="122"/>
      <c r="B92" s="405"/>
      <c r="C92" s="395" t="s">
        <v>379</v>
      </c>
      <c r="D92" s="405"/>
      <c r="E92" s="405"/>
      <c r="F92" s="431">
        <v>0</v>
      </c>
      <c r="G92" s="395" t="s">
        <v>5</v>
      </c>
      <c r="H92" s="405" t="s">
        <v>768</v>
      </c>
      <c r="I92" s="429"/>
      <c r="J92" s="395"/>
      <c r="K92" s="405"/>
      <c r="L92" s="122"/>
      <c r="M92" s="122"/>
      <c r="N92" s="122"/>
      <c r="O92" s="122"/>
      <c r="P92" s="122"/>
      <c r="Q92" s="122"/>
      <c r="R92" s="122"/>
      <c r="S92" s="122"/>
      <c r="T92" s="122"/>
      <c r="U92" s="122"/>
      <c r="V92" s="122"/>
      <c r="W92" s="122"/>
      <c r="X92" s="122"/>
      <c r="Y92" s="122"/>
      <c r="Z92" s="122"/>
    </row>
    <row r="93" spans="1:26" ht="12.75" x14ac:dyDescent="0.2">
      <c r="A93" s="122"/>
      <c r="B93" s="412"/>
      <c r="C93" s="412"/>
      <c r="D93" s="412"/>
      <c r="E93" s="412"/>
      <c r="F93" s="412"/>
      <c r="G93" s="412"/>
      <c r="H93" s="412"/>
      <c r="I93" s="412"/>
      <c r="J93" s="412"/>
      <c r="K93" s="412"/>
      <c r="L93" s="122"/>
      <c r="M93" s="122"/>
      <c r="N93" s="122"/>
      <c r="O93" s="122"/>
      <c r="P93" s="122"/>
      <c r="Q93" s="122"/>
      <c r="R93" s="122"/>
      <c r="S93" s="122"/>
      <c r="T93" s="122"/>
      <c r="U93" s="122"/>
      <c r="V93" s="122"/>
      <c r="W93" s="122"/>
      <c r="X93" s="122"/>
      <c r="Y93" s="122"/>
      <c r="Z93" s="122"/>
    </row>
    <row r="94" spans="1:26" ht="12.75" x14ac:dyDescent="0.2">
      <c r="A94" s="122"/>
      <c r="B94" s="340" t="s">
        <v>209</v>
      </c>
      <c r="C94" s="405"/>
      <c r="D94" s="405"/>
      <c r="E94" s="405"/>
      <c r="F94" s="405"/>
      <c r="G94" s="405"/>
      <c r="H94" s="405"/>
      <c r="I94" s="405"/>
      <c r="J94" s="405"/>
      <c r="K94" s="405"/>
      <c r="L94" s="122"/>
      <c r="M94" s="122"/>
      <c r="N94" s="122"/>
      <c r="O94" s="122"/>
      <c r="P94" s="122"/>
      <c r="Q94" s="122"/>
      <c r="R94" s="122"/>
      <c r="S94" s="122"/>
      <c r="T94" s="122"/>
      <c r="U94" s="122"/>
      <c r="V94" s="122"/>
      <c r="W94" s="122"/>
      <c r="X94" s="122"/>
      <c r="Y94" s="122"/>
      <c r="Z94" s="122"/>
    </row>
    <row r="95" spans="1:26" ht="12.75" x14ac:dyDescent="0.2">
      <c r="A95" s="122"/>
      <c r="B95" s="405"/>
      <c r="C95" s="395" t="s">
        <v>145</v>
      </c>
      <c r="D95" s="405"/>
      <c r="E95" s="405"/>
      <c r="F95" s="417">
        <v>0</v>
      </c>
      <c r="G95" s="395" t="s">
        <v>146</v>
      </c>
      <c r="H95" s="405"/>
      <c r="I95" s="441">
        <v>0</v>
      </c>
      <c r="J95" s="395" t="s">
        <v>146</v>
      </c>
      <c r="K95" s="405"/>
      <c r="L95" s="122"/>
      <c r="M95" s="122"/>
      <c r="N95" s="122"/>
      <c r="O95" s="122"/>
      <c r="P95" s="122"/>
      <c r="Q95" s="122"/>
      <c r="R95" s="122"/>
      <c r="S95" s="122"/>
      <c r="T95" s="122"/>
      <c r="U95" s="122"/>
      <c r="V95" s="122"/>
      <c r="W95" s="122"/>
      <c r="X95" s="122"/>
      <c r="Y95" s="122"/>
      <c r="Z95" s="122"/>
    </row>
    <row r="96" spans="1:26" ht="12.75" x14ac:dyDescent="0.2">
      <c r="A96" s="122"/>
      <c r="B96" s="405"/>
      <c r="C96" s="395" t="s">
        <v>148</v>
      </c>
      <c r="D96" s="405"/>
      <c r="E96" s="405"/>
      <c r="F96" s="431">
        <v>0.1</v>
      </c>
      <c r="G96" s="395" t="s">
        <v>5</v>
      </c>
      <c r="H96" s="422"/>
      <c r="I96" s="431">
        <v>0.1</v>
      </c>
      <c r="J96" s="395" t="s">
        <v>5</v>
      </c>
      <c r="K96" s="422"/>
      <c r="L96" s="122"/>
      <c r="M96" s="122"/>
      <c r="N96" s="122"/>
      <c r="O96" s="122"/>
      <c r="P96" s="122"/>
      <c r="Q96" s="122"/>
      <c r="R96" s="122"/>
      <c r="S96" s="122"/>
      <c r="T96" s="122"/>
      <c r="U96" s="122"/>
      <c r="V96" s="122"/>
      <c r="W96" s="122"/>
      <c r="X96" s="122"/>
      <c r="Y96" s="122"/>
      <c r="Z96" s="122"/>
    </row>
    <row r="97" spans="1:26" ht="12.75" x14ac:dyDescent="0.2">
      <c r="A97" s="122"/>
      <c r="B97" s="405"/>
      <c r="C97" s="395" t="s">
        <v>151</v>
      </c>
      <c r="D97" s="405"/>
      <c r="E97" s="405"/>
      <c r="F97" s="417">
        <v>5</v>
      </c>
      <c r="G97" s="395" t="s">
        <v>152</v>
      </c>
      <c r="H97" s="405"/>
      <c r="I97" s="417">
        <v>5</v>
      </c>
      <c r="J97" s="395" t="s">
        <v>152</v>
      </c>
      <c r="K97" s="405"/>
      <c r="L97" s="122"/>
      <c r="M97" s="122"/>
      <c r="N97" s="122"/>
      <c r="O97" s="122"/>
      <c r="P97" s="122"/>
      <c r="Q97" s="122"/>
      <c r="R97" s="122"/>
      <c r="S97" s="122"/>
      <c r="T97" s="122"/>
      <c r="U97" s="122"/>
      <c r="V97" s="122"/>
      <c r="W97" s="122"/>
      <c r="X97" s="122"/>
      <c r="Y97" s="122"/>
      <c r="Z97" s="122"/>
    </row>
    <row r="98" spans="1:26" ht="12.75" x14ac:dyDescent="0.2">
      <c r="A98" s="122"/>
      <c r="B98" s="405"/>
      <c r="C98" s="395" t="s">
        <v>154</v>
      </c>
      <c r="D98" s="405"/>
      <c r="E98" s="405"/>
      <c r="F98" s="417">
        <v>3</v>
      </c>
      <c r="G98" s="395" t="s">
        <v>152</v>
      </c>
      <c r="H98" s="405"/>
      <c r="I98" s="417">
        <v>3</v>
      </c>
      <c r="J98" s="395" t="s">
        <v>152</v>
      </c>
      <c r="K98" s="405"/>
      <c r="L98" s="122"/>
      <c r="M98" s="122"/>
      <c r="N98" s="122"/>
      <c r="O98" s="122"/>
      <c r="P98" s="122"/>
      <c r="Q98" s="122"/>
      <c r="R98" s="122"/>
      <c r="S98" s="122"/>
      <c r="T98" s="122"/>
      <c r="U98" s="122"/>
      <c r="V98" s="122"/>
      <c r="W98" s="122"/>
      <c r="X98" s="122"/>
      <c r="Y98" s="122"/>
      <c r="Z98" s="122"/>
    </row>
    <row r="99" spans="1:26" ht="12.75" x14ac:dyDescent="0.2">
      <c r="A99" s="122"/>
      <c r="B99" s="405"/>
      <c r="C99" s="391" t="s">
        <v>157</v>
      </c>
      <c r="D99" s="405"/>
      <c r="E99" s="405"/>
      <c r="F99" s="505">
        <f>F97+F98</f>
        <v>8</v>
      </c>
      <c r="G99" s="395" t="s">
        <v>152</v>
      </c>
      <c r="H99" s="405"/>
      <c r="I99" s="417">
        <v>8</v>
      </c>
      <c r="J99" s="395" t="s">
        <v>152</v>
      </c>
      <c r="K99" s="405"/>
      <c r="L99" s="122"/>
      <c r="M99" s="122"/>
      <c r="N99" s="122"/>
      <c r="O99" s="122"/>
      <c r="P99" s="122"/>
      <c r="Q99" s="122"/>
      <c r="R99" s="122"/>
      <c r="S99" s="122"/>
      <c r="T99" s="122"/>
      <c r="U99" s="122"/>
      <c r="V99" s="122"/>
      <c r="W99" s="122"/>
      <c r="X99" s="122"/>
      <c r="Y99" s="122"/>
      <c r="Z99" s="122"/>
    </row>
    <row r="100" spans="1:26" ht="12.75" x14ac:dyDescent="0.2">
      <c r="A100" s="122"/>
      <c r="B100" s="405"/>
      <c r="C100" s="391" t="s">
        <v>160</v>
      </c>
      <c r="D100" s="405"/>
      <c r="E100" s="405"/>
      <c r="F100" s="417">
        <v>12</v>
      </c>
      <c r="G100" s="395" t="s">
        <v>152</v>
      </c>
      <c r="H100" s="405"/>
      <c r="I100" s="417">
        <v>12</v>
      </c>
      <c r="J100" s="395" t="s">
        <v>152</v>
      </c>
      <c r="K100" s="405"/>
      <c r="L100" s="122"/>
      <c r="M100" s="122"/>
      <c r="N100" s="122"/>
      <c r="O100" s="122"/>
      <c r="P100" s="122"/>
      <c r="Q100" s="122"/>
      <c r="R100" s="122"/>
      <c r="S100" s="122"/>
      <c r="T100" s="122"/>
      <c r="U100" s="122"/>
      <c r="V100" s="122"/>
      <c r="W100" s="122"/>
      <c r="X100" s="122"/>
      <c r="Y100" s="122"/>
      <c r="Z100" s="122"/>
    </row>
    <row r="101" spans="1:26" ht="12.75" x14ac:dyDescent="0.2">
      <c r="A101" s="122"/>
      <c r="B101" s="412"/>
      <c r="C101" s="412"/>
      <c r="D101" s="412"/>
      <c r="E101" s="412"/>
      <c r="F101" s="412"/>
      <c r="G101" s="412"/>
      <c r="H101" s="412"/>
      <c r="I101" s="412"/>
      <c r="J101" s="412"/>
      <c r="K101" s="412"/>
      <c r="L101" s="122"/>
      <c r="M101" s="122"/>
      <c r="N101" s="122"/>
      <c r="O101" s="122"/>
      <c r="P101" s="122"/>
      <c r="Q101" s="122"/>
      <c r="R101" s="122"/>
      <c r="S101" s="122"/>
      <c r="T101" s="122"/>
      <c r="U101" s="122"/>
      <c r="V101" s="122"/>
      <c r="W101" s="122"/>
      <c r="X101" s="122"/>
      <c r="Y101" s="122"/>
      <c r="Z101" s="122"/>
    </row>
    <row r="102" spans="1:26" ht="12.75" x14ac:dyDescent="0.2">
      <c r="A102" s="122"/>
      <c r="B102" s="340" t="s">
        <v>161</v>
      </c>
      <c r="C102" s="405"/>
      <c r="D102" s="405"/>
      <c r="E102" s="405"/>
      <c r="F102" s="405"/>
      <c r="G102" s="405"/>
      <c r="H102" s="405"/>
      <c r="I102" s="405"/>
      <c r="J102" s="405"/>
      <c r="K102" s="405"/>
      <c r="L102" s="122"/>
      <c r="M102" s="122"/>
      <c r="N102" s="122"/>
      <c r="O102" s="122"/>
      <c r="P102" s="122"/>
      <c r="Q102" s="122"/>
      <c r="R102" s="122"/>
      <c r="S102" s="122"/>
      <c r="T102" s="122"/>
      <c r="U102" s="122"/>
      <c r="V102" s="122"/>
      <c r="W102" s="122"/>
      <c r="X102" s="122"/>
      <c r="Y102" s="122"/>
      <c r="Z102" s="122"/>
    </row>
    <row r="103" spans="1:26" ht="12.75" x14ac:dyDescent="0.2">
      <c r="A103" s="122"/>
      <c r="B103" s="405"/>
      <c r="C103" s="395" t="s">
        <v>250</v>
      </c>
      <c r="D103" s="405"/>
      <c r="E103" s="405"/>
      <c r="F103" s="405"/>
      <c r="G103" s="395"/>
      <c r="H103" s="405"/>
      <c r="I103" s="443">
        <v>10000</v>
      </c>
      <c r="J103" s="395" t="s">
        <v>163</v>
      </c>
      <c r="K103" s="2" t="s">
        <v>854</v>
      </c>
      <c r="L103" s="122"/>
      <c r="M103" s="122"/>
      <c r="N103" s="122"/>
      <c r="O103" s="122"/>
      <c r="P103" s="122"/>
      <c r="Q103" s="122"/>
      <c r="R103" s="122"/>
      <c r="S103" s="122"/>
      <c r="T103" s="122"/>
      <c r="U103" s="122"/>
      <c r="V103" s="122"/>
      <c r="W103" s="122"/>
      <c r="X103" s="122"/>
      <c r="Y103" s="122"/>
      <c r="Z103" s="122"/>
    </row>
    <row r="104" spans="1:26" ht="12.75" x14ac:dyDescent="0.2">
      <c r="A104" s="122"/>
      <c r="B104" s="405"/>
      <c r="C104" s="395" t="s">
        <v>162</v>
      </c>
      <c r="D104" s="405"/>
      <c r="E104" s="405"/>
      <c r="F104" s="405"/>
      <c r="G104" s="395"/>
      <c r="H104" s="405"/>
      <c r="I104" s="443">
        <v>14000</v>
      </c>
      <c r="J104" s="395" t="s">
        <v>163</v>
      </c>
      <c r="K104" s="2" t="s">
        <v>854</v>
      </c>
      <c r="L104" s="122"/>
      <c r="M104" s="122"/>
      <c r="N104" s="122"/>
      <c r="O104" s="122"/>
      <c r="P104" s="122"/>
      <c r="Q104" s="122"/>
      <c r="R104" s="122"/>
      <c r="S104" s="122"/>
      <c r="T104" s="122"/>
      <c r="U104" s="122"/>
      <c r="V104" s="122"/>
      <c r="W104" s="122"/>
      <c r="X104" s="122"/>
      <c r="Y104" s="122"/>
      <c r="Z104" s="122"/>
    </row>
    <row r="105" spans="1:26" ht="12.75" x14ac:dyDescent="0.2">
      <c r="A105" s="122"/>
      <c r="B105" s="405"/>
      <c r="C105" s="395" t="s">
        <v>164</v>
      </c>
      <c r="D105" s="405"/>
      <c r="E105" s="405"/>
      <c r="F105" s="405"/>
      <c r="G105" s="395"/>
      <c r="H105" s="405"/>
      <c r="I105" s="443">
        <v>17400</v>
      </c>
      <c r="J105" s="395" t="s">
        <v>163</v>
      </c>
      <c r="K105" s="2" t="s">
        <v>854</v>
      </c>
      <c r="L105" s="122"/>
      <c r="M105" s="122"/>
      <c r="N105" s="122"/>
      <c r="O105" s="122"/>
      <c r="P105" s="122"/>
      <c r="Q105" s="122"/>
      <c r="R105" s="122"/>
      <c r="S105" s="122"/>
      <c r="T105" s="122"/>
      <c r="U105" s="122"/>
      <c r="V105" s="122"/>
      <c r="W105" s="122"/>
      <c r="X105" s="122"/>
      <c r="Y105" s="122"/>
      <c r="Z105" s="122"/>
    </row>
    <row r="106" spans="1:26" ht="12.75" x14ac:dyDescent="0.2">
      <c r="A106" s="122"/>
      <c r="B106" s="405"/>
      <c r="C106" s="395" t="s">
        <v>166</v>
      </c>
      <c r="D106" s="405"/>
      <c r="E106" s="405"/>
      <c r="F106" s="405"/>
      <c r="G106" s="395"/>
      <c r="H106" s="405"/>
      <c r="I106" s="443">
        <v>24900</v>
      </c>
      <c r="J106" s="395" t="s">
        <v>163</v>
      </c>
      <c r="K106" s="2" t="s">
        <v>854</v>
      </c>
      <c r="L106" s="122"/>
      <c r="M106" s="122"/>
      <c r="N106" s="122"/>
      <c r="O106" s="122"/>
      <c r="P106" s="122"/>
      <c r="Q106" s="122"/>
      <c r="R106" s="122"/>
      <c r="S106" s="122"/>
      <c r="T106" s="122"/>
      <c r="U106" s="122"/>
      <c r="V106" s="122"/>
      <c r="W106" s="122"/>
      <c r="X106" s="122"/>
      <c r="Y106" s="122"/>
      <c r="Z106" s="122"/>
    </row>
    <row r="107" spans="1:26" ht="12.75" x14ac:dyDescent="0.2">
      <c r="A107" s="122"/>
      <c r="B107" s="405"/>
      <c r="C107" s="395" t="s">
        <v>168</v>
      </c>
      <c r="D107" s="405"/>
      <c r="E107" s="405"/>
      <c r="F107" s="405"/>
      <c r="G107" s="395"/>
      <c r="H107" s="405"/>
      <c r="I107" s="443">
        <v>25900</v>
      </c>
      <c r="J107" s="395" t="s">
        <v>163</v>
      </c>
      <c r="K107" s="2" t="s">
        <v>854</v>
      </c>
      <c r="L107" s="122"/>
      <c r="M107" s="122"/>
      <c r="N107" s="122"/>
      <c r="O107" s="122"/>
      <c r="P107" s="122"/>
      <c r="Q107" s="122"/>
      <c r="R107" s="122"/>
      <c r="S107" s="122"/>
      <c r="T107" s="122"/>
      <c r="U107" s="122"/>
      <c r="V107" s="122"/>
      <c r="W107" s="122"/>
      <c r="X107" s="122"/>
      <c r="Y107" s="122"/>
      <c r="Z107" s="122"/>
    </row>
    <row r="108" spans="1:26" ht="12.75" x14ac:dyDescent="0.2">
      <c r="A108" s="122"/>
      <c r="B108" s="405"/>
      <c r="C108" s="395" t="s">
        <v>171</v>
      </c>
      <c r="D108" s="405"/>
      <c r="E108" s="405"/>
      <c r="F108" s="405"/>
      <c r="G108" s="395"/>
      <c r="H108" s="405"/>
      <c r="I108" s="444">
        <v>0.9</v>
      </c>
      <c r="J108" s="395" t="s">
        <v>256</v>
      </c>
      <c r="K108" s="405" t="s">
        <v>381</v>
      </c>
      <c r="L108" s="122"/>
      <c r="M108" s="122"/>
      <c r="N108" s="122"/>
      <c r="O108" s="122"/>
      <c r="P108" s="122"/>
      <c r="Q108" s="122"/>
      <c r="R108" s="122"/>
      <c r="S108" s="122"/>
      <c r="T108" s="122"/>
      <c r="U108" s="122"/>
      <c r="V108" s="122"/>
      <c r="W108" s="122"/>
      <c r="X108" s="122"/>
      <c r="Y108" s="122"/>
      <c r="Z108" s="122"/>
    </row>
    <row r="109" spans="1:26" ht="12.75" x14ac:dyDescent="0.2">
      <c r="A109" s="122"/>
      <c r="B109" s="405"/>
      <c r="C109" s="395" t="s">
        <v>251</v>
      </c>
      <c r="D109" s="405"/>
      <c r="E109" s="405"/>
      <c r="F109" s="405"/>
      <c r="G109" s="395"/>
      <c r="H109" s="405"/>
      <c r="I109" s="444">
        <v>0.2</v>
      </c>
      <c r="J109" s="395" t="s">
        <v>256</v>
      </c>
      <c r="K109" s="405" t="s">
        <v>12</v>
      </c>
      <c r="L109" s="122"/>
      <c r="M109" s="122"/>
      <c r="N109" s="122"/>
      <c r="O109" s="122"/>
      <c r="P109" s="122"/>
      <c r="Q109" s="122"/>
      <c r="R109" s="122"/>
      <c r="S109" s="122"/>
      <c r="T109" s="122"/>
      <c r="U109" s="122"/>
      <c r="V109" s="122"/>
      <c r="W109" s="122"/>
      <c r="X109" s="122"/>
      <c r="Y109" s="122"/>
      <c r="Z109" s="122"/>
    </row>
    <row r="110" spans="1:26" ht="12.75" x14ac:dyDescent="0.2">
      <c r="A110" s="122"/>
      <c r="B110" s="405"/>
      <c r="C110" s="395" t="s">
        <v>257</v>
      </c>
      <c r="D110" s="405"/>
      <c r="E110" s="405"/>
      <c r="F110" s="405"/>
      <c r="G110" s="395"/>
      <c r="H110" s="405"/>
      <c r="I110" s="445">
        <v>5</v>
      </c>
      <c r="J110" s="395"/>
      <c r="K110" s="405" t="s">
        <v>12</v>
      </c>
      <c r="L110" s="122"/>
      <c r="M110" s="122"/>
      <c r="N110" s="122"/>
      <c r="O110" s="122"/>
      <c r="P110" s="122"/>
      <c r="Q110" s="122"/>
      <c r="R110" s="122"/>
      <c r="S110" s="122"/>
      <c r="T110" s="122"/>
      <c r="U110" s="122"/>
      <c r="V110" s="122"/>
      <c r="W110" s="122"/>
      <c r="X110" s="122"/>
      <c r="Y110" s="122"/>
      <c r="Z110" s="122"/>
    </row>
    <row r="111" spans="1:26" ht="12.75" x14ac:dyDescent="0.2">
      <c r="A111" s="122"/>
      <c r="B111" s="405"/>
      <c r="C111" s="395" t="s">
        <v>710</v>
      </c>
      <c r="D111" s="405"/>
      <c r="E111" s="405"/>
      <c r="F111" s="405"/>
      <c r="G111" s="395"/>
      <c r="H111" s="405"/>
      <c r="I111" s="581">
        <f>'Total Beneficiaries and Funding'!E14</f>
        <v>8004678.1611669566</v>
      </c>
      <c r="J111" s="395" t="s">
        <v>172</v>
      </c>
      <c r="K111" s="405" t="s">
        <v>711</v>
      </c>
      <c r="L111" s="122"/>
      <c r="M111" s="122"/>
      <c r="N111" s="122"/>
      <c r="O111" s="122"/>
      <c r="P111" s="122"/>
      <c r="Q111" s="122"/>
      <c r="R111" s="122"/>
      <c r="S111" s="122"/>
      <c r="T111" s="122"/>
      <c r="U111" s="122"/>
      <c r="V111" s="122"/>
      <c r="W111" s="122"/>
      <c r="X111" s="122"/>
      <c r="Y111" s="122"/>
      <c r="Z111" s="122"/>
    </row>
    <row r="112" spans="1:26" customFormat="1" ht="12.75" x14ac:dyDescent="0.2">
      <c r="A112" s="3"/>
      <c r="B112" s="2"/>
      <c r="C112" s="393" t="s">
        <v>939</v>
      </c>
      <c r="D112" s="2"/>
      <c r="E112" s="2"/>
      <c r="F112" s="2"/>
      <c r="G112" s="393"/>
      <c r="H112" s="2"/>
      <c r="I112" s="444">
        <v>0</v>
      </c>
      <c r="J112" s="393" t="s">
        <v>5</v>
      </c>
      <c r="K112" s="422" t="s">
        <v>940</v>
      </c>
      <c r="L112" s="3"/>
      <c r="M112" s="3"/>
      <c r="N112" s="3"/>
      <c r="O112" s="3"/>
      <c r="P112" s="3"/>
      <c r="Q112" s="3"/>
      <c r="R112" s="3"/>
      <c r="S112" s="3"/>
      <c r="T112" s="3"/>
      <c r="U112" s="3"/>
      <c r="V112" s="3"/>
      <c r="W112" s="3"/>
      <c r="X112" s="3"/>
      <c r="Y112" s="3"/>
      <c r="Z112" s="3"/>
    </row>
    <row r="113" spans="1:26" ht="12.75" x14ac:dyDescent="0.2">
      <c r="A113" s="122"/>
      <c r="B113" s="405"/>
      <c r="C113" s="395" t="s">
        <v>268</v>
      </c>
      <c r="D113" s="405"/>
      <c r="E113" s="405"/>
      <c r="F113" s="405"/>
      <c r="G113" s="395"/>
      <c r="H113" s="405"/>
      <c r="I113" s="446">
        <v>0</v>
      </c>
      <c r="J113" s="391" t="s">
        <v>269</v>
      </c>
      <c r="K113" s="405"/>
      <c r="L113" s="122"/>
      <c r="M113" s="122"/>
      <c r="N113" s="122"/>
      <c r="O113" s="122"/>
      <c r="P113" s="122"/>
      <c r="Q113" s="122"/>
      <c r="R113" s="122"/>
      <c r="S113" s="122"/>
      <c r="T113" s="122"/>
      <c r="U113" s="122"/>
      <c r="V113" s="122"/>
      <c r="W113" s="122"/>
      <c r="X113" s="122"/>
      <c r="Y113" s="122"/>
      <c r="Z113" s="122"/>
    </row>
    <row r="114" spans="1:26" ht="12.75" x14ac:dyDescent="0.2">
      <c r="A114" s="122"/>
      <c r="B114" s="405"/>
      <c r="C114" s="395" t="s">
        <v>270</v>
      </c>
      <c r="D114" s="405"/>
      <c r="E114" s="405"/>
      <c r="F114" s="405"/>
      <c r="G114" s="395"/>
      <c r="H114" s="405"/>
      <c r="I114" s="445">
        <v>5</v>
      </c>
      <c r="J114" s="391" t="s">
        <v>66</v>
      </c>
      <c r="K114" s="405"/>
      <c r="L114" s="122"/>
      <c r="M114" s="122"/>
      <c r="N114" s="122"/>
      <c r="O114" s="122"/>
      <c r="P114" s="122"/>
      <c r="Q114" s="122"/>
      <c r="R114" s="122"/>
      <c r="S114" s="122"/>
      <c r="T114" s="122"/>
      <c r="U114" s="122"/>
      <c r="V114" s="122"/>
      <c r="W114" s="122"/>
      <c r="X114" s="122"/>
      <c r="Y114" s="122"/>
      <c r="Z114" s="122"/>
    </row>
    <row r="115" spans="1:26" s="159" customFormat="1" ht="12.75" x14ac:dyDescent="0.2">
      <c r="A115" s="122"/>
      <c r="B115" s="405"/>
      <c r="C115" s="395" t="s">
        <v>909</v>
      </c>
      <c r="D115" s="405"/>
      <c r="E115" s="405"/>
      <c r="F115" s="157"/>
      <c r="G115" s="157"/>
      <c r="H115" s="157"/>
      <c r="I115" s="444">
        <v>0</v>
      </c>
      <c r="J115" s="391" t="s">
        <v>5</v>
      </c>
      <c r="K115" s="422" t="s">
        <v>910</v>
      </c>
      <c r="L115" s="122"/>
      <c r="M115" s="122"/>
      <c r="N115" s="122"/>
      <c r="O115" s="122"/>
      <c r="P115" s="122"/>
      <c r="Q115" s="122"/>
      <c r="R115" s="122"/>
      <c r="S115" s="122"/>
      <c r="T115" s="173"/>
      <c r="U115" s="173"/>
      <c r="V115" s="173"/>
      <c r="W115" s="173"/>
    </row>
    <row r="116" spans="1:26" ht="12.75" x14ac:dyDescent="0.2">
      <c r="A116" s="122"/>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row>
    <row r="117" spans="1:26" ht="12.75" x14ac:dyDescent="0.2">
      <c r="A117" s="145" t="s">
        <v>173</v>
      </c>
      <c r="B117" s="119"/>
      <c r="C117" s="119"/>
      <c r="D117" s="161" t="s">
        <v>174</v>
      </c>
      <c r="E117" s="161"/>
      <c r="F117" s="162">
        <v>0</v>
      </c>
      <c r="G117" s="162">
        <v>1</v>
      </c>
      <c r="H117" s="162">
        <v>2</v>
      </c>
      <c r="I117" s="162">
        <v>3</v>
      </c>
      <c r="J117" s="162">
        <v>4</v>
      </c>
      <c r="K117" s="162">
        <v>5</v>
      </c>
      <c r="L117" s="162">
        <v>6</v>
      </c>
      <c r="M117" s="162">
        <v>7</v>
      </c>
      <c r="N117" s="162">
        <v>8</v>
      </c>
      <c r="O117" s="162">
        <v>9</v>
      </c>
      <c r="P117" s="119"/>
      <c r="Q117" s="119"/>
      <c r="R117" s="119"/>
      <c r="S117" s="119"/>
      <c r="T117" s="119"/>
      <c r="U117" s="119"/>
      <c r="V117" s="119"/>
      <c r="W117" s="119"/>
      <c r="X117" s="119"/>
      <c r="Y117" s="119"/>
      <c r="Z117" s="119"/>
    </row>
    <row r="118" spans="1:26" ht="12.75" x14ac:dyDescent="0.2">
      <c r="A118" s="122"/>
      <c r="B118" s="145" t="s">
        <v>175</v>
      </c>
      <c r="C118" s="119"/>
      <c r="D118" s="229"/>
      <c r="E118" s="229"/>
      <c r="F118" s="229"/>
      <c r="G118" s="229"/>
      <c r="H118" s="229"/>
      <c r="I118" s="229"/>
      <c r="J118" s="229"/>
      <c r="K118" s="229"/>
      <c r="L118" s="229"/>
      <c r="M118" s="229"/>
      <c r="N118" s="229"/>
      <c r="O118" s="229"/>
      <c r="P118" s="149"/>
      <c r="Q118" s="122"/>
      <c r="R118" s="122"/>
      <c r="S118" s="122"/>
      <c r="T118" s="122"/>
      <c r="U118" s="122"/>
      <c r="V118" s="122"/>
      <c r="W118" s="122"/>
      <c r="X118" s="122"/>
      <c r="Y118" s="122"/>
      <c r="Z118" s="122"/>
    </row>
    <row r="119" spans="1:26" ht="12.75" x14ac:dyDescent="0.2">
      <c r="A119" s="122"/>
      <c r="B119" s="119"/>
      <c r="C119" s="123" t="s">
        <v>176</v>
      </c>
      <c r="D119" s="119"/>
      <c r="E119" s="119"/>
      <c r="F119" s="118">
        <f t="shared" ref="F119:O119" si="1">$F$8</f>
        <v>7.9000000000000001E-2</v>
      </c>
      <c r="G119" s="118">
        <f t="shared" si="1"/>
        <v>7.9000000000000001E-2</v>
      </c>
      <c r="H119" s="118">
        <f t="shared" si="1"/>
        <v>7.9000000000000001E-2</v>
      </c>
      <c r="I119" s="118">
        <f t="shared" si="1"/>
        <v>7.9000000000000001E-2</v>
      </c>
      <c r="J119" s="118">
        <f t="shared" si="1"/>
        <v>7.9000000000000001E-2</v>
      </c>
      <c r="K119" s="118">
        <f t="shared" si="1"/>
        <v>7.9000000000000001E-2</v>
      </c>
      <c r="L119" s="118">
        <f t="shared" si="1"/>
        <v>7.9000000000000001E-2</v>
      </c>
      <c r="M119" s="118">
        <f t="shared" si="1"/>
        <v>7.9000000000000001E-2</v>
      </c>
      <c r="N119" s="118">
        <f t="shared" si="1"/>
        <v>7.9000000000000001E-2</v>
      </c>
      <c r="O119" s="118">
        <f t="shared" si="1"/>
        <v>7.9000000000000001E-2</v>
      </c>
      <c r="P119" s="122"/>
      <c r="Q119" s="122"/>
      <c r="R119" s="122"/>
      <c r="S119" s="122"/>
      <c r="T119" s="122"/>
      <c r="U119" s="122"/>
      <c r="V119" s="122"/>
      <c r="W119" s="122"/>
      <c r="X119" s="122"/>
      <c r="Y119" s="122"/>
      <c r="Z119" s="122"/>
    </row>
    <row r="120" spans="1:26" ht="12.75" x14ac:dyDescent="0.2">
      <c r="A120" s="122"/>
      <c r="B120" s="119"/>
      <c r="C120" s="123" t="s">
        <v>177</v>
      </c>
      <c r="D120" s="119"/>
      <c r="E120" s="119"/>
      <c r="F120" s="163">
        <v>1</v>
      </c>
      <c r="G120" s="164">
        <f t="shared" ref="G120:O120" si="2">F120*(1+G119)</f>
        <v>1.079</v>
      </c>
      <c r="H120" s="164">
        <f t="shared" si="2"/>
        <v>1.1642409999999999</v>
      </c>
      <c r="I120" s="164">
        <f t="shared" si="2"/>
        <v>1.2562160389999999</v>
      </c>
      <c r="J120" s="164">
        <f t="shared" si="2"/>
        <v>1.3554571060809999</v>
      </c>
      <c r="K120" s="164">
        <f t="shared" si="2"/>
        <v>1.4625382174613988</v>
      </c>
      <c r="L120" s="164">
        <f t="shared" si="2"/>
        <v>1.5780787366408493</v>
      </c>
      <c r="M120" s="164">
        <f t="shared" si="2"/>
        <v>1.7027469568354763</v>
      </c>
      <c r="N120" s="164">
        <f t="shared" si="2"/>
        <v>1.8372639664254788</v>
      </c>
      <c r="O120" s="164">
        <f t="shared" si="2"/>
        <v>1.9824078197730917</v>
      </c>
      <c r="P120" s="122"/>
      <c r="Q120" s="122"/>
      <c r="R120" s="122"/>
      <c r="S120" s="122"/>
      <c r="T120" s="122"/>
      <c r="U120" s="122"/>
      <c r="V120" s="122"/>
      <c r="W120" s="122"/>
      <c r="X120" s="122"/>
      <c r="Y120" s="122"/>
      <c r="Z120" s="122"/>
    </row>
    <row r="121" spans="1:26" ht="12.75" x14ac:dyDescent="0.2">
      <c r="A121" s="122"/>
      <c r="B121" s="119"/>
      <c r="C121" s="123" t="s">
        <v>7</v>
      </c>
      <c r="D121" s="119"/>
      <c r="E121" s="119"/>
      <c r="F121" s="118">
        <f t="shared" ref="F121:O121" si="3">$F$9</f>
        <v>2.5000000000000001E-2</v>
      </c>
      <c r="G121" s="118">
        <f t="shared" si="3"/>
        <v>2.5000000000000001E-2</v>
      </c>
      <c r="H121" s="118">
        <f t="shared" si="3"/>
        <v>2.5000000000000001E-2</v>
      </c>
      <c r="I121" s="118">
        <f t="shared" si="3"/>
        <v>2.5000000000000001E-2</v>
      </c>
      <c r="J121" s="118">
        <f t="shared" si="3"/>
        <v>2.5000000000000001E-2</v>
      </c>
      <c r="K121" s="118">
        <f t="shared" si="3"/>
        <v>2.5000000000000001E-2</v>
      </c>
      <c r="L121" s="118">
        <f t="shared" si="3"/>
        <v>2.5000000000000001E-2</v>
      </c>
      <c r="M121" s="118">
        <f t="shared" si="3"/>
        <v>2.5000000000000001E-2</v>
      </c>
      <c r="N121" s="118">
        <f t="shared" si="3"/>
        <v>2.5000000000000001E-2</v>
      </c>
      <c r="O121" s="118">
        <f t="shared" si="3"/>
        <v>2.5000000000000001E-2</v>
      </c>
      <c r="P121" s="122"/>
      <c r="Q121" s="122"/>
      <c r="R121" s="122"/>
      <c r="S121" s="122"/>
      <c r="T121" s="122"/>
      <c r="U121" s="122"/>
      <c r="V121" s="122"/>
      <c r="W121" s="122"/>
      <c r="X121" s="122"/>
      <c r="Y121" s="122"/>
      <c r="Z121" s="122"/>
    </row>
    <row r="122" spans="1:26" ht="12.75" x14ac:dyDescent="0.2">
      <c r="A122" s="122"/>
      <c r="B122" s="119"/>
      <c r="C122" s="123" t="s">
        <v>179</v>
      </c>
      <c r="D122" s="119"/>
      <c r="E122" s="119"/>
      <c r="F122" s="121">
        <v>1</v>
      </c>
      <c r="G122" s="121">
        <f t="shared" ref="G122:O122" si="4">F122*(1+G121)</f>
        <v>1.0249999999999999</v>
      </c>
      <c r="H122" s="121">
        <f t="shared" si="4"/>
        <v>1.0506249999999999</v>
      </c>
      <c r="I122" s="121">
        <f t="shared" si="4"/>
        <v>1.0768906249999999</v>
      </c>
      <c r="J122" s="121">
        <f t="shared" si="4"/>
        <v>1.1038128906249998</v>
      </c>
      <c r="K122" s="121">
        <f t="shared" si="4"/>
        <v>1.1314082128906247</v>
      </c>
      <c r="L122" s="121">
        <f t="shared" si="4"/>
        <v>1.1596934182128902</v>
      </c>
      <c r="M122" s="121">
        <f t="shared" si="4"/>
        <v>1.1886857536682123</v>
      </c>
      <c r="N122" s="121">
        <f t="shared" si="4"/>
        <v>1.2184028975099175</v>
      </c>
      <c r="O122" s="121">
        <f t="shared" si="4"/>
        <v>1.2488629699476652</v>
      </c>
      <c r="P122" s="122"/>
      <c r="Q122" s="122"/>
      <c r="R122" s="122"/>
      <c r="S122" s="122"/>
      <c r="T122" s="122"/>
      <c r="U122" s="122"/>
      <c r="V122" s="122"/>
      <c r="W122" s="122"/>
      <c r="X122" s="122"/>
      <c r="Y122" s="122"/>
      <c r="Z122" s="122"/>
    </row>
    <row r="123" spans="1:26" ht="12.75" x14ac:dyDescent="0.2">
      <c r="A123" s="122"/>
      <c r="B123" s="119"/>
      <c r="C123" s="123" t="s">
        <v>180</v>
      </c>
      <c r="D123" s="119"/>
      <c r="E123" s="119"/>
      <c r="F123" s="121">
        <f t="shared" ref="F123:O123" si="5">F120/F122</f>
        <v>1</v>
      </c>
      <c r="G123" s="121">
        <f t="shared" si="5"/>
        <v>1.0526829268292683</v>
      </c>
      <c r="H123" s="121">
        <f t="shared" si="5"/>
        <v>1.1081413444378345</v>
      </c>
      <c r="I123" s="121">
        <f t="shared" si="5"/>
        <v>1.16652147380334</v>
      </c>
      <c r="J123" s="121">
        <f t="shared" si="5"/>
        <v>1.2279772392524917</v>
      </c>
      <c r="K123" s="121">
        <f t="shared" si="5"/>
        <v>1.2926706742960377</v>
      </c>
      <c r="L123" s="121">
        <f t="shared" si="5"/>
        <v>1.3607723488443169</v>
      </c>
      <c r="M123" s="121">
        <f t="shared" si="5"/>
        <v>1.4324618189297738</v>
      </c>
      <c r="N123" s="121">
        <f t="shared" si="5"/>
        <v>1.5079281001221716</v>
      </c>
      <c r="O123" s="121">
        <f t="shared" si="5"/>
        <v>1.5873701658847057</v>
      </c>
      <c r="P123" s="122"/>
      <c r="Q123" s="122"/>
      <c r="R123" s="122"/>
      <c r="S123" s="122"/>
      <c r="T123" s="122"/>
      <c r="U123" s="122"/>
      <c r="V123" s="122"/>
      <c r="W123" s="122"/>
      <c r="X123" s="122"/>
      <c r="Y123" s="122"/>
      <c r="Z123" s="122"/>
    </row>
    <row r="124" spans="1:26" ht="12.75" x14ac:dyDescent="0.2">
      <c r="A124" s="122"/>
      <c r="B124" s="119"/>
      <c r="C124" s="123" t="s">
        <v>181</v>
      </c>
      <c r="D124" s="119"/>
      <c r="E124" s="119"/>
      <c r="F124" s="164">
        <f t="shared" ref="F124:O124" si="6">$F$10</f>
        <v>157.54</v>
      </c>
      <c r="G124" s="164">
        <f t="shared" si="6"/>
        <v>157.54</v>
      </c>
      <c r="H124" s="164">
        <f t="shared" si="6"/>
        <v>157.54</v>
      </c>
      <c r="I124" s="164">
        <f t="shared" si="6"/>
        <v>157.54</v>
      </c>
      <c r="J124" s="164">
        <f t="shared" si="6"/>
        <v>157.54</v>
      </c>
      <c r="K124" s="164">
        <f t="shared" si="6"/>
        <v>157.54</v>
      </c>
      <c r="L124" s="164">
        <f t="shared" si="6"/>
        <v>157.54</v>
      </c>
      <c r="M124" s="164">
        <f t="shared" si="6"/>
        <v>157.54</v>
      </c>
      <c r="N124" s="164">
        <f t="shared" si="6"/>
        <v>157.54</v>
      </c>
      <c r="O124" s="164">
        <f t="shared" si="6"/>
        <v>157.54</v>
      </c>
      <c r="P124" s="122"/>
      <c r="Q124" s="122"/>
      <c r="R124" s="122"/>
      <c r="S124" s="122"/>
      <c r="T124" s="122"/>
      <c r="U124" s="122"/>
      <c r="V124" s="122"/>
      <c r="W124" s="122"/>
      <c r="X124" s="122"/>
      <c r="Y124" s="122"/>
      <c r="Z124" s="122"/>
    </row>
    <row r="125" spans="1:26" ht="12.75" x14ac:dyDescent="0.2">
      <c r="A125" s="122"/>
      <c r="B125" s="119"/>
      <c r="C125" s="123" t="s">
        <v>182</v>
      </c>
      <c r="D125" s="119"/>
      <c r="E125" s="119"/>
      <c r="F125" s="118">
        <f t="shared" ref="F125:O125" si="7">$F$11</f>
        <v>0</v>
      </c>
      <c r="G125" s="118">
        <f t="shared" si="7"/>
        <v>0</v>
      </c>
      <c r="H125" s="118">
        <f t="shared" si="7"/>
        <v>0</v>
      </c>
      <c r="I125" s="118">
        <f t="shared" si="7"/>
        <v>0</v>
      </c>
      <c r="J125" s="118">
        <f t="shared" si="7"/>
        <v>0</v>
      </c>
      <c r="K125" s="118">
        <f t="shared" si="7"/>
        <v>0</v>
      </c>
      <c r="L125" s="118">
        <f t="shared" si="7"/>
        <v>0</v>
      </c>
      <c r="M125" s="118">
        <f t="shared" si="7"/>
        <v>0</v>
      </c>
      <c r="N125" s="118">
        <f t="shared" si="7"/>
        <v>0</v>
      </c>
      <c r="O125" s="118">
        <f t="shared" si="7"/>
        <v>0</v>
      </c>
      <c r="P125" s="122"/>
      <c r="Q125" s="122"/>
      <c r="R125" s="122"/>
      <c r="S125" s="122"/>
      <c r="T125" s="122"/>
      <c r="U125" s="122"/>
      <c r="V125" s="122"/>
      <c r="W125" s="122"/>
      <c r="X125" s="122"/>
      <c r="Y125" s="122"/>
      <c r="Z125" s="122"/>
    </row>
    <row r="126" spans="1:26" ht="12.75" x14ac:dyDescent="0.2">
      <c r="A126" s="122"/>
      <c r="B126" s="119"/>
      <c r="C126" s="123" t="s">
        <v>183</v>
      </c>
      <c r="D126" s="119"/>
      <c r="E126" s="119"/>
      <c r="F126" s="164">
        <f t="shared" ref="F126:O126" si="8">F124*(1+F125)^F117</f>
        <v>157.54</v>
      </c>
      <c r="G126" s="164">
        <f t="shared" si="8"/>
        <v>157.54</v>
      </c>
      <c r="H126" s="164">
        <f t="shared" si="8"/>
        <v>157.54</v>
      </c>
      <c r="I126" s="164">
        <f t="shared" si="8"/>
        <v>157.54</v>
      </c>
      <c r="J126" s="164">
        <f t="shared" si="8"/>
        <v>157.54</v>
      </c>
      <c r="K126" s="164">
        <f t="shared" si="8"/>
        <v>157.54</v>
      </c>
      <c r="L126" s="164">
        <f t="shared" si="8"/>
        <v>157.54</v>
      </c>
      <c r="M126" s="164">
        <f t="shared" si="8"/>
        <v>157.54</v>
      </c>
      <c r="N126" s="164">
        <f t="shared" si="8"/>
        <v>157.54</v>
      </c>
      <c r="O126" s="164">
        <f t="shared" si="8"/>
        <v>157.54</v>
      </c>
      <c r="P126" s="122"/>
      <c r="Q126" s="122"/>
      <c r="R126" s="122"/>
      <c r="S126" s="122"/>
      <c r="T126" s="122"/>
      <c r="U126" s="122"/>
      <c r="V126" s="122"/>
      <c r="W126" s="122"/>
      <c r="X126" s="122"/>
      <c r="Y126" s="122"/>
      <c r="Z126" s="122"/>
    </row>
    <row r="127" spans="1:26" ht="12.75" x14ac:dyDescent="0.2">
      <c r="A127" s="122"/>
      <c r="B127" s="119"/>
      <c r="C127" s="123" t="s">
        <v>184</v>
      </c>
      <c r="D127" s="119"/>
      <c r="E127" s="119"/>
      <c r="F127" s="164">
        <f t="shared" ref="F127:O127" si="9">F126*F123</f>
        <v>157.54</v>
      </c>
      <c r="G127" s="164">
        <f t="shared" si="9"/>
        <v>165.83966829268292</v>
      </c>
      <c r="H127" s="164">
        <f t="shared" si="9"/>
        <v>174.57658740273644</v>
      </c>
      <c r="I127" s="164">
        <f t="shared" si="9"/>
        <v>183.77379298297819</v>
      </c>
      <c r="J127" s="164">
        <f t="shared" si="9"/>
        <v>193.45553427183754</v>
      </c>
      <c r="K127" s="164">
        <f t="shared" si="9"/>
        <v>203.64733802859777</v>
      </c>
      <c r="L127" s="164">
        <f t="shared" si="9"/>
        <v>214.37607583693367</v>
      </c>
      <c r="M127" s="164">
        <f t="shared" si="9"/>
        <v>225.67003495419655</v>
      </c>
      <c r="N127" s="164">
        <f t="shared" si="9"/>
        <v>237.55899289324691</v>
      </c>
      <c r="O127" s="164">
        <f t="shared" si="9"/>
        <v>250.07429593347652</v>
      </c>
      <c r="P127" s="122"/>
      <c r="Q127" s="122"/>
      <c r="R127" s="122"/>
      <c r="S127" s="122"/>
      <c r="T127" s="122"/>
      <c r="U127" s="122"/>
      <c r="V127" s="122"/>
      <c r="W127" s="122"/>
      <c r="X127" s="122"/>
      <c r="Y127" s="122"/>
      <c r="Z127" s="122"/>
    </row>
    <row r="128" spans="1:26" ht="12.75" x14ac:dyDescent="0.2">
      <c r="A128" s="122"/>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row>
    <row r="129" spans="1:26" ht="12.75" x14ac:dyDescent="0.2">
      <c r="A129" s="147"/>
      <c r="B129" s="145" t="s">
        <v>185</v>
      </c>
      <c r="C129" s="119"/>
      <c r="D129" s="145"/>
      <c r="E129" s="165"/>
      <c r="F129" s="145"/>
      <c r="G129" s="145"/>
      <c r="H129" s="145"/>
      <c r="I129" s="145"/>
      <c r="J129" s="145"/>
      <c r="K129" s="145"/>
      <c r="L129" s="145"/>
      <c r="M129" s="145"/>
      <c r="N129" s="145"/>
      <c r="O129" s="119"/>
      <c r="P129" s="122"/>
      <c r="Q129" s="122"/>
      <c r="R129" s="122"/>
      <c r="S129" s="122"/>
      <c r="T129" s="122"/>
      <c r="U129" s="122"/>
      <c r="V129" s="122"/>
      <c r="W129" s="122"/>
      <c r="X129" s="122"/>
      <c r="Y129" s="122"/>
      <c r="Z129" s="122"/>
    </row>
    <row r="130" spans="1:26" ht="12.75" x14ac:dyDescent="0.2">
      <c r="A130" s="147"/>
      <c r="B130" s="145"/>
      <c r="C130" s="123" t="s">
        <v>382</v>
      </c>
      <c r="D130" s="145"/>
      <c r="E130" s="165"/>
      <c r="F130" s="120">
        <f t="shared" ref="F130:O130" si="10">$F$35</f>
        <v>2.5999999999999999E-2</v>
      </c>
      <c r="G130" s="120">
        <f t="shared" si="10"/>
        <v>2.5999999999999999E-2</v>
      </c>
      <c r="H130" s="120">
        <f t="shared" si="10"/>
        <v>2.5999999999999999E-2</v>
      </c>
      <c r="I130" s="120">
        <f t="shared" si="10"/>
        <v>2.5999999999999999E-2</v>
      </c>
      <c r="J130" s="120">
        <f t="shared" si="10"/>
        <v>2.5999999999999999E-2</v>
      </c>
      <c r="K130" s="120">
        <f t="shared" si="10"/>
        <v>2.5999999999999999E-2</v>
      </c>
      <c r="L130" s="120">
        <f t="shared" si="10"/>
        <v>2.5999999999999999E-2</v>
      </c>
      <c r="M130" s="120">
        <f t="shared" si="10"/>
        <v>2.5999999999999999E-2</v>
      </c>
      <c r="N130" s="120">
        <f t="shared" si="10"/>
        <v>2.5999999999999999E-2</v>
      </c>
      <c r="O130" s="120">
        <f t="shared" si="10"/>
        <v>2.5999999999999999E-2</v>
      </c>
      <c r="P130" s="122"/>
      <c r="Q130" s="122"/>
      <c r="R130" s="122"/>
      <c r="S130" s="122"/>
      <c r="T130" s="122"/>
      <c r="U130" s="122"/>
      <c r="V130" s="122"/>
      <c r="W130" s="122"/>
      <c r="X130" s="122"/>
      <c r="Y130" s="122"/>
      <c r="Z130" s="122"/>
    </row>
    <row r="131" spans="1:26" ht="12.75" x14ac:dyDescent="0.2">
      <c r="A131" s="147"/>
      <c r="B131" s="145"/>
      <c r="C131" s="123" t="s">
        <v>187</v>
      </c>
      <c r="D131" s="145"/>
      <c r="E131" s="165"/>
      <c r="F131" s="166">
        <v>1</v>
      </c>
      <c r="G131" s="166">
        <f t="shared" ref="G131:O131" si="11">F131*(1+G130)</f>
        <v>1.026</v>
      </c>
      <c r="H131" s="166">
        <f t="shared" si="11"/>
        <v>1.0526759999999999</v>
      </c>
      <c r="I131" s="166">
        <f t="shared" si="11"/>
        <v>1.0800455760000001</v>
      </c>
      <c r="J131" s="166">
        <f t="shared" si="11"/>
        <v>1.1081267609760002</v>
      </c>
      <c r="K131" s="166">
        <f t="shared" si="11"/>
        <v>1.1369380567613763</v>
      </c>
      <c r="L131" s="166">
        <f t="shared" si="11"/>
        <v>1.1664984462371721</v>
      </c>
      <c r="M131" s="166">
        <f t="shared" si="11"/>
        <v>1.1968274058393387</v>
      </c>
      <c r="N131" s="166">
        <f t="shared" si="11"/>
        <v>1.2279449183911615</v>
      </c>
      <c r="O131" s="166">
        <f t="shared" si="11"/>
        <v>1.2598714862693317</v>
      </c>
      <c r="P131" s="122"/>
      <c r="Q131" s="122"/>
      <c r="R131" s="122"/>
      <c r="S131" s="122"/>
      <c r="T131" s="122"/>
      <c r="U131" s="122"/>
      <c r="V131" s="122"/>
      <c r="W131" s="122"/>
      <c r="X131" s="122"/>
      <c r="Y131" s="122"/>
      <c r="Z131" s="122"/>
    </row>
    <row r="132" spans="1:26" ht="12.75" x14ac:dyDescent="0.2">
      <c r="A132" s="147"/>
      <c r="B132" s="145"/>
      <c r="C132" s="123" t="s">
        <v>383</v>
      </c>
      <c r="D132" s="145"/>
      <c r="E132" s="165"/>
      <c r="F132" s="120">
        <f t="shared" ref="F132:O132" si="12">$I$36</f>
        <v>0.04</v>
      </c>
      <c r="G132" s="120">
        <f t="shared" si="12"/>
        <v>0.04</v>
      </c>
      <c r="H132" s="120">
        <f t="shared" si="12"/>
        <v>0.04</v>
      </c>
      <c r="I132" s="120">
        <f t="shared" si="12"/>
        <v>0.04</v>
      </c>
      <c r="J132" s="120">
        <f t="shared" si="12"/>
        <v>0.04</v>
      </c>
      <c r="K132" s="120">
        <f t="shared" si="12"/>
        <v>0.04</v>
      </c>
      <c r="L132" s="120">
        <f t="shared" si="12"/>
        <v>0.04</v>
      </c>
      <c r="M132" s="120">
        <f t="shared" si="12"/>
        <v>0.04</v>
      </c>
      <c r="N132" s="120">
        <f t="shared" si="12"/>
        <v>0.04</v>
      </c>
      <c r="O132" s="120">
        <f t="shared" si="12"/>
        <v>0.04</v>
      </c>
      <c r="P132" s="122"/>
      <c r="Q132" s="122"/>
      <c r="R132" s="122"/>
      <c r="S132" s="122"/>
      <c r="T132" s="122"/>
      <c r="U132" s="122"/>
      <c r="V132" s="122"/>
      <c r="W132" s="122"/>
      <c r="X132" s="122"/>
      <c r="Y132" s="122"/>
      <c r="Z132" s="122"/>
    </row>
    <row r="133" spans="1:26" ht="12.75" x14ac:dyDescent="0.2">
      <c r="A133" s="147"/>
      <c r="B133" s="145"/>
      <c r="C133" s="123" t="s">
        <v>189</v>
      </c>
      <c r="D133" s="145"/>
      <c r="E133" s="165"/>
      <c r="F133" s="166">
        <v>1</v>
      </c>
      <c r="G133" s="166">
        <f t="shared" ref="G133:O133" si="13">F133*(1+G132)</f>
        <v>1.04</v>
      </c>
      <c r="H133" s="166">
        <f t="shared" si="13"/>
        <v>1.0816000000000001</v>
      </c>
      <c r="I133" s="166">
        <f t="shared" si="13"/>
        <v>1.1248640000000001</v>
      </c>
      <c r="J133" s="166">
        <f t="shared" si="13"/>
        <v>1.1698585600000002</v>
      </c>
      <c r="K133" s="166">
        <f t="shared" si="13"/>
        <v>1.2166529024000003</v>
      </c>
      <c r="L133" s="166">
        <f t="shared" si="13"/>
        <v>1.2653190184960004</v>
      </c>
      <c r="M133" s="166">
        <f t="shared" si="13"/>
        <v>1.3159317792358405</v>
      </c>
      <c r="N133" s="166">
        <f t="shared" si="13"/>
        <v>1.3685690504052741</v>
      </c>
      <c r="O133" s="166">
        <f t="shared" si="13"/>
        <v>1.4233118124214852</v>
      </c>
      <c r="P133" s="122"/>
      <c r="Q133" s="122"/>
      <c r="R133" s="122"/>
      <c r="S133" s="122"/>
      <c r="T133" s="122"/>
      <c r="U133" s="122"/>
      <c r="V133" s="122"/>
      <c r="W133" s="122"/>
      <c r="X133" s="122"/>
      <c r="Y133" s="122"/>
      <c r="Z133" s="122"/>
    </row>
    <row r="134" spans="1:26" ht="12.75" x14ac:dyDescent="0.2">
      <c r="A134" s="147"/>
      <c r="B134" s="145"/>
      <c r="C134" s="123" t="s">
        <v>190</v>
      </c>
      <c r="D134" s="145"/>
      <c r="E134" s="165"/>
      <c r="F134" s="120">
        <f t="shared" ref="F134:O134" si="14">$F$54</f>
        <v>0</v>
      </c>
      <c r="G134" s="120">
        <f t="shared" si="14"/>
        <v>0</v>
      </c>
      <c r="H134" s="120">
        <f t="shared" si="14"/>
        <v>0</v>
      </c>
      <c r="I134" s="120">
        <f t="shared" si="14"/>
        <v>0</v>
      </c>
      <c r="J134" s="120">
        <f t="shared" si="14"/>
        <v>0</v>
      </c>
      <c r="K134" s="120">
        <f t="shared" si="14"/>
        <v>0</v>
      </c>
      <c r="L134" s="120">
        <f t="shared" si="14"/>
        <v>0</v>
      </c>
      <c r="M134" s="120">
        <f t="shared" si="14"/>
        <v>0</v>
      </c>
      <c r="N134" s="120">
        <f t="shared" si="14"/>
        <v>0</v>
      </c>
      <c r="O134" s="120">
        <f t="shared" si="14"/>
        <v>0</v>
      </c>
      <c r="P134" s="122"/>
      <c r="Q134" s="122"/>
      <c r="R134" s="122"/>
      <c r="S134" s="122"/>
      <c r="T134" s="122"/>
      <c r="U134" s="122"/>
      <c r="V134" s="122"/>
      <c r="W134" s="122"/>
      <c r="X134" s="122"/>
      <c r="Y134" s="122"/>
      <c r="Z134" s="122"/>
    </row>
    <row r="135" spans="1:26" ht="12.75" x14ac:dyDescent="0.2">
      <c r="A135" s="147"/>
      <c r="B135" s="145"/>
      <c r="C135" s="123" t="s">
        <v>191</v>
      </c>
      <c r="D135" s="145"/>
      <c r="E135" s="165"/>
      <c r="F135" s="166">
        <v>1</v>
      </c>
      <c r="G135" s="166">
        <f t="shared" ref="G135:O135" si="15">F135*(1+G134)</f>
        <v>1</v>
      </c>
      <c r="H135" s="166">
        <f t="shared" si="15"/>
        <v>1</v>
      </c>
      <c r="I135" s="166">
        <f t="shared" si="15"/>
        <v>1</v>
      </c>
      <c r="J135" s="166">
        <f t="shared" si="15"/>
        <v>1</v>
      </c>
      <c r="K135" s="166">
        <f t="shared" si="15"/>
        <v>1</v>
      </c>
      <c r="L135" s="166">
        <f t="shared" si="15"/>
        <v>1</v>
      </c>
      <c r="M135" s="166">
        <f t="shared" si="15"/>
        <v>1</v>
      </c>
      <c r="N135" s="166">
        <f t="shared" si="15"/>
        <v>1</v>
      </c>
      <c r="O135" s="166">
        <f t="shared" si="15"/>
        <v>1</v>
      </c>
      <c r="P135" s="122"/>
      <c r="Q135" s="122"/>
      <c r="R135" s="122"/>
      <c r="S135" s="122"/>
      <c r="T135" s="122"/>
      <c r="U135" s="122"/>
      <c r="V135" s="122"/>
      <c r="W135" s="122"/>
      <c r="X135" s="122"/>
      <c r="Y135" s="122"/>
      <c r="Z135" s="122"/>
    </row>
    <row r="136" spans="1:26" ht="12.75" x14ac:dyDescent="0.2">
      <c r="A136" s="147"/>
      <c r="B136" s="145"/>
      <c r="C136" s="123" t="s">
        <v>264</v>
      </c>
      <c r="D136" s="145"/>
      <c r="E136" s="165"/>
      <c r="F136" s="120">
        <f t="shared" ref="F136:O136" si="16">$F$76</f>
        <v>0</v>
      </c>
      <c r="G136" s="120">
        <f t="shared" si="16"/>
        <v>0</v>
      </c>
      <c r="H136" s="120">
        <f t="shared" si="16"/>
        <v>0</v>
      </c>
      <c r="I136" s="120">
        <f t="shared" si="16"/>
        <v>0</v>
      </c>
      <c r="J136" s="120">
        <f t="shared" si="16"/>
        <v>0</v>
      </c>
      <c r="K136" s="120">
        <f t="shared" si="16"/>
        <v>0</v>
      </c>
      <c r="L136" s="120">
        <f t="shared" si="16"/>
        <v>0</v>
      </c>
      <c r="M136" s="120">
        <f t="shared" si="16"/>
        <v>0</v>
      </c>
      <c r="N136" s="120">
        <f t="shared" si="16"/>
        <v>0</v>
      </c>
      <c r="O136" s="120">
        <f t="shared" si="16"/>
        <v>0</v>
      </c>
      <c r="P136" s="122"/>
      <c r="Q136" s="122"/>
      <c r="R136" s="122"/>
      <c r="S136" s="122"/>
      <c r="T136" s="122"/>
      <c r="U136" s="122"/>
      <c r="V136" s="122"/>
      <c r="W136" s="122"/>
      <c r="X136" s="122"/>
      <c r="Y136" s="122"/>
      <c r="Z136" s="122"/>
    </row>
    <row r="137" spans="1:26" ht="12.75" x14ac:dyDescent="0.2">
      <c r="A137" s="147"/>
      <c r="B137" s="145"/>
      <c r="C137" s="123" t="s">
        <v>265</v>
      </c>
      <c r="D137" s="145"/>
      <c r="E137" s="165"/>
      <c r="F137" s="166">
        <v>1</v>
      </c>
      <c r="G137" s="166">
        <f t="shared" ref="G137:O137" si="17">F137*(1+G136)</f>
        <v>1</v>
      </c>
      <c r="H137" s="166">
        <f t="shared" si="17"/>
        <v>1</v>
      </c>
      <c r="I137" s="166">
        <f t="shared" si="17"/>
        <v>1</v>
      </c>
      <c r="J137" s="166">
        <f t="shared" si="17"/>
        <v>1</v>
      </c>
      <c r="K137" s="166">
        <f t="shared" si="17"/>
        <v>1</v>
      </c>
      <c r="L137" s="166">
        <f t="shared" si="17"/>
        <v>1</v>
      </c>
      <c r="M137" s="166">
        <f t="shared" si="17"/>
        <v>1</v>
      </c>
      <c r="N137" s="166">
        <f t="shared" si="17"/>
        <v>1</v>
      </c>
      <c r="O137" s="166">
        <f t="shared" si="17"/>
        <v>1</v>
      </c>
      <c r="P137" s="122"/>
      <c r="Q137" s="122"/>
      <c r="R137" s="122"/>
      <c r="S137" s="122"/>
      <c r="T137" s="122"/>
      <c r="U137" s="122"/>
      <c r="V137" s="122"/>
      <c r="W137" s="122"/>
      <c r="X137" s="122"/>
      <c r="Y137" s="122"/>
      <c r="Z137" s="122"/>
    </row>
    <row r="138" spans="1:26" ht="12.75" x14ac:dyDescent="0.2">
      <c r="A138" s="147"/>
      <c r="B138" s="147"/>
      <c r="C138" s="122"/>
      <c r="D138" s="147"/>
      <c r="E138" s="167"/>
      <c r="F138" s="147"/>
      <c r="G138" s="147"/>
      <c r="H138" s="147"/>
      <c r="I138" s="147"/>
      <c r="J138" s="147"/>
      <c r="K138" s="147"/>
      <c r="L138" s="147"/>
      <c r="M138" s="147"/>
      <c r="N138" s="147"/>
      <c r="O138" s="122"/>
      <c r="P138" s="122"/>
      <c r="Q138" s="122"/>
      <c r="R138" s="122"/>
      <c r="S138" s="122"/>
      <c r="T138" s="122"/>
      <c r="U138" s="122"/>
      <c r="V138" s="122"/>
      <c r="W138" s="122"/>
      <c r="X138" s="122"/>
      <c r="Y138" s="122"/>
      <c r="Z138" s="122"/>
    </row>
    <row r="139" spans="1:26" ht="12.75" x14ac:dyDescent="0.2">
      <c r="A139" s="147"/>
      <c r="B139" s="168" t="s">
        <v>211</v>
      </c>
      <c r="C139" s="155"/>
      <c r="D139" s="169"/>
      <c r="E139" s="154"/>
      <c r="F139" s="169"/>
      <c r="G139" s="169"/>
      <c r="H139" s="169"/>
      <c r="I139" s="169"/>
      <c r="J139" s="169"/>
      <c r="K139" s="169"/>
      <c r="L139" s="169"/>
      <c r="M139" s="169"/>
      <c r="N139" s="169"/>
      <c r="O139" s="155"/>
      <c r="P139" s="122"/>
      <c r="Q139" s="122"/>
      <c r="R139" s="122"/>
      <c r="S139" s="122"/>
      <c r="T139" s="122"/>
      <c r="U139" s="122"/>
      <c r="V139" s="122"/>
      <c r="W139" s="122"/>
      <c r="X139" s="122"/>
      <c r="Y139" s="122"/>
      <c r="Z139" s="122"/>
    </row>
    <row r="140" spans="1:26" ht="12.75" x14ac:dyDescent="0.2">
      <c r="A140" s="147"/>
      <c r="B140" s="168"/>
      <c r="C140" s="155" t="s">
        <v>44</v>
      </c>
      <c r="D140" s="169"/>
      <c r="E140" s="154"/>
      <c r="F140" s="170">
        <f>$F$25</f>
        <v>1.26</v>
      </c>
      <c r="G140" s="170">
        <f t="shared" ref="G140:O140" si="18">$F$25</f>
        <v>1.26</v>
      </c>
      <c r="H140" s="170">
        <f t="shared" si="18"/>
        <v>1.26</v>
      </c>
      <c r="I140" s="170">
        <f t="shared" si="18"/>
        <v>1.26</v>
      </c>
      <c r="J140" s="170">
        <f t="shared" si="18"/>
        <v>1.26</v>
      </c>
      <c r="K140" s="170">
        <f t="shared" si="18"/>
        <v>1.26</v>
      </c>
      <c r="L140" s="170">
        <f t="shared" si="18"/>
        <v>1.26</v>
      </c>
      <c r="M140" s="170">
        <f t="shared" si="18"/>
        <v>1.26</v>
      </c>
      <c r="N140" s="170">
        <f t="shared" si="18"/>
        <v>1.26</v>
      </c>
      <c r="O140" s="170">
        <f t="shared" si="18"/>
        <v>1.26</v>
      </c>
      <c r="P140" s="122"/>
      <c r="Q140" s="122"/>
      <c r="R140" s="122"/>
      <c r="S140" s="122"/>
      <c r="T140" s="122"/>
      <c r="U140" s="122"/>
      <c r="V140" s="122"/>
      <c r="W140" s="122"/>
      <c r="X140" s="122"/>
      <c r="Y140" s="122"/>
      <c r="Z140" s="122"/>
    </row>
    <row r="141" spans="1:26" ht="12.75" x14ac:dyDescent="0.2">
      <c r="A141" s="147"/>
      <c r="B141" s="169"/>
      <c r="C141" s="155" t="s">
        <v>212</v>
      </c>
      <c r="D141" s="169"/>
      <c r="E141" s="154"/>
      <c r="F141" s="170">
        <f t="shared" ref="F141:O141" si="19">IF(F$117&lt;$I$26,$F$25,$I$25)</f>
        <v>1.26</v>
      </c>
      <c r="G141" s="170">
        <f t="shared" si="19"/>
        <v>1.26</v>
      </c>
      <c r="H141" s="170">
        <f t="shared" si="19"/>
        <v>1.26</v>
      </c>
      <c r="I141" s="170">
        <f t="shared" si="19"/>
        <v>1.26</v>
      </c>
      <c r="J141" s="170">
        <f t="shared" si="19"/>
        <v>1.26</v>
      </c>
      <c r="K141" s="170">
        <f t="shared" si="19"/>
        <v>1.26</v>
      </c>
      <c r="L141" s="170">
        <f t="shared" si="19"/>
        <v>1.26</v>
      </c>
      <c r="M141" s="170">
        <f t="shared" si="19"/>
        <v>1.26</v>
      </c>
      <c r="N141" s="170">
        <f t="shared" si="19"/>
        <v>1.26</v>
      </c>
      <c r="O141" s="170">
        <f t="shared" si="19"/>
        <v>1.26</v>
      </c>
      <c r="P141" s="122"/>
      <c r="Q141" s="122"/>
      <c r="R141" s="122"/>
      <c r="S141" s="122"/>
      <c r="T141" s="122"/>
      <c r="U141" s="122"/>
      <c r="V141" s="122"/>
      <c r="W141" s="122"/>
      <c r="X141" s="122"/>
      <c r="Y141" s="122"/>
      <c r="Z141" s="122"/>
    </row>
    <row r="142" spans="1:26" ht="12.75" x14ac:dyDescent="0.2">
      <c r="A142" s="147"/>
      <c r="B142" s="169"/>
      <c r="C142" s="155" t="s">
        <v>45</v>
      </c>
      <c r="D142" s="169"/>
      <c r="E142" s="154"/>
      <c r="F142" s="170">
        <f t="shared" ref="F142:O142" si="20">IF(F$117&lt;$M$26,$F$25,$M$25)</f>
        <v>0</v>
      </c>
      <c r="G142" s="170">
        <f t="shared" si="20"/>
        <v>0</v>
      </c>
      <c r="H142" s="170">
        <f t="shared" si="20"/>
        <v>0</v>
      </c>
      <c r="I142" s="170">
        <f t="shared" si="20"/>
        <v>0</v>
      </c>
      <c r="J142" s="170">
        <f t="shared" si="20"/>
        <v>0</v>
      </c>
      <c r="K142" s="170">
        <f t="shared" si="20"/>
        <v>0</v>
      </c>
      <c r="L142" s="170">
        <f t="shared" si="20"/>
        <v>0</v>
      </c>
      <c r="M142" s="170">
        <f t="shared" si="20"/>
        <v>0</v>
      </c>
      <c r="N142" s="170">
        <f t="shared" si="20"/>
        <v>0</v>
      </c>
      <c r="O142" s="170">
        <f t="shared" si="20"/>
        <v>0</v>
      </c>
      <c r="P142" s="122"/>
      <c r="Q142" s="122"/>
      <c r="R142" s="122"/>
      <c r="S142" s="122"/>
      <c r="T142" s="122"/>
      <c r="U142" s="122"/>
      <c r="V142" s="122"/>
      <c r="W142" s="122"/>
      <c r="X142" s="122"/>
      <c r="Y142" s="122"/>
      <c r="Z142" s="122"/>
    </row>
    <row r="143" spans="1:26" ht="12.75" x14ac:dyDescent="0.2">
      <c r="A143" s="147"/>
      <c r="B143" s="147"/>
      <c r="C143" s="122"/>
      <c r="D143" s="147"/>
      <c r="E143" s="167"/>
      <c r="F143" s="147"/>
      <c r="G143" s="147"/>
      <c r="H143" s="147"/>
      <c r="I143" s="147"/>
      <c r="J143" s="147"/>
      <c r="K143" s="147"/>
      <c r="L143" s="147"/>
      <c r="M143" s="147"/>
      <c r="N143" s="147"/>
      <c r="O143" s="122"/>
      <c r="P143" s="122"/>
      <c r="Q143" s="122"/>
      <c r="R143" s="122"/>
      <c r="S143" s="122"/>
      <c r="T143" s="122"/>
      <c r="U143" s="122"/>
      <c r="V143" s="122"/>
      <c r="W143" s="122"/>
      <c r="X143" s="122"/>
      <c r="Y143" s="122"/>
      <c r="Z143" s="122"/>
    </row>
    <row r="144" spans="1:26" s="229" customFormat="1" ht="12.75" x14ac:dyDescent="0.2">
      <c r="A144" s="168" t="s">
        <v>192</v>
      </c>
      <c r="B144" s="168"/>
      <c r="C144" s="150"/>
      <c r="D144" s="171" t="s">
        <v>174</v>
      </c>
      <c r="E144" s="171"/>
      <c r="F144" s="172">
        <v>0</v>
      </c>
      <c r="G144" s="172">
        <v>1</v>
      </c>
      <c r="H144" s="172">
        <v>2</v>
      </c>
      <c r="I144" s="172">
        <v>3</v>
      </c>
      <c r="J144" s="172">
        <v>4</v>
      </c>
      <c r="K144" s="172">
        <v>5</v>
      </c>
      <c r="L144" s="172">
        <v>6</v>
      </c>
      <c r="M144" s="172">
        <v>7</v>
      </c>
      <c r="N144" s="172">
        <v>8</v>
      </c>
      <c r="O144" s="172">
        <v>9</v>
      </c>
      <c r="P144" s="155"/>
      <c r="Q144" s="155"/>
      <c r="R144" s="155"/>
      <c r="S144" s="155"/>
      <c r="T144" s="155"/>
      <c r="U144" s="155"/>
      <c r="V144" s="155"/>
      <c r="W144" s="155"/>
      <c r="X144" s="155"/>
      <c r="Y144" s="155"/>
      <c r="Z144" s="155"/>
    </row>
    <row r="145" spans="1:26" ht="12.75" x14ac:dyDescent="0.2">
      <c r="A145" s="122"/>
      <c r="B145" s="145" t="s">
        <v>194</v>
      </c>
      <c r="C145" s="123"/>
      <c r="D145" s="119"/>
      <c r="E145" s="119"/>
      <c r="F145" s="119"/>
      <c r="G145" s="119"/>
      <c r="H145" s="119"/>
      <c r="I145" s="119"/>
      <c r="J145" s="119"/>
      <c r="K145" s="119"/>
      <c r="L145" s="119"/>
      <c r="M145" s="119"/>
      <c r="N145" s="119"/>
      <c r="O145" s="119"/>
      <c r="P145" s="122"/>
      <c r="Q145" s="122"/>
      <c r="R145" s="122"/>
      <c r="S145" s="122"/>
      <c r="T145" s="122"/>
      <c r="U145" s="122"/>
      <c r="V145" s="122"/>
      <c r="W145" s="122"/>
      <c r="X145" s="122"/>
      <c r="Y145" s="122"/>
      <c r="Z145" s="122"/>
    </row>
    <row r="146" spans="1:26" ht="12.75" x14ac:dyDescent="0.2">
      <c r="A146" s="122"/>
      <c r="B146" s="119"/>
      <c r="C146" s="123" t="s">
        <v>384</v>
      </c>
      <c r="D146" s="119"/>
      <c r="E146" s="119"/>
      <c r="F146" s="125">
        <f t="shared" ref="F146:O146" si="21">F$140*$F$31*F131</f>
        <v>1.3860000000000001</v>
      </c>
      <c r="G146" s="125">
        <f t="shared" si="21"/>
        <v>1.4220360000000001</v>
      </c>
      <c r="H146" s="125">
        <f t="shared" si="21"/>
        <v>1.459008936</v>
      </c>
      <c r="I146" s="125">
        <f t="shared" si="21"/>
        <v>1.4969431683360002</v>
      </c>
      <c r="J146" s="125">
        <f t="shared" si="21"/>
        <v>1.5358636907127363</v>
      </c>
      <c r="K146" s="125">
        <f t="shared" si="21"/>
        <v>1.5757961466712676</v>
      </c>
      <c r="L146" s="125">
        <f t="shared" si="21"/>
        <v>1.6167668464847207</v>
      </c>
      <c r="M146" s="125">
        <f t="shared" si="21"/>
        <v>1.6588027844933235</v>
      </c>
      <c r="N146" s="125">
        <f t="shared" si="21"/>
        <v>1.7019316568901499</v>
      </c>
      <c r="O146" s="125">
        <f t="shared" si="21"/>
        <v>1.7461818799692939</v>
      </c>
      <c r="P146" s="122"/>
      <c r="Q146" s="122"/>
      <c r="R146" s="122"/>
      <c r="S146" s="122"/>
      <c r="T146" s="122"/>
      <c r="U146" s="122"/>
      <c r="V146" s="122"/>
      <c r="W146" s="122"/>
      <c r="X146" s="122"/>
      <c r="Y146" s="122"/>
      <c r="Z146" s="122"/>
    </row>
    <row r="147" spans="1:26" ht="12.75" x14ac:dyDescent="0.2">
      <c r="A147" s="122"/>
      <c r="B147" s="119"/>
      <c r="C147" s="123" t="s">
        <v>232</v>
      </c>
      <c r="D147" s="119"/>
      <c r="E147" s="119"/>
      <c r="F147" s="125">
        <f>$F$37*F146</f>
        <v>0.135828</v>
      </c>
      <c r="G147" s="125">
        <f t="shared" ref="G147:O147" si="22">$F$37*G146</f>
        <v>0.13935952800000001</v>
      </c>
      <c r="H147" s="125">
        <f t="shared" si="22"/>
        <v>0.142982875728</v>
      </c>
      <c r="I147" s="125">
        <f t="shared" si="22"/>
        <v>0.14670043049692802</v>
      </c>
      <c r="J147" s="125">
        <f t="shared" si="22"/>
        <v>0.15051464168984816</v>
      </c>
      <c r="K147" s="125">
        <f t="shared" si="22"/>
        <v>0.15442802237378422</v>
      </c>
      <c r="L147" s="125">
        <f t="shared" si="22"/>
        <v>0.15844315095550263</v>
      </c>
      <c r="M147" s="125">
        <f t="shared" si="22"/>
        <v>0.1625626728803457</v>
      </c>
      <c r="N147" s="125">
        <f t="shared" si="22"/>
        <v>0.1667893023752347</v>
      </c>
      <c r="O147" s="125">
        <f t="shared" si="22"/>
        <v>0.1711258242369908</v>
      </c>
      <c r="P147" s="122"/>
      <c r="Q147" s="122"/>
      <c r="R147" s="122"/>
      <c r="S147" s="122"/>
      <c r="T147" s="122"/>
      <c r="U147" s="122"/>
      <c r="V147" s="122"/>
      <c r="W147" s="122"/>
      <c r="X147" s="122"/>
      <c r="Y147" s="122"/>
      <c r="Z147" s="122"/>
    </row>
    <row r="148" spans="1:26" ht="12.75" x14ac:dyDescent="0.2">
      <c r="A148" s="122"/>
      <c r="B148" s="119"/>
      <c r="C148" s="123" t="s">
        <v>385</v>
      </c>
      <c r="D148" s="119"/>
      <c r="E148" s="119"/>
      <c r="F148" s="125">
        <f>$F$28/1000</f>
        <v>0.39200000000000002</v>
      </c>
      <c r="G148" s="125">
        <f t="shared" ref="G148:O148" si="23">$F$28/1000</f>
        <v>0.39200000000000002</v>
      </c>
      <c r="H148" s="125">
        <f t="shared" si="23"/>
        <v>0.39200000000000002</v>
      </c>
      <c r="I148" s="125">
        <f t="shared" si="23"/>
        <v>0.39200000000000002</v>
      </c>
      <c r="J148" s="125">
        <f t="shared" si="23"/>
        <v>0.39200000000000002</v>
      </c>
      <c r="K148" s="125">
        <f t="shared" si="23"/>
        <v>0.39200000000000002</v>
      </c>
      <c r="L148" s="125">
        <f t="shared" si="23"/>
        <v>0.39200000000000002</v>
      </c>
      <c r="M148" s="125">
        <f t="shared" si="23"/>
        <v>0.39200000000000002</v>
      </c>
      <c r="N148" s="125">
        <f t="shared" si="23"/>
        <v>0.39200000000000002</v>
      </c>
      <c r="O148" s="125">
        <f t="shared" si="23"/>
        <v>0.39200000000000002</v>
      </c>
      <c r="P148" s="122"/>
      <c r="Q148" s="122"/>
      <c r="R148" s="122"/>
      <c r="S148" s="122"/>
      <c r="T148" s="122"/>
      <c r="U148" s="122"/>
      <c r="V148" s="122"/>
      <c r="W148" s="122"/>
      <c r="X148" s="122"/>
      <c r="Y148" s="122"/>
      <c r="Z148" s="122"/>
    </row>
    <row r="149" spans="1:26" ht="12.75" x14ac:dyDescent="0.2">
      <c r="A149" s="122"/>
      <c r="B149" s="119"/>
      <c r="C149" s="123" t="s">
        <v>386</v>
      </c>
      <c r="D149" s="119"/>
      <c r="E149" s="119"/>
      <c r="F149" s="125">
        <f t="shared" ref="F149:O149" si="24">$F$62*F$140/1000</f>
        <v>5.04E-2</v>
      </c>
      <c r="G149" s="125">
        <f t="shared" si="24"/>
        <v>5.04E-2</v>
      </c>
      <c r="H149" s="125">
        <f t="shared" si="24"/>
        <v>5.04E-2</v>
      </c>
      <c r="I149" s="125">
        <f t="shared" si="24"/>
        <v>5.04E-2</v>
      </c>
      <c r="J149" s="125">
        <f t="shared" si="24"/>
        <v>5.04E-2</v>
      </c>
      <c r="K149" s="125">
        <f t="shared" si="24"/>
        <v>5.04E-2</v>
      </c>
      <c r="L149" s="125">
        <f t="shared" si="24"/>
        <v>5.04E-2</v>
      </c>
      <c r="M149" s="125">
        <f t="shared" si="24"/>
        <v>5.04E-2</v>
      </c>
      <c r="N149" s="125">
        <f t="shared" si="24"/>
        <v>5.04E-2</v>
      </c>
      <c r="O149" s="125">
        <f t="shared" si="24"/>
        <v>5.04E-2</v>
      </c>
      <c r="P149" s="122"/>
      <c r="Q149" s="122"/>
      <c r="R149" s="122"/>
      <c r="S149" s="122"/>
      <c r="T149" s="122"/>
      <c r="U149" s="122"/>
      <c r="V149" s="122"/>
      <c r="W149" s="122"/>
      <c r="X149" s="122"/>
      <c r="Y149" s="122"/>
      <c r="Z149" s="122"/>
    </row>
    <row r="150" spans="1:26" ht="12.75" x14ac:dyDescent="0.2">
      <c r="A150" s="122"/>
      <c r="B150" s="119"/>
      <c r="C150" s="123" t="s">
        <v>387</v>
      </c>
      <c r="D150" s="119"/>
      <c r="E150" s="119"/>
      <c r="F150" s="125">
        <f>F146-F147-F148-F149</f>
        <v>0.80777200000000005</v>
      </c>
      <c r="G150" s="125">
        <f t="shared" ref="G150:O150" si="25">G146-G147-G148-G149</f>
        <v>0.84027647200000011</v>
      </c>
      <c r="H150" s="125">
        <f t="shared" si="25"/>
        <v>0.87362606027199996</v>
      </c>
      <c r="I150" s="125">
        <f t="shared" si="25"/>
        <v>0.90784273783907221</v>
      </c>
      <c r="J150" s="125">
        <f t="shared" si="25"/>
        <v>0.94294904902288812</v>
      </c>
      <c r="K150" s="125">
        <f t="shared" si="25"/>
        <v>0.97896812429748326</v>
      </c>
      <c r="L150" s="125">
        <f t="shared" si="25"/>
        <v>1.0159236955292179</v>
      </c>
      <c r="M150" s="125">
        <f t="shared" si="25"/>
        <v>1.0538401116129779</v>
      </c>
      <c r="N150" s="125">
        <f t="shared" si="25"/>
        <v>1.0927423545149153</v>
      </c>
      <c r="O150" s="125">
        <f t="shared" si="25"/>
        <v>1.1326560557323029</v>
      </c>
      <c r="P150" s="122"/>
      <c r="Q150" s="122"/>
      <c r="R150" s="122"/>
      <c r="S150" s="122"/>
      <c r="T150" s="122"/>
      <c r="U150" s="122"/>
      <c r="V150" s="122"/>
      <c r="W150" s="122"/>
      <c r="X150" s="122"/>
      <c r="Y150" s="122"/>
      <c r="Z150" s="122"/>
    </row>
    <row r="151" spans="1:26" ht="12.75" x14ac:dyDescent="0.2">
      <c r="A151" s="122"/>
      <c r="B151" s="122"/>
      <c r="C151" s="149"/>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row>
    <row r="152" spans="1:26" ht="12.75" x14ac:dyDescent="0.2">
      <c r="A152" s="122"/>
      <c r="B152" s="145" t="s">
        <v>197</v>
      </c>
      <c r="C152" s="123"/>
      <c r="D152" s="119"/>
      <c r="E152" s="119"/>
      <c r="F152" s="396"/>
      <c r="G152" s="396"/>
      <c r="H152" s="396"/>
      <c r="I152" s="396"/>
      <c r="J152" s="396"/>
      <c r="K152" s="396"/>
      <c r="L152" s="396"/>
      <c r="M152" s="396"/>
      <c r="N152" s="396"/>
      <c r="O152" s="396"/>
      <c r="P152" s="122"/>
      <c r="Q152" s="122"/>
      <c r="R152" s="122"/>
      <c r="S152" s="122"/>
      <c r="T152" s="122"/>
      <c r="U152" s="122"/>
      <c r="V152" s="122"/>
      <c r="W152" s="122"/>
      <c r="X152" s="122"/>
      <c r="Y152" s="122"/>
      <c r="Z152" s="122"/>
    </row>
    <row r="153" spans="1:26" ht="12.75" x14ac:dyDescent="0.2">
      <c r="A153" s="122"/>
      <c r="B153" s="119"/>
      <c r="C153" s="123" t="s">
        <v>384</v>
      </c>
      <c r="D153" s="119"/>
      <c r="E153" s="119"/>
      <c r="F153" s="125">
        <f t="shared" ref="F153:O153" si="26">MIN(F$141*$I$31*F$133,$I$32*F$141)</f>
        <v>3.15</v>
      </c>
      <c r="G153" s="125">
        <f t="shared" si="26"/>
        <v>3.2759999999999998</v>
      </c>
      <c r="H153" s="125">
        <f t="shared" si="26"/>
        <v>3.4070400000000003</v>
      </c>
      <c r="I153" s="125">
        <f t="shared" si="26"/>
        <v>3.5433216000000001</v>
      </c>
      <c r="J153" s="125">
        <f t="shared" si="26"/>
        <v>3.6850544640000007</v>
      </c>
      <c r="K153" s="125">
        <f t="shared" si="26"/>
        <v>3.8324566425600008</v>
      </c>
      <c r="L153" s="125">
        <f t="shared" si="26"/>
        <v>3.9857549082624009</v>
      </c>
      <c r="M153" s="125">
        <f t="shared" si="26"/>
        <v>4.1451851045928976</v>
      </c>
      <c r="N153" s="125">
        <f t="shared" si="26"/>
        <v>4.3109925087766134</v>
      </c>
      <c r="O153" s="125">
        <f t="shared" si="26"/>
        <v>4.4834322091276784</v>
      </c>
      <c r="P153" s="122"/>
      <c r="Q153" s="122"/>
      <c r="R153" s="122"/>
      <c r="S153" s="122"/>
      <c r="T153" s="122"/>
      <c r="U153" s="122"/>
      <c r="V153" s="122"/>
      <c r="W153" s="122"/>
      <c r="X153" s="122"/>
      <c r="Y153" s="122"/>
      <c r="Z153" s="122"/>
    </row>
    <row r="154" spans="1:26" ht="12.75" x14ac:dyDescent="0.2">
      <c r="A154" s="122"/>
      <c r="B154" s="119"/>
      <c r="C154" s="123" t="s">
        <v>232</v>
      </c>
      <c r="D154" s="119"/>
      <c r="E154" s="119"/>
      <c r="F154" s="125">
        <f>$I$37*F153</f>
        <v>0.30870000000000003</v>
      </c>
      <c r="G154" s="125">
        <f t="shared" ref="G154:O154" si="27">$I$37*G153</f>
        <v>0.321048</v>
      </c>
      <c r="H154" s="125">
        <f t="shared" si="27"/>
        <v>0.33388992000000006</v>
      </c>
      <c r="I154" s="125">
        <f t="shared" si="27"/>
        <v>0.34724551680000004</v>
      </c>
      <c r="J154" s="125">
        <f t="shared" si="27"/>
        <v>0.36113533747200011</v>
      </c>
      <c r="K154" s="125">
        <f t="shared" si="27"/>
        <v>0.37558075097088012</v>
      </c>
      <c r="L154" s="125">
        <f t="shared" si="27"/>
        <v>0.39060398100971527</v>
      </c>
      <c r="M154" s="125">
        <f t="shared" si="27"/>
        <v>0.40622814025010395</v>
      </c>
      <c r="N154" s="125">
        <f t="shared" si="27"/>
        <v>0.42247726586010814</v>
      </c>
      <c r="O154" s="125">
        <f t="shared" si="27"/>
        <v>0.43937635649451251</v>
      </c>
      <c r="P154" s="122"/>
      <c r="Q154" s="122"/>
      <c r="R154" s="122"/>
      <c r="S154" s="122"/>
      <c r="T154" s="122"/>
      <c r="U154" s="122"/>
      <c r="V154" s="122"/>
      <c r="W154" s="122"/>
      <c r="X154" s="122"/>
      <c r="Y154" s="122"/>
      <c r="Z154" s="122"/>
    </row>
    <row r="155" spans="1:26" ht="12.75" x14ac:dyDescent="0.2">
      <c r="A155" s="122"/>
      <c r="B155" s="119"/>
      <c r="C155" s="123" t="s">
        <v>385</v>
      </c>
      <c r="D155" s="119"/>
      <c r="E155" s="119"/>
      <c r="F155" s="125">
        <f>$I$28/1000</f>
        <v>0.47039999999999998</v>
      </c>
      <c r="G155" s="125">
        <f t="shared" ref="G155:O155" si="28">$I$28/1000</f>
        <v>0.47039999999999998</v>
      </c>
      <c r="H155" s="125">
        <f t="shared" si="28"/>
        <v>0.47039999999999998</v>
      </c>
      <c r="I155" s="125">
        <f t="shared" si="28"/>
        <v>0.47039999999999998</v>
      </c>
      <c r="J155" s="125">
        <f t="shared" si="28"/>
        <v>0.47039999999999998</v>
      </c>
      <c r="K155" s="125">
        <f t="shared" si="28"/>
        <v>0.47039999999999998</v>
      </c>
      <c r="L155" s="125">
        <f t="shared" si="28"/>
        <v>0.47039999999999998</v>
      </c>
      <c r="M155" s="125">
        <f t="shared" si="28"/>
        <v>0.47039999999999998</v>
      </c>
      <c r="N155" s="125">
        <f t="shared" si="28"/>
        <v>0.47039999999999998</v>
      </c>
      <c r="O155" s="125">
        <f t="shared" si="28"/>
        <v>0.47039999999999998</v>
      </c>
      <c r="P155" s="122"/>
      <c r="Q155" s="122"/>
      <c r="R155" s="122"/>
      <c r="S155" s="122"/>
      <c r="T155" s="122"/>
      <c r="U155" s="122"/>
      <c r="V155" s="122"/>
      <c r="W155" s="122"/>
      <c r="X155" s="122"/>
      <c r="Y155" s="122"/>
      <c r="Z155" s="122"/>
    </row>
    <row r="156" spans="1:26" ht="12.75" x14ac:dyDescent="0.2">
      <c r="A156" s="122"/>
      <c r="B156" s="119"/>
      <c r="C156" s="123" t="s">
        <v>386</v>
      </c>
      <c r="D156" s="119"/>
      <c r="E156" s="119"/>
      <c r="F156" s="125">
        <f t="shared" ref="F156:O156" si="29">$I$62*F$141/1000</f>
        <v>6.3E-3</v>
      </c>
      <c r="G156" s="125">
        <f t="shared" si="29"/>
        <v>6.3E-3</v>
      </c>
      <c r="H156" s="125">
        <f t="shared" si="29"/>
        <v>6.3E-3</v>
      </c>
      <c r="I156" s="125">
        <f t="shared" si="29"/>
        <v>6.3E-3</v>
      </c>
      <c r="J156" s="125">
        <f t="shared" si="29"/>
        <v>6.3E-3</v>
      </c>
      <c r="K156" s="125">
        <f t="shared" si="29"/>
        <v>6.3E-3</v>
      </c>
      <c r="L156" s="125">
        <f t="shared" si="29"/>
        <v>6.3E-3</v>
      </c>
      <c r="M156" s="125">
        <f t="shared" si="29"/>
        <v>6.3E-3</v>
      </c>
      <c r="N156" s="125">
        <f t="shared" si="29"/>
        <v>6.3E-3</v>
      </c>
      <c r="O156" s="125">
        <f t="shared" si="29"/>
        <v>6.3E-3</v>
      </c>
      <c r="P156" s="122"/>
      <c r="Q156" s="122"/>
      <c r="R156" s="122"/>
      <c r="S156" s="122"/>
      <c r="T156" s="122"/>
      <c r="U156" s="122"/>
      <c r="V156" s="122"/>
      <c r="W156" s="122"/>
      <c r="X156" s="122"/>
      <c r="Y156" s="122"/>
      <c r="Z156" s="122"/>
    </row>
    <row r="157" spans="1:26" ht="12.75" x14ac:dyDescent="0.2">
      <c r="A157" s="122"/>
      <c r="B157" s="119"/>
      <c r="C157" s="123" t="s">
        <v>387</v>
      </c>
      <c r="D157" s="119"/>
      <c r="E157" s="119"/>
      <c r="F157" s="125">
        <f>F153-F154-F155-F156</f>
        <v>2.3645999999999998</v>
      </c>
      <c r="G157" s="125">
        <f t="shared" ref="G157:O157" si="30">G153-G154-G155-G156</f>
        <v>2.4782519999999995</v>
      </c>
      <c r="H157" s="125">
        <f t="shared" si="30"/>
        <v>2.5964500800000003</v>
      </c>
      <c r="I157" s="125">
        <f t="shared" si="30"/>
        <v>2.7193760831999998</v>
      </c>
      <c r="J157" s="125">
        <f t="shared" si="30"/>
        <v>2.8472191265280005</v>
      </c>
      <c r="K157" s="125">
        <f t="shared" si="30"/>
        <v>2.9801758915891208</v>
      </c>
      <c r="L157" s="125">
        <f t="shared" si="30"/>
        <v>3.1184509272526855</v>
      </c>
      <c r="M157" s="125">
        <f t="shared" si="30"/>
        <v>3.2622569643427934</v>
      </c>
      <c r="N157" s="125">
        <f t="shared" si="30"/>
        <v>3.4118152429165054</v>
      </c>
      <c r="O157" s="125">
        <f t="shared" si="30"/>
        <v>3.5673558526331659</v>
      </c>
      <c r="P157" s="122"/>
      <c r="Q157" s="122"/>
      <c r="R157" s="122"/>
      <c r="S157" s="122"/>
      <c r="T157" s="122"/>
      <c r="U157" s="122"/>
      <c r="V157" s="122"/>
      <c r="W157" s="122"/>
      <c r="X157" s="122"/>
      <c r="Y157" s="122"/>
      <c r="Z157" s="122"/>
    </row>
    <row r="158" spans="1:26" ht="12.75" x14ac:dyDescent="0.2">
      <c r="A158" s="122"/>
      <c r="B158" s="122"/>
      <c r="C158" s="122"/>
      <c r="D158" s="122"/>
      <c r="E158" s="122"/>
      <c r="F158" s="122"/>
      <c r="G158" s="122"/>
      <c r="H158" s="122"/>
      <c r="I158" s="122"/>
      <c r="J158" s="122"/>
      <c r="K158" s="122"/>
      <c r="L158" s="122"/>
      <c r="M158" s="122"/>
      <c r="N158" s="122"/>
      <c r="O158" s="122"/>
      <c r="P158" s="122"/>
      <c r="Q158" s="122"/>
      <c r="R158" s="122"/>
      <c r="S158" s="122"/>
      <c r="T158" s="122"/>
      <c r="U158" s="122"/>
      <c r="V158" s="122"/>
      <c r="W158" s="122"/>
      <c r="X158" s="122"/>
      <c r="Y158" s="122"/>
      <c r="Z158" s="122"/>
    </row>
    <row r="159" spans="1:26" ht="12.75" x14ac:dyDescent="0.2">
      <c r="A159" s="122"/>
      <c r="B159" s="145" t="s">
        <v>198</v>
      </c>
      <c r="C159" s="123"/>
      <c r="D159" s="119"/>
      <c r="E159" s="119"/>
      <c r="F159" s="119"/>
      <c r="G159" s="119"/>
      <c r="H159" s="119"/>
      <c r="I159" s="119"/>
      <c r="J159" s="119"/>
      <c r="K159" s="119"/>
      <c r="L159" s="119"/>
      <c r="M159" s="119"/>
      <c r="N159" s="119"/>
      <c r="O159" s="119"/>
      <c r="P159" s="122"/>
      <c r="Q159" s="122"/>
      <c r="R159" s="122"/>
      <c r="S159" s="122"/>
      <c r="T159" s="122"/>
      <c r="U159" s="122"/>
      <c r="V159" s="122"/>
      <c r="W159" s="122"/>
      <c r="X159" s="122"/>
      <c r="Y159" s="122"/>
      <c r="Z159" s="122"/>
    </row>
    <row r="160" spans="1:26" ht="12.75" x14ac:dyDescent="0.2">
      <c r="A160" s="122"/>
      <c r="B160" s="119"/>
      <c r="C160" s="123" t="s">
        <v>384</v>
      </c>
      <c r="D160" s="119"/>
      <c r="E160" s="119"/>
      <c r="F160" s="125">
        <f t="shared" ref="F160:O160" si="31">MIN(F$142*$M$31*F$133,$M$32*F$142)</f>
        <v>0</v>
      </c>
      <c r="G160" s="125">
        <f t="shared" si="31"/>
        <v>0</v>
      </c>
      <c r="H160" s="125">
        <f t="shared" si="31"/>
        <v>0</v>
      </c>
      <c r="I160" s="125">
        <f t="shared" si="31"/>
        <v>0</v>
      </c>
      <c r="J160" s="125">
        <f t="shared" si="31"/>
        <v>0</v>
      </c>
      <c r="K160" s="125">
        <f t="shared" si="31"/>
        <v>0</v>
      </c>
      <c r="L160" s="125">
        <f t="shared" si="31"/>
        <v>0</v>
      </c>
      <c r="M160" s="125">
        <f t="shared" si="31"/>
        <v>0</v>
      </c>
      <c r="N160" s="125">
        <f t="shared" si="31"/>
        <v>0</v>
      </c>
      <c r="O160" s="125">
        <f t="shared" si="31"/>
        <v>0</v>
      </c>
      <c r="P160" s="122"/>
      <c r="Q160" s="122"/>
      <c r="R160" s="122"/>
      <c r="S160" s="122"/>
      <c r="T160" s="122"/>
      <c r="U160" s="122"/>
      <c r="V160" s="122"/>
      <c r="W160" s="122"/>
      <c r="X160" s="122"/>
      <c r="Y160" s="122"/>
      <c r="Z160" s="122"/>
    </row>
    <row r="161" spans="1:26" ht="12.75" x14ac:dyDescent="0.2">
      <c r="A161" s="122"/>
      <c r="B161" s="119"/>
      <c r="C161" s="123" t="s">
        <v>232</v>
      </c>
      <c r="D161" s="119"/>
      <c r="E161" s="119"/>
      <c r="F161" s="125">
        <f>$M$37*F160</f>
        <v>0</v>
      </c>
      <c r="G161" s="125">
        <f t="shared" ref="G161:O161" si="32">$M$37*G160</f>
        <v>0</v>
      </c>
      <c r="H161" s="125">
        <f t="shared" si="32"/>
        <v>0</v>
      </c>
      <c r="I161" s="125">
        <f t="shared" si="32"/>
        <v>0</v>
      </c>
      <c r="J161" s="125">
        <f t="shared" si="32"/>
        <v>0</v>
      </c>
      <c r="K161" s="125">
        <f t="shared" si="32"/>
        <v>0</v>
      </c>
      <c r="L161" s="125">
        <f t="shared" si="32"/>
        <v>0</v>
      </c>
      <c r="M161" s="125">
        <f t="shared" si="32"/>
        <v>0</v>
      </c>
      <c r="N161" s="125">
        <f t="shared" si="32"/>
        <v>0</v>
      </c>
      <c r="O161" s="125">
        <f t="shared" si="32"/>
        <v>0</v>
      </c>
      <c r="P161" s="122"/>
      <c r="Q161" s="122"/>
      <c r="R161" s="122"/>
      <c r="S161" s="122"/>
      <c r="T161" s="122"/>
      <c r="U161" s="122"/>
      <c r="V161" s="122"/>
      <c r="W161" s="122"/>
      <c r="X161" s="122"/>
      <c r="Y161" s="122"/>
      <c r="Z161" s="122"/>
    </row>
    <row r="162" spans="1:26" ht="12.75" x14ac:dyDescent="0.2">
      <c r="A162" s="122"/>
      <c r="B162" s="119"/>
      <c r="C162" s="123" t="s">
        <v>385</v>
      </c>
      <c r="D162" s="119"/>
      <c r="E162" s="119"/>
      <c r="F162" s="125">
        <f>$M$28/1000</f>
        <v>0</v>
      </c>
      <c r="G162" s="125">
        <f t="shared" ref="G162:O162" si="33">$M$28/1000</f>
        <v>0</v>
      </c>
      <c r="H162" s="125">
        <f t="shared" si="33"/>
        <v>0</v>
      </c>
      <c r="I162" s="125">
        <f t="shared" si="33"/>
        <v>0</v>
      </c>
      <c r="J162" s="125">
        <f t="shared" si="33"/>
        <v>0</v>
      </c>
      <c r="K162" s="125">
        <f t="shared" si="33"/>
        <v>0</v>
      </c>
      <c r="L162" s="125">
        <f t="shared" si="33"/>
        <v>0</v>
      </c>
      <c r="M162" s="125">
        <f t="shared" si="33"/>
        <v>0</v>
      </c>
      <c r="N162" s="125">
        <f t="shared" si="33"/>
        <v>0</v>
      </c>
      <c r="O162" s="125">
        <f t="shared" si="33"/>
        <v>0</v>
      </c>
      <c r="P162" s="122"/>
      <c r="Q162" s="122"/>
      <c r="R162" s="122"/>
      <c r="S162" s="122"/>
      <c r="T162" s="122"/>
      <c r="U162" s="122"/>
      <c r="V162" s="122"/>
      <c r="W162" s="122"/>
      <c r="X162" s="122"/>
      <c r="Y162" s="122"/>
      <c r="Z162" s="122"/>
    </row>
    <row r="163" spans="1:26" ht="12.75" x14ac:dyDescent="0.2">
      <c r="A163" s="122"/>
      <c r="B163" s="119"/>
      <c r="C163" s="123" t="s">
        <v>386</v>
      </c>
      <c r="D163" s="119"/>
      <c r="E163" s="119"/>
      <c r="F163" s="125">
        <f t="shared" ref="F163:O163" si="34">$M$62*F$142/1000</f>
        <v>0</v>
      </c>
      <c r="G163" s="125">
        <f t="shared" si="34"/>
        <v>0</v>
      </c>
      <c r="H163" s="125">
        <f t="shared" si="34"/>
        <v>0</v>
      </c>
      <c r="I163" s="125">
        <f t="shared" si="34"/>
        <v>0</v>
      </c>
      <c r="J163" s="125">
        <f t="shared" si="34"/>
        <v>0</v>
      </c>
      <c r="K163" s="125">
        <f t="shared" si="34"/>
        <v>0</v>
      </c>
      <c r="L163" s="125">
        <f t="shared" si="34"/>
        <v>0</v>
      </c>
      <c r="M163" s="125">
        <f t="shared" si="34"/>
        <v>0</v>
      </c>
      <c r="N163" s="125">
        <f t="shared" si="34"/>
        <v>0</v>
      </c>
      <c r="O163" s="125">
        <f t="shared" si="34"/>
        <v>0</v>
      </c>
      <c r="P163" s="122"/>
      <c r="Q163" s="122"/>
      <c r="R163" s="122"/>
      <c r="S163" s="122"/>
      <c r="T163" s="122"/>
      <c r="U163" s="122"/>
      <c r="V163" s="122"/>
      <c r="W163" s="122"/>
      <c r="X163" s="122"/>
      <c r="Y163" s="122"/>
      <c r="Z163" s="122"/>
    </row>
    <row r="164" spans="1:26" ht="12.75" x14ac:dyDescent="0.2">
      <c r="A164" s="122"/>
      <c r="B164" s="119"/>
      <c r="C164" s="123" t="s">
        <v>387</v>
      </c>
      <c r="D164" s="119"/>
      <c r="E164" s="119"/>
      <c r="F164" s="125">
        <f>F160-F161-F162-F163</f>
        <v>0</v>
      </c>
      <c r="G164" s="125">
        <f t="shared" ref="G164:O164" si="35">G160-G161-G162-G163</f>
        <v>0</v>
      </c>
      <c r="H164" s="125">
        <f t="shared" si="35"/>
        <v>0</v>
      </c>
      <c r="I164" s="125">
        <f t="shared" si="35"/>
        <v>0</v>
      </c>
      <c r="J164" s="125">
        <f t="shared" si="35"/>
        <v>0</v>
      </c>
      <c r="K164" s="125">
        <f t="shared" si="35"/>
        <v>0</v>
      </c>
      <c r="L164" s="125">
        <f t="shared" si="35"/>
        <v>0</v>
      </c>
      <c r="M164" s="125">
        <f t="shared" si="35"/>
        <v>0</v>
      </c>
      <c r="N164" s="125">
        <f t="shared" si="35"/>
        <v>0</v>
      </c>
      <c r="O164" s="125">
        <f t="shared" si="35"/>
        <v>0</v>
      </c>
      <c r="P164" s="122"/>
      <c r="Q164" s="122"/>
      <c r="R164" s="122"/>
      <c r="S164" s="122"/>
      <c r="T164" s="122"/>
      <c r="U164" s="122"/>
      <c r="V164" s="122"/>
      <c r="W164" s="122"/>
      <c r="X164" s="122"/>
      <c r="Y164" s="122"/>
      <c r="Z164" s="122"/>
    </row>
    <row r="165" spans="1:26" ht="12.75" x14ac:dyDescent="0.2">
      <c r="A165" s="122"/>
      <c r="B165" s="122"/>
      <c r="C165" s="122"/>
      <c r="D165" s="122"/>
      <c r="E165" s="173"/>
      <c r="F165" s="126"/>
      <c r="G165" s="126"/>
      <c r="H165" s="126"/>
      <c r="I165" s="126"/>
      <c r="J165" s="126"/>
      <c r="K165" s="126"/>
      <c r="L165" s="126"/>
      <c r="M165" s="126"/>
      <c r="N165" s="126"/>
      <c r="O165" s="126"/>
      <c r="P165" s="122"/>
      <c r="Q165" s="122"/>
      <c r="R165" s="122"/>
      <c r="S165" s="122"/>
      <c r="T165" s="122"/>
      <c r="U165" s="122"/>
      <c r="V165" s="122"/>
      <c r="W165" s="122"/>
      <c r="X165" s="122"/>
      <c r="Y165" s="122"/>
      <c r="Z165" s="122"/>
    </row>
    <row r="166" spans="1:26" ht="12.75" x14ac:dyDescent="0.2">
      <c r="A166" s="122"/>
      <c r="B166" s="145" t="s">
        <v>225</v>
      </c>
      <c r="C166" s="119"/>
      <c r="D166" s="119"/>
      <c r="E166" s="119"/>
      <c r="F166" s="125"/>
      <c r="G166" s="125"/>
      <c r="H166" s="125"/>
      <c r="I166" s="125"/>
      <c r="J166" s="125"/>
      <c r="K166" s="125"/>
      <c r="L166" s="125"/>
      <c r="M166" s="125"/>
      <c r="N166" s="125"/>
      <c r="O166" s="125"/>
      <c r="P166" s="122"/>
      <c r="Q166" s="122"/>
      <c r="R166" s="122"/>
      <c r="S166" s="122"/>
      <c r="T166" s="122"/>
      <c r="U166" s="122"/>
      <c r="V166" s="122"/>
      <c r="W166" s="122"/>
      <c r="X166" s="122"/>
      <c r="Y166" s="122"/>
      <c r="Z166" s="122"/>
    </row>
    <row r="167" spans="1:26" ht="12.75" x14ac:dyDescent="0.2">
      <c r="A167" s="122"/>
      <c r="B167" s="119"/>
      <c r="C167" s="123" t="s">
        <v>384</v>
      </c>
      <c r="D167" s="119"/>
      <c r="E167" s="119"/>
      <c r="F167" s="125">
        <f t="shared" ref="F167:O167" si="36">F146*$F$88*F$120*(1+$F$92)</f>
        <v>88.796886932753992</v>
      </c>
      <c r="G167" s="125">
        <f t="shared" si="36"/>
        <v>98.302948866453036</v>
      </c>
      <c r="H167" s="125">
        <f t="shared" si="36"/>
        <v>108.82667275440228</v>
      </c>
      <c r="I167" s="125">
        <f t="shared" si="36"/>
        <v>120.47700337945209</v>
      </c>
      <c r="J167" s="125">
        <f t="shared" si="36"/>
        <v>133.37454849923597</v>
      </c>
      <c r="K167" s="125">
        <f t="shared" si="36"/>
        <v>147.65282741427316</v>
      </c>
      <c r="L167" s="125">
        <f t="shared" si="36"/>
        <v>163.4596532002808</v>
      </c>
      <c r="M167" s="125">
        <f t="shared" si="36"/>
        <v>180.95866291398366</v>
      </c>
      <c r="N167" s="125">
        <f t="shared" si="36"/>
        <v>200.33101161357723</v>
      </c>
      <c r="O167" s="125">
        <f t="shared" si="36"/>
        <v>221.77724773085714</v>
      </c>
      <c r="P167" s="122"/>
      <c r="Q167" s="122"/>
      <c r="R167" s="122"/>
      <c r="S167" s="122"/>
      <c r="T167" s="122"/>
      <c r="U167" s="122"/>
      <c r="V167" s="122"/>
      <c r="W167" s="122"/>
      <c r="X167" s="122"/>
      <c r="Y167" s="122"/>
      <c r="Z167" s="122"/>
    </row>
    <row r="168" spans="1:26" ht="12.75" x14ac:dyDescent="0.2">
      <c r="A168" s="122"/>
      <c r="B168" s="119"/>
      <c r="C168" s="123" t="s">
        <v>231</v>
      </c>
      <c r="D168" s="119"/>
      <c r="E168" s="119"/>
      <c r="F168" s="125">
        <f t="shared" ref="F168:O168" si="37">F147*$F$88*F$120*(1+$F$92)</f>
        <v>8.7020949194098911</v>
      </c>
      <c r="G168" s="125">
        <f t="shared" si="37"/>
        <v>9.6336889889123984</v>
      </c>
      <c r="H168" s="125">
        <f t="shared" si="37"/>
        <v>10.665013929931424</v>
      </c>
      <c r="I168" s="125">
        <f t="shared" si="37"/>
        <v>11.806746331186305</v>
      </c>
      <c r="J168" s="125">
        <f t="shared" si="37"/>
        <v>13.070705752925125</v>
      </c>
      <c r="K168" s="125">
        <f t="shared" si="37"/>
        <v>14.469977086598773</v>
      </c>
      <c r="L168" s="125">
        <f t="shared" si="37"/>
        <v>16.019046013627516</v>
      </c>
      <c r="M168" s="125">
        <f t="shared" si="37"/>
        <v>17.733948965570399</v>
      </c>
      <c r="N168" s="125">
        <f t="shared" si="37"/>
        <v>19.632439138130572</v>
      </c>
      <c r="O168" s="125">
        <f t="shared" si="37"/>
        <v>21.734170277623999</v>
      </c>
      <c r="P168" s="122"/>
      <c r="Q168" s="122"/>
      <c r="R168" s="122"/>
      <c r="S168" s="122"/>
      <c r="T168" s="122"/>
      <c r="U168" s="122"/>
      <c r="V168" s="122"/>
      <c r="W168" s="122"/>
      <c r="X168" s="122"/>
      <c r="Y168" s="122"/>
      <c r="Z168" s="122"/>
    </row>
    <row r="169" spans="1:26" ht="12.75" x14ac:dyDescent="0.2">
      <c r="A169" s="122"/>
      <c r="B169" s="119"/>
      <c r="C169" s="395" t="s">
        <v>876</v>
      </c>
      <c r="D169" s="119"/>
      <c r="E169" s="119"/>
      <c r="F169" s="125">
        <f t="shared" ref="F169:O169" si="38">F148*$F$88*F$120*(1+$F$92)</f>
        <v>25.114271051687997</v>
      </c>
      <c r="G169" s="125">
        <f t="shared" si="38"/>
        <v>27.098298464771347</v>
      </c>
      <c r="H169" s="125">
        <f t="shared" si="38"/>
        <v>29.23906404348828</v>
      </c>
      <c r="I169" s="125">
        <f t="shared" si="38"/>
        <v>31.548950102923857</v>
      </c>
      <c r="J169" s="125">
        <f t="shared" si="38"/>
        <v>34.041317161054842</v>
      </c>
      <c r="K169" s="125">
        <f t="shared" si="38"/>
        <v>36.73058121677817</v>
      </c>
      <c r="L169" s="125">
        <f t="shared" si="38"/>
        <v>39.632297132903645</v>
      </c>
      <c r="M169" s="125">
        <f t="shared" si="38"/>
        <v>42.763248606403032</v>
      </c>
      <c r="N169" s="125">
        <f t="shared" si="38"/>
        <v>46.141545246308873</v>
      </c>
      <c r="O169" s="125">
        <f t="shared" si="38"/>
        <v>49.78672732076727</v>
      </c>
      <c r="P169" s="122"/>
      <c r="Q169" s="122"/>
      <c r="R169" s="122"/>
      <c r="S169" s="122"/>
      <c r="T169" s="122"/>
      <c r="U169" s="122"/>
      <c r="V169" s="122"/>
      <c r="W169" s="122"/>
      <c r="X169" s="122"/>
      <c r="Y169" s="122"/>
      <c r="Z169" s="122"/>
    </row>
    <row r="170" spans="1:26" ht="12.75" x14ac:dyDescent="0.2">
      <c r="A170" s="122"/>
      <c r="B170" s="119"/>
      <c r="C170" s="395" t="s">
        <v>877</v>
      </c>
      <c r="D170" s="119"/>
      <c r="E170" s="119"/>
      <c r="F170" s="125">
        <f t="shared" ref="F170:O170" si="39">F149*$F$88*F$120*(1+$F$92)</f>
        <v>3.2289777066455998</v>
      </c>
      <c r="G170" s="125">
        <f t="shared" si="39"/>
        <v>3.4840669454706021</v>
      </c>
      <c r="H170" s="125">
        <f t="shared" si="39"/>
        <v>3.7593082341627793</v>
      </c>
      <c r="I170" s="125">
        <f t="shared" si="39"/>
        <v>4.0562935846616393</v>
      </c>
      <c r="J170" s="125">
        <f t="shared" si="39"/>
        <v>4.3767407778499088</v>
      </c>
      <c r="K170" s="125">
        <f t="shared" si="39"/>
        <v>4.7225032993000511</v>
      </c>
      <c r="L170" s="125">
        <f t="shared" si="39"/>
        <v>5.0955810599447551</v>
      </c>
      <c r="M170" s="125">
        <f t="shared" si="39"/>
        <v>5.4981319636803905</v>
      </c>
      <c r="N170" s="125">
        <f t="shared" si="39"/>
        <v>5.9324843888111412</v>
      </c>
      <c r="O170" s="125">
        <f t="shared" si="39"/>
        <v>6.4011506555272213</v>
      </c>
      <c r="P170" s="122"/>
      <c r="Q170" s="122"/>
      <c r="R170" s="122"/>
      <c r="S170" s="122"/>
      <c r="T170" s="122"/>
      <c r="U170" s="122"/>
      <c r="V170" s="122"/>
      <c r="W170" s="122"/>
      <c r="X170" s="122"/>
      <c r="Y170" s="122"/>
      <c r="Z170" s="122"/>
    </row>
    <row r="171" spans="1:26" ht="12.75" x14ac:dyDescent="0.2">
      <c r="A171" s="122"/>
      <c r="B171" s="119"/>
      <c r="C171" s="175" t="s">
        <v>387</v>
      </c>
      <c r="D171" s="176"/>
      <c r="E171" s="176"/>
      <c r="F171" s="178">
        <f>F167-F168-F169-F170</f>
        <v>51.75154325501051</v>
      </c>
      <c r="G171" s="178">
        <f t="shared" ref="G171:O171" si="40">G167-G168-G169-G170</f>
        <v>58.086894467298691</v>
      </c>
      <c r="H171" s="178">
        <f t="shared" si="40"/>
        <v>65.163286546819805</v>
      </c>
      <c r="I171" s="178">
        <f t="shared" si="40"/>
        <v>73.065013360680283</v>
      </c>
      <c r="J171" s="178">
        <f t="shared" si="40"/>
        <v>81.885784807406111</v>
      </c>
      <c r="K171" s="178">
        <f t="shared" si="40"/>
        <v>91.729765811596167</v>
      </c>
      <c r="L171" s="178">
        <f t="shared" si="40"/>
        <v>102.71272899380487</v>
      </c>
      <c r="M171" s="178">
        <f t="shared" si="40"/>
        <v>114.96333337832984</v>
      </c>
      <c r="N171" s="178">
        <f t="shared" si="40"/>
        <v>128.62454284032665</v>
      </c>
      <c r="O171" s="178">
        <f t="shared" si="40"/>
        <v>143.85519947693862</v>
      </c>
      <c r="P171" s="122"/>
      <c r="Q171" s="122"/>
      <c r="R171" s="122"/>
      <c r="S171" s="122"/>
      <c r="T171" s="122"/>
      <c r="U171" s="122"/>
      <c r="V171" s="122"/>
      <c r="W171" s="122"/>
      <c r="X171" s="122"/>
      <c r="Y171" s="122"/>
      <c r="Z171" s="122"/>
    </row>
    <row r="172" spans="1:26" ht="12.75" x14ac:dyDescent="0.2">
      <c r="A172" s="122"/>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row>
    <row r="173" spans="1:26" ht="12.75" x14ac:dyDescent="0.2">
      <c r="A173" s="122"/>
      <c r="B173" s="145" t="s">
        <v>224</v>
      </c>
      <c r="C173" s="119"/>
      <c r="D173" s="119"/>
      <c r="E173" s="119"/>
      <c r="F173" s="119"/>
      <c r="G173" s="119"/>
      <c r="H173" s="119"/>
      <c r="I173" s="119"/>
      <c r="J173" s="119"/>
      <c r="K173" s="119"/>
      <c r="L173" s="119"/>
      <c r="M173" s="119"/>
      <c r="N173" s="119"/>
      <c r="O173" s="119"/>
      <c r="P173" s="122"/>
      <c r="Q173" s="122"/>
      <c r="R173" s="122"/>
      <c r="S173" s="122"/>
      <c r="T173" s="122"/>
      <c r="U173" s="122"/>
      <c r="V173" s="122"/>
      <c r="W173" s="122"/>
      <c r="X173" s="122"/>
      <c r="Y173" s="122"/>
      <c r="Z173" s="122"/>
    </row>
    <row r="174" spans="1:26" ht="12.75" x14ac:dyDescent="0.2">
      <c r="A174" s="122"/>
      <c r="B174" s="119"/>
      <c r="C174" s="123" t="s">
        <v>384</v>
      </c>
      <c r="D174" s="119"/>
      <c r="E174" s="119"/>
      <c r="F174" s="125">
        <f t="shared" ref="F174:O174" si="41">F153*$I$88*F$120*(1+$F$92)</f>
        <v>201.81110666534997</v>
      </c>
      <c r="G174" s="125">
        <f t="shared" si="41"/>
        <v>226.46435145558911</v>
      </c>
      <c r="H174" s="125">
        <f t="shared" si="41"/>
        <v>254.12923662940389</v>
      </c>
      <c r="I174" s="125">
        <f t="shared" si="41"/>
        <v>285.17366417605183</v>
      </c>
      <c r="J174" s="125">
        <f t="shared" si="41"/>
        <v>320.01047899179838</v>
      </c>
      <c r="K174" s="125">
        <f t="shared" si="41"/>
        <v>359.10295910543647</v>
      </c>
      <c r="L174" s="125">
        <f t="shared" si="41"/>
        <v>402.97097658975662</v>
      </c>
      <c r="M174" s="125">
        <f t="shared" si="41"/>
        <v>452.19791108996134</v>
      </c>
      <c r="N174" s="125">
        <f t="shared" si="41"/>
        <v>507.43840790871104</v>
      </c>
      <c r="O174" s="125">
        <f t="shared" si="41"/>
        <v>569.42708381883915</v>
      </c>
      <c r="P174" s="122"/>
      <c r="Q174" s="122"/>
      <c r="R174" s="122"/>
      <c r="S174" s="122"/>
      <c r="T174" s="122"/>
      <c r="U174" s="122"/>
      <c r="V174" s="122"/>
      <c r="W174" s="122"/>
      <c r="X174" s="122"/>
      <c r="Y174" s="122"/>
      <c r="Z174" s="122"/>
    </row>
    <row r="175" spans="1:26" ht="12.75" x14ac:dyDescent="0.2">
      <c r="A175" s="122"/>
      <c r="B175" s="119"/>
      <c r="C175" s="123" t="s">
        <v>231</v>
      </c>
      <c r="D175" s="119"/>
      <c r="E175" s="119"/>
      <c r="F175" s="125">
        <f t="shared" ref="F175:O175" si="42">F154*$I$88*F$120*(1+$F$92)</f>
        <v>19.777488453204299</v>
      </c>
      <c r="G175" s="125">
        <f t="shared" si="42"/>
        <v>22.193506442647735</v>
      </c>
      <c r="H175" s="125">
        <f t="shared" si="42"/>
        <v>24.904665189681584</v>
      </c>
      <c r="I175" s="125">
        <f t="shared" si="42"/>
        <v>27.947019089253082</v>
      </c>
      <c r="J175" s="125">
        <f t="shared" si="42"/>
        <v>31.361026941196251</v>
      </c>
      <c r="K175" s="125">
        <f t="shared" si="42"/>
        <v>35.192089992332782</v>
      </c>
      <c r="L175" s="125">
        <f t="shared" si="42"/>
        <v>39.491155705796146</v>
      </c>
      <c r="M175" s="125">
        <f t="shared" si="42"/>
        <v>44.315395286816212</v>
      </c>
      <c r="N175" s="125">
        <f t="shared" si="42"/>
        <v>49.728963975053674</v>
      </c>
      <c r="O175" s="125">
        <f t="shared" si="42"/>
        <v>55.803854214246243</v>
      </c>
      <c r="P175" s="122"/>
      <c r="Q175" s="122"/>
      <c r="R175" s="122"/>
      <c r="S175" s="122"/>
      <c r="T175" s="122"/>
      <c r="U175" s="122"/>
      <c r="V175" s="122"/>
      <c r="W175" s="122"/>
      <c r="X175" s="122"/>
      <c r="Y175" s="122"/>
      <c r="Z175" s="122"/>
    </row>
    <row r="176" spans="1:26" ht="12.75" x14ac:dyDescent="0.2">
      <c r="A176" s="122"/>
      <c r="B176" s="119"/>
      <c r="C176" s="395" t="s">
        <v>876</v>
      </c>
      <c r="D176" s="119"/>
      <c r="E176" s="119"/>
      <c r="F176" s="125">
        <f t="shared" ref="F176:O176" si="43">F155*$I$88*F$120*(1+$F$92)</f>
        <v>30.137125262025595</v>
      </c>
      <c r="G176" s="125">
        <f t="shared" si="43"/>
        <v>32.517958157725616</v>
      </c>
      <c r="H176" s="125">
        <f t="shared" si="43"/>
        <v>35.086876852185938</v>
      </c>
      <c r="I176" s="125">
        <f t="shared" si="43"/>
        <v>37.858740123508625</v>
      </c>
      <c r="J176" s="125">
        <f t="shared" si="43"/>
        <v>40.849580593265806</v>
      </c>
      <c r="K176" s="125">
        <f t="shared" si="43"/>
        <v>44.076697460133808</v>
      </c>
      <c r="L176" s="125">
        <f t="shared" si="43"/>
        <v>47.558756559484372</v>
      </c>
      <c r="M176" s="125">
        <f t="shared" si="43"/>
        <v>51.315898327683641</v>
      </c>
      <c r="N176" s="125">
        <f t="shared" si="43"/>
        <v>55.36985429557064</v>
      </c>
      <c r="O176" s="125">
        <f t="shared" si="43"/>
        <v>59.744072784920725</v>
      </c>
      <c r="P176" s="122"/>
      <c r="Q176" s="122"/>
      <c r="R176" s="122"/>
      <c r="S176" s="122"/>
      <c r="T176" s="122"/>
      <c r="U176" s="122"/>
      <c r="V176" s="122"/>
      <c r="W176" s="122"/>
      <c r="X176" s="122"/>
      <c r="Y176" s="122"/>
      <c r="Z176" s="122"/>
    </row>
    <row r="177" spans="1:26" ht="12.75" x14ac:dyDescent="0.2">
      <c r="A177" s="122"/>
      <c r="B177" s="119"/>
      <c r="C177" s="395" t="s">
        <v>877</v>
      </c>
      <c r="D177" s="119"/>
      <c r="E177" s="119"/>
      <c r="F177" s="125">
        <f t="shared" ref="F177:O177" si="44">F156*$I$88*F$120*(1+$F$92)</f>
        <v>0.40362221333069997</v>
      </c>
      <c r="G177" s="125">
        <f t="shared" si="44"/>
        <v>0.43550836818382527</v>
      </c>
      <c r="H177" s="125">
        <f t="shared" si="44"/>
        <v>0.46991352927034741</v>
      </c>
      <c r="I177" s="125">
        <f t="shared" si="44"/>
        <v>0.50703669808270491</v>
      </c>
      <c r="J177" s="125">
        <f t="shared" si="44"/>
        <v>0.5470925972312386</v>
      </c>
      <c r="K177" s="125">
        <f t="shared" si="44"/>
        <v>0.59031291241250639</v>
      </c>
      <c r="L177" s="125">
        <f t="shared" si="44"/>
        <v>0.63694763249309438</v>
      </c>
      <c r="M177" s="125">
        <f t="shared" si="44"/>
        <v>0.68726649546004881</v>
      </c>
      <c r="N177" s="125">
        <f t="shared" si="44"/>
        <v>0.74156054860139264</v>
      </c>
      <c r="O177" s="125">
        <f t="shared" si="44"/>
        <v>0.80014383194090266</v>
      </c>
      <c r="P177" s="122"/>
      <c r="Q177" s="122"/>
      <c r="R177" s="122"/>
      <c r="S177" s="122"/>
      <c r="T177" s="122"/>
      <c r="U177" s="122"/>
      <c r="V177" s="122"/>
      <c r="W177" s="122"/>
      <c r="X177" s="122"/>
      <c r="Y177" s="122"/>
      <c r="Z177" s="122"/>
    </row>
    <row r="178" spans="1:26" ht="12.75" x14ac:dyDescent="0.2">
      <c r="A178" s="122"/>
      <c r="B178" s="119"/>
      <c r="C178" s="175" t="s">
        <v>387</v>
      </c>
      <c r="D178" s="176"/>
      <c r="E178" s="176"/>
      <c r="F178" s="178">
        <f t="shared" ref="F178:O178" si="45">F174-F175-F176-F177</f>
        <v>151.49287073678937</v>
      </c>
      <c r="G178" s="178">
        <f t="shared" si="45"/>
        <v>171.31737848703193</v>
      </c>
      <c r="H178" s="178">
        <f t="shared" si="45"/>
        <v>193.66778105826603</v>
      </c>
      <c r="I178" s="178">
        <f>I174-I175-I176-I177</f>
        <v>218.86086826520739</v>
      </c>
      <c r="J178" s="178">
        <f t="shared" si="45"/>
        <v>247.25277886010508</v>
      </c>
      <c r="K178" s="178">
        <f t="shared" si="45"/>
        <v>279.24385874055736</v>
      </c>
      <c r="L178" s="178">
        <f t="shared" si="45"/>
        <v>315.284116691983</v>
      </c>
      <c r="M178" s="178">
        <f t="shared" si="45"/>
        <v>355.87935098000145</v>
      </c>
      <c r="N178" s="178">
        <f t="shared" si="45"/>
        <v>401.59802908948535</v>
      </c>
      <c r="O178" s="178">
        <f t="shared" si="45"/>
        <v>453.07901298773129</v>
      </c>
      <c r="P178" s="122"/>
      <c r="Q178" s="122"/>
      <c r="R178" s="122"/>
      <c r="S178" s="122"/>
      <c r="T178" s="122"/>
      <c r="U178" s="122"/>
      <c r="V178" s="122"/>
      <c r="W178" s="122"/>
      <c r="X178" s="122"/>
      <c r="Y178" s="122"/>
      <c r="Z178" s="122"/>
    </row>
    <row r="179" spans="1:26" ht="12.75" x14ac:dyDescent="0.2">
      <c r="A179" s="122"/>
      <c r="B179" s="122"/>
      <c r="C179" s="122"/>
      <c r="D179" s="122"/>
      <c r="E179" s="122"/>
      <c r="F179" s="122"/>
      <c r="G179" s="122"/>
      <c r="H179" s="122"/>
      <c r="I179" s="122"/>
      <c r="J179" s="122"/>
      <c r="K179" s="122"/>
      <c r="L179" s="122"/>
      <c r="M179" s="122"/>
      <c r="N179" s="122"/>
      <c r="O179" s="122"/>
      <c r="P179" s="122"/>
      <c r="Q179" s="122"/>
      <c r="R179" s="122"/>
      <c r="S179" s="122"/>
      <c r="T179" s="122"/>
      <c r="U179" s="122"/>
      <c r="V179" s="122"/>
      <c r="W179" s="122"/>
      <c r="X179" s="122"/>
      <c r="Y179" s="122"/>
      <c r="Z179" s="122"/>
    </row>
    <row r="180" spans="1:26" ht="12.75" x14ac:dyDescent="0.2">
      <c r="A180" s="122"/>
      <c r="B180" s="145" t="s">
        <v>223</v>
      </c>
      <c r="C180" s="119"/>
      <c r="D180" s="119"/>
      <c r="E180" s="119"/>
      <c r="F180" s="119"/>
      <c r="G180" s="119"/>
      <c r="H180" s="119"/>
      <c r="I180" s="119"/>
      <c r="J180" s="119"/>
      <c r="K180" s="119"/>
      <c r="L180" s="119"/>
      <c r="M180" s="119"/>
      <c r="N180" s="119"/>
      <c r="O180" s="119"/>
      <c r="P180" s="122"/>
      <c r="Q180" s="122"/>
      <c r="R180" s="122"/>
      <c r="S180" s="122"/>
      <c r="T180" s="122"/>
      <c r="U180" s="122"/>
      <c r="V180" s="122"/>
      <c r="W180" s="122"/>
      <c r="X180" s="122"/>
      <c r="Y180" s="122"/>
      <c r="Z180" s="122"/>
    </row>
    <row r="181" spans="1:26" ht="12.75" x14ac:dyDescent="0.2">
      <c r="A181" s="122"/>
      <c r="B181" s="119"/>
      <c r="C181" s="123" t="s">
        <v>384</v>
      </c>
      <c r="D181" s="119"/>
      <c r="E181" s="119"/>
      <c r="F181" s="125">
        <f t="shared" ref="F181:O181" si="46">F160*$M$88*F$120*(1+$F$92)</f>
        <v>0</v>
      </c>
      <c r="G181" s="125">
        <f t="shared" si="46"/>
        <v>0</v>
      </c>
      <c r="H181" s="125">
        <f t="shared" si="46"/>
        <v>0</v>
      </c>
      <c r="I181" s="125">
        <f t="shared" si="46"/>
        <v>0</v>
      </c>
      <c r="J181" s="125">
        <f t="shared" si="46"/>
        <v>0</v>
      </c>
      <c r="K181" s="125">
        <f t="shared" si="46"/>
        <v>0</v>
      </c>
      <c r="L181" s="125">
        <f t="shared" si="46"/>
        <v>0</v>
      </c>
      <c r="M181" s="125">
        <f t="shared" si="46"/>
        <v>0</v>
      </c>
      <c r="N181" s="125">
        <f t="shared" si="46"/>
        <v>0</v>
      </c>
      <c r="O181" s="125">
        <f t="shared" si="46"/>
        <v>0</v>
      </c>
      <c r="P181" s="122"/>
      <c r="Q181" s="122"/>
      <c r="R181" s="122"/>
      <c r="S181" s="122"/>
      <c r="T181" s="122"/>
      <c r="U181" s="122"/>
      <c r="V181" s="122"/>
      <c r="W181" s="122"/>
      <c r="X181" s="122"/>
      <c r="Y181" s="122"/>
      <c r="Z181" s="122"/>
    </row>
    <row r="182" spans="1:26" ht="12.75" x14ac:dyDescent="0.2">
      <c r="A182" s="122"/>
      <c r="B182" s="119"/>
      <c r="C182" s="123" t="s">
        <v>231</v>
      </c>
      <c r="D182" s="119"/>
      <c r="E182" s="119"/>
      <c r="F182" s="125">
        <f t="shared" ref="F182:O182" si="47">F161*$M$88*F$120*(1+$F$92)</f>
        <v>0</v>
      </c>
      <c r="G182" s="125">
        <f t="shared" si="47"/>
        <v>0</v>
      </c>
      <c r="H182" s="125">
        <f t="shared" si="47"/>
        <v>0</v>
      </c>
      <c r="I182" s="125">
        <f t="shared" si="47"/>
        <v>0</v>
      </c>
      <c r="J182" s="125">
        <f t="shared" si="47"/>
        <v>0</v>
      </c>
      <c r="K182" s="125">
        <f t="shared" si="47"/>
        <v>0</v>
      </c>
      <c r="L182" s="125">
        <f t="shared" si="47"/>
        <v>0</v>
      </c>
      <c r="M182" s="125">
        <f t="shared" si="47"/>
        <v>0</v>
      </c>
      <c r="N182" s="125">
        <f t="shared" si="47"/>
        <v>0</v>
      </c>
      <c r="O182" s="125">
        <f t="shared" si="47"/>
        <v>0</v>
      </c>
      <c r="P182" s="122"/>
      <c r="Q182" s="122"/>
      <c r="R182" s="122"/>
      <c r="S182" s="122"/>
      <c r="T182" s="122"/>
      <c r="U182" s="122"/>
      <c r="V182" s="122"/>
      <c r="W182" s="122"/>
      <c r="X182" s="122"/>
      <c r="Y182" s="122"/>
      <c r="Z182" s="122"/>
    </row>
    <row r="183" spans="1:26" ht="12.75" x14ac:dyDescent="0.2">
      <c r="A183" s="122"/>
      <c r="B183" s="119"/>
      <c r="C183" s="395" t="s">
        <v>876</v>
      </c>
      <c r="D183" s="119"/>
      <c r="E183" s="119"/>
      <c r="F183" s="125">
        <f t="shared" ref="F183:O183" si="48">F162*$M$88*F$120*(1+$F$92)</f>
        <v>0</v>
      </c>
      <c r="G183" s="125">
        <f t="shared" si="48"/>
        <v>0</v>
      </c>
      <c r="H183" s="125">
        <f t="shared" si="48"/>
        <v>0</v>
      </c>
      <c r="I183" s="125">
        <f t="shared" si="48"/>
        <v>0</v>
      </c>
      <c r="J183" s="125">
        <f t="shared" si="48"/>
        <v>0</v>
      </c>
      <c r="K183" s="125">
        <f t="shared" si="48"/>
        <v>0</v>
      </c>
      <c r="L183" s="125">
        <f t="shared" si="48"/>
        <v>0</v>
      </c>
      <c r="M183" s="125">
        <f t="shared" si="48"/>
        <v>0</v>
      </c>
      <c r="N183" s="125">
        <f t="shared" si="48"/>
        <v>0</v>
      </c>
      <c r="O183" s="125">
        <f t="shared" si="48"/>
        <v>0</v>
      </c>
      <c r="P183" s="122"/>
      <c r="Q183" s="122"/>
      <c r="R183" s="122"/>
      <c r="S183" s="122"/>
      <c r="T183" s="122"/>
      <c r="U183" s="122"/>
      <c r="V183" s="122"/>
      <c r="W183" s="122"/>
      <c r="X183" s="122"/>
      <c r="Y183" s="122"/>
      <c r="Z183" s="122"/>
    </row>
    <row r="184" spans="1:26" ht="12.75" x14ac:dyDescent="0.2">
      <c r="A184" s="122"/>
      <c r="B184" s="119"/>
      <c r="C184" s="395" t="s">
        <v>877</v>
      </c>
      <c r="D184" s="119"/>
      <c r="E184" s="119"/>
      <c r="F184" s="125">
        <f t="shared" ref="F184:O184" si="49">F163*$M$88*F$120*(1+$F$92)</f>
        <v>0</v>
      </c>
      <c r="G184" s="125">
        <f t="shared" si="49"/>
        <v>0</v>
      </c>
      <c r="H184" s="125">
        <f t="shared" si="49"/>
        <v>0</v>
      </c>
      <c r="I184" s="125">
        <f t="shared" si="49"/>
        <v>0</v>
      </c>
      <c r="J184" s="125">
        <f t="shared" si="49"/>
        <v>0</v>
      </c>
      <c r="K184" s="125">
        <f t="shared" si="49"/>
        <v>0</v>
      </c>
      <c r="L184" s="125">
        <f t="shared" si="49"/>
        <v>0</v>
      </c>
      <c r="M184" s="125">
        <f t="shared" si="49"/>
        <v>0</v>
      </c>
      <c r="N184" s="125">
        <f t="shared" si="49"/>
        <v>0</v>
      </c>
      <c r="O184" s="125">
        <f t="shared" si="49"/>
        <v>0</v>
      </c>
      <c r="P184" s="122"/>
      <c r="Q184" s="122"/>
      <c r="R184" s="122"/>
      <c r="S184" s="122"/>
      <c r="T184" s="122"/>
      <c r="U184" s="122"/>
      <c r="V184" s="122"/>
      <c r="W184" s="122"/>
      <c r="X184" s="122"/>
      <c r="Y184" s="122"/>
      <c r="Z184" s="122"/>
    </row>
    <row r="185" spans="1:26" ht="12.75" x14ac:dyDescent="0.2">
      <c r="A185" s="122"/>
      <c r="B185" s="119"/>
      <c r="C185" s="175" t="s">
        <v>387</v>
      </c>
      <c r="D185" s="176"/>
      <c r="E185" s="176"/>
      <c r="F185" s="178">
        <f t="shared" ref="F185:O185" si="50">F181-F182-F183-F184</f>
        <v>0</v>
      </c>
      <c r="G185" s="178">
        <f t="shared" si="50"/>
        <v>0</v>
      </c>
      <c r="H185" s="178">
        <f>H181-H182-H183-H184</f>
        <v>0</v>
      </c>
      <c r="I185" s="178">
        <f t="shared" si="50"/>
        <v>0</v>
      </c>
      <c r="J185" s="178">
        <f t="shared" si="50"/>
        <v>0</v>
      </c>
      <c r="K185" s="178">
        <f t="shared" si="50"/>
        <v>0</v>
      </c>
      <c r="L185" s="178">
        <f t="shared" si="50"/>
        <v>0</v>
      </c>
      <c r="M185" s="178">
        <f t="shared" si="50"/>
        <v>0</v>
      </c>
      <c r="N185" s="178">
        <f t="shared" si="50"/>
        <v>0</v>
      </c>
      <c r="O185" s="178">
        <f t="shared" si="50"/>
        <v>0</v>
      </c>
      <c r="P185" s="122"/>
      <c r="Q185" s="122"/>
      <c r="R185" s="122"/>
      <c r="S185" s="122"/>
      <c r="T185" s="122"/>
      <c r="U185" s="122"/>
      <c r="V185" s="122"/>
      <c r="W185" s="122"/>
      <c r="X185" s="122"/>
      <c r="Y185" s="122"/>
      <c r="Z185" s="122"/>
    </row>
    <row r="186" spans="1:26" ht="12.75" x14ac:dyDescent="0.2">
      <c r="A186" s="122"/>
      <c r="B186" s="122"/>
      <c r="C186" s="122"/>
      <c r="D186" s="122"/>
      <c r="E186" s="122"/>
      <c r="F186" s="122"/>
      <c r="G186" s="122"/>
      <c r="H186" s="122"/>
      <c r="I186" s="122"/>
      <c r="J186" s="122"/>
      <c r="K186" s="122"/>
      <c r="L186" s="122"/>
      <c r="M186" s="122"/>
      <c r="N186" s="122"/>
      <c r="O186" s="122"/>
      <c r="P186" s="122"/>
      <c r="Q186" s="122"/>
      <c r="R186" s="122"/>
      <c r="S186" s="122"/>
      <c r="T186" s="122"/>
      <c r="U186" s="122"/>
      <c r="V186" s="122"/>
      <c r="W186" s="122"/>
      <c r="X186" s="122"/>
      <c r="Y186" s="122"/>
      <c r="Z186" s="122"/>
    </row>
    <row r="187" spans="1:26" ht="12.75" x14ac:dyDescent="0.2">
      <c r="A187" s="145" t="s">
        <v>202</v>
      </c>
      <c r="B187" s="119"/>
      <c r="C187" s="119"/>
      <c r="D187" s="161" t="s">
        <v>174</v>
      </c>
      <c r="E187" s="161"/>
      <c r="F187" s="162">
        <v>0</v>
      </c>
      <c r="G187" s="162">
        <v>1</v>
      </c>
      <c r="H187" s="162">
        <v>2</v>
      </c>
      <c r="I187" s="162">
        <v>3</v>
      </c>
      <c r="J187" s="162">
        <v>4</v>
      </c>
      <c r="K187" s="162">
        <v>5</v>
      </c>
      <c r="L187" s="162">
        <v>6</v>
      </c>
      <c r="M187" s="162">
        <v>7</v>
      </c>
      <c r="N187" s="162">
        <v>8</v>
      </c>
      <c r="O187" s="162">
        <v>9</v>
      </c>
      <c r="P187" s="119"/>
      <c r="Q187" s="119"/>
      <c r="R187" s="119"/>
      <c r="S187" s="119"/>
      <c r="T187" s="119"/>
      <c r="U187" s="119"/>
      <c r="V187" s="119"/>
      <c r="W187" s="119"/>
      <c r="X187" s="119"/>
      <c r="Y187" s="119"/>
      <c r="Z187" s="119"/>
    </row>
    <row r="188" spans="1:26" ht="12.75" x14ac:dyDescent="0.2">
      <c r="A188" s="122"/>
      <c r="B188" s="179" t="s">
        <v>226</v>
      </c>
      <c r="C188" s="180"/>
      <c r="D188" s="180"/>
      <c r="E188" s="180"/>
      <c r="F188" s="180"/>
      <c r="G188" s="180"/>
      <c r="H188" s="180"/>
      <c r="I188" s="180"/>
      <c r="J188" s="180"/>
      <c r="K188" s="180"/>
      <c r="L188" s="180"/>
      <c r="M188" s="180"/>
      <c r="N188" s="180"/>
      <c r="O188" s="180"/>
      <c r="P188" s="122"/>
      <c r="Q188" s="122"/>
      <c r="R188" s="122"/>
      <c r="S188" s="122"/>
      <c r="T188" s="122"/>
      <c r="U188" s="122"/>
      <c r="V188" s="122"/>
      <c r="W188" s="122"/>
      <c r="X188" s="122"/>
      <c r="Y188" s="122"/>
      <c r="Z188" s="122"/>
    </row>
    <row r="189" spans="1:26" ht="12.75" x14ac:dyDescent="0.2">
      <c r="A189" s="122"/>
      <c r="B189" s="180"/>
      <c r="C189" s="181" t="s">
        <v>218</v>
      </c>
      <c r="D189" s="180"/>
      <c r="E189" s="180"/>
      <c r="F189" s="180"/>
      <c r="G189" s="180"/>
      <c r="H189" s="180"/>
      <c r="I189" s="180"/>
      <c r="J189" s="180"/>
      <c r="K189" s="180"/>
      <c r="L189" s="180"/>
      <c r="M189" s="180"/>
      <c r="N189" s="180"/>
      <c r="O189" s="180"/>
      <c r="P189" s="122"/>
      <c r="Q189" s="122"/>
      <c r="R189" s="122"/>
      <c r="S189" s="122"/>
      <c r="T189" s="122"/>
      <c r="U189" s="122"/>
      <c r="V189" s="122"/>
      <c r="W189" s="122"/>
      <c r="X189" s="122"/>
      <c r="Y189" s="122"/>
      <c r="Z189" s="122"/>
    </row>
    <row r="190" spans="1:26" ht="12.75" x14ac:dyDescent="0.2">
      <c r="A190" s="122"/>
      <c r="B190" s="180"/>
      <c r="C190" s="227" t="s">
        <v>272</v>
      </c>
      <c r="D190" s="180"/>
      <c r="E190" s="180"/>
      <c r="F190" s="125">
        <f t="shared" ref="F190:O190" si="51">$F40*F$140*$F48*F$135*F$120/1000</f>
        <v>7.5218930769230763</v>
      </c>
      <c r="G190" s="125">
        <f t="shared" si="51"/>
        <v>8.1161226299999996</v>
      </c>
      <c r="H190" s="125">
        <f t="shared" si="51"/>
        <v>8.757296317769999</v>
      </c>
      <c r="I190" s="125">
        <f t="shared" si="51"/>
        <v>9.4491227268738296</v>
      </c>
      <c r="J190" s="125">
        <f t="shared" si="51"/>
        <v>10.195603422296861</v>
      </c>
      <c r="K190" s="125">
        <f t="shared" si="51"/>
        <v>11.001056092658313</v>
      </c>
      <c r="L190" s="125">
        <f t="shared" si="51"/>
        <v>11.87013952397832</v>
      </c>
      <c r="M190" s="125">
        <f t="shared" si="51"/>
        <v>12.807880546372605</v>
      </c>
      <c r="N190" s="125">
        <f t="shared" si="51"/>
        <v>13.819703109536041</v>
      </c>
      <c r="O190" s="125">
        <f t="shared" si="51"/>
        <v>14.911459655189388</v>
      </c>
      <c r="P190" s="122"/>
      <c r="Q190" s="122"/>
      <c r="R190" s="122"/>
      <c r="S190" s="122"/>
      <c r="T190" s="122"/>
      <c r="U190" s="122"/>
      <c r="V190" s="122"/>
      <c r="W190" s="122"/>
      <c r="X190" s="122"/>
      <c r="Y190" s="122"/>
      <c r="Z190" s="122"/>
    </row>
    <row r="191" spans="1:26" ht="12.75" x14ac:dyDescent="0.2">
      <c r="A191" s="122"/>
      <c r="B191" s="180"/>
      <c r="C191" s="227" t="s">
        <v>273</v>
      </c>
      <c r="D191" s="180"/>
      <c r="E191" s="180"/>
      <c r="F191" s="125">
        <f t="shared" ref="F191:O191" si="52">$F41*F$140*$F49*F$135*F$120/1000</f>
        <v>4.1604954999999988</v>
      </c>
      <c r="G191" s="125">
        <f t="shared" si="52"/>
        <v>4.4891746444999994</v>
      </c>
      <c r="H191" s="125">
        <f t="shared" si="52"/>
        <v>4.8438194414154987</v>
      </c>
      <c r="I191" s="125">
        <f t="shared" si="52"/>
        <v>5.2264811772873223</v>
      </c>
      <c r="J191" s="125">
        <f t="shared" si="52"/>
        <v>5.6393731902930213</v>
      </c>
      <c r="K191" s="125">
        <f t="shared" si="52"/>
        <v>6.0848836723261694</v>
      </c>
      <c r="L191" s="125">
        <f t="shared" si="52"/>
        <v>6.5655894824399379</v>
      </c>
      <c r="M191" s="125">
        <f t="shared" si="52"/>
        <v>7.0842710515526912</v>
      </c>
      <c r="N191" s="125">
        <f t="shared" si="52"/>
        <v>7.6439284646253549</v>
      </c>
      <c r="O191" s="125">
        <f t="shared" si="52"/>
        <v>8.2477988133307569</v>
      </c>
      <c r="P191" s="122"/>
      <c r="Q191" s="122"/>
      <c r="R191" s="122"/>
      <c r="S191" s="122"/>
      <c r="T191" s="122"/>
      <c r="U191" s="122"/>
      <c r="V191" s="122"/>
      <c r="W191" s="122"/>
      <c r="X191" s="122"/>
      <c r="Y191" s="122"/>
      <c r="Z191" s="122"/>
    </row>
    <row r="192" spans="1:26" ht="12.75" x14ac:dyDescent="0.2">
      <c r="A192" s="122"/>
      <c r="B192" s="180"/>
      <c r="C192" s="227" t="s">
        <v>274</v>
      </c>
      <c r="D192" s="180"/>
      <c r="E192" s="180"/>
      <c r="F192" s="125">
        <f t="shared" ref="F192:O192" si="53">$F42*F$140*$F50*F$135*F$120/1000</f>
        <v>4.4537594594594596</v>
      </c>
      <c r="G192" s="125">
        <f t="shared" si="53"/>
        <v>4.805606456756756</v>
      </c>
      <c r="H192" s="125">
        <f t="shared" si="53"/>
        <v>5.1852493668405399</v>
      </c>
      <c r="I192" s="125">
        <f t="shared" si="53"/>
        <v>5.5948840668209421</v>
      </c>
      <c r="J192" s="125">
        <f t="shared" si="53"/>
        <v>6.036879908099797</v>
      </c>
      <c r="K192" s="125">
        <f t="shared" si="53"/>
        <v>6.513793420839681</v>
      </c>
      <c r="L192" s="125">
        <f t="shared" si="53"/>
        <v>7.0283831010860158</v>
      </c>
      <c r="M192" s="125">
        <f t="shared" si="53"/>
        <v>7.5836253660718107</v>
      </c>
      <c r="N192" s="125">
        <f t="shared" si="53"/>
        <v>8.1827317699914826</v>
      </c>
      <c r="O192" s="125">
        <f t="shared" si="53"/>
        <v>8.82916757982081</v>
      </c>
      <c r="P192" s="122"/>
      <c r="Q192" s="122"/>
      <c r="R192" s="122"/>
      <c r="S192" s="122"/>
      <c r="T192" s="122"/>
      <c r="U192" s="122"/>
      <c r="V192" s="122"/>
      <c r="W192" s="122"/>
      <c r="X192" s="122"/>
      <c r="Y192" s="122"/>
      <c r="Z192" s="122"/>
    </row>
    <row r="193" spans="1:26" ht="12.75" x14ac:dyDescent="0.2">
      <c r="A193" s="122"/>
      <c r="B193" s="180"/>
      <c r="C193" s="227" t="s">
        <v>275</v>
      </c>
      <c r="D193" s="180"/>
      <c r="E193" s="180"/>
      <c r="F193" s="125">
        <f t="shared" ref="F193:O193" si="54">$F43*F$140*$F51*F$135*F$120/1000</f>
        <v>8.2785682151333244</v>
      </c>
      <c r="G193" s="125">
        <f t="shared" si="54"/>
        <v>8.9325751041288566</v>
      </c>
      <c r="H193" s="125">
        <f t="shared" si="54"/>
        <v>9.6382485373550359</v>
      </c>
      <c r="I193" s="125">
        <f t="shared" si="54"/>
        <v>10.399670171806083</v>
      </c>
      <c r="J193" s="125">
        <f t="shared" si="54"/>
        <v>11.221244115378765</v>
      </c>
      <c r="K193" s="125">
        <f t="shared" si="54"/>
        <v>12.107722400493685</v>
      </c>
      <c r="L193" s="125">
        <f t="shared" si="54"/>
        <v>13.064232470132687</v>
      </c>
      <c r="M193" s="125">
        <f t="shared" si="54"/>
        <v>14.096306835273168</v>
      </c>
      <c r="N193" s="125">
        <f t="shared" si="54"/>
        <v>15.209915075259747</v>
      </c>
      <c r="O193" s="125">
        <f t="shared" si="54"/>
        <v>16.411498366205269</v>
      </c>
      <c r="P193" s="122"/>
      <c r="Q193" s="122"/>
      <c r="R193" s="122"/>
      <c r="S193" s="122"/>
      <c r="T193" s="122"/>
      <c r="U193" s="122"/>
      <c r="V193" s="122"/>
      <c r="W193" s="122"/>
      <c r="X193" s="122"/>
      <c r="Y193" s="122"/>
      <c r="Z193" s="122"/>
    </row>
    <row r="194" spans="1:26" ht="12.75" x14ac:dyDescent="0.2">
      <c r="A194" s="122"/>
      <c r="B194" s="180"/>
      <c r="C194" s="152" t="s">
        <v>293</v>
      </c>
      <c r="D194" s="180"/>
      <c r="E194" s="180"/>
      <c r="F194" s="125">
        <f t="shared" ref="F194:O194" si="55">$F44*F$140*$F52*F$135*F$120/1000</f>
        <v>7.131086511627907</v>
      </c>
      <c r="G194" s="125">
        <f t="shared" si="55"/>
        <v>7.694442346046511</v>
      </c>
      <c r="H194" s="125">
        <f t="shared" si="55"/>
        <v>8.3023032913841845</v>
      </c>
      <c r="I194" s="125">
        <f t="shared" si="55"/>
        <v>8.9581852514035365</v>
      </c>
      <c r="J194" s="125">
        <f t="shared" si="55"/>
        <v>9.6658818862644171</v>
      </c>
      <c r="K194" s="125">
        <f t="shared" si="55"/>
        <v>10.429486555279304</v>
      </c>
      <c r="L194" s="125">
        <f t="shared" si="55"/>
        <v>11.253415993146369</v>
      </c>
      <c r="M194" s="125">
        <f t="shared" si="55"/>
        <v>12.142435856604932</v>
      </c>
      <c r="N194" s="125">
        <f t="shared" si="55"/>
        <v>13.101688289276721</v>
      </c>
      <c r="O194" s="125">
        <f t="shared" si="55"/>
        <v>14.136721664129581</v>
      </c>
      <c r="P194" s="122"/>
      <c r="Q194" s="122"/>
      <c r="R194" s="122"/>
      <c r="S194" s="122"/>
      <c r="T194" s="122"/>
      <c r="U194" s="122"/>
      <c r="V194" s="122"/>
      <c r="W194" s="122"/>
      <c r="X194" s="122"/>
      <c r="Y194" s="122"/>
      <c r="Z194" s="122"/>
    </row>
    <row r="195" spans="1:26" ht="12.75" x14ac:dyDescent="0.2">
      <c r="A195" s="122"/>
      <c r="B195" s="180"/>
      <c r="C195" s="228" t="s">
        <v>278</v>
      </c>
      <c r="D195" s="180"/>
      <c r="E195" s="180"/>
      <c r="F195" s="125">
        <f t="shared" ref="F195:O195" si="56">$F45*F$140*$F53*F$135*F$120/1000</f>
        <v>24.550149391110523</v>
      </c>
      <c r="G195" s="125">
        <f t="shared" si="56"/>
        <v>26.489611193008255</v>
      </c>
      <c r="H195" s="125">
        <f t="shared" si="56"/>
        <v>28.582290477255906</v>
      </c>
      <c r="I195" s="125">
        <f t="shared" si="56"/>
        <v>30.840291424959123</v>
      </c>
      <c r="J195" s="125">
        <f t="shared" si="56"/>
        <v>33.276674447530894</v>
      </c>
      <c r="K195" s="125">
        <f t="shared" si="56"/>
        <v>35.905531728885826</v>
      </c>
      <c r="L195" s="125">
        <f t="shared" si="56"/>
        <v>38.742068735467818</v>
      </c>
      <c r="M195" s="125">
        <f t="shared" si="56"/>
        <v>41.802692165569766</v>
      </c>
      <c r="N195" s="125">
        <f t="shared" si="56"/>
        <v>45.105104846649773</v>
      </c>
      <c r="O195" s="125">
        <f t="shared" si="56"/>
        <v>48.668408129535109</v>
      </c>
      <c r="P195" s="122"/>
      <c r="Q195" s="122"/>
      <c r="R195" s="122"/>
      <c r="S195" s="122"/>
      <c r="T195" s="122"/>
      <c r="U195" s="122"/>
      <c r="V195" s="122"/>
      <c r="W195" s="122"/>
      <c r="X195" s="122"/>
      <c r="Y195" s="122"/>
      <c r="Z195" s="122"/>
    </row>
    <row r="196" spans="1:26" ht="12.75" x14ac:dyDescent="0.2">
      <c r="A196" s="122"/>
      <c r="B196" s="180"/>
      <c r="C196" s="152" t="s">
        <v>85</v>
      </c>
      <c r="D196" s="180"/>
      <c r="E196" s="180"/>
      <c r="F196" s="125">
        <f t="shared" ref="F196:O196" si="57">IF(F187&lt;$F$47,$F46*F$140*$F53*F$135*F$120/1000,0)</f>
        <v>0</v>
      </c>
      <c r="G196" s="125">
        <f t="shared" si="57"/>
        <v>0</v>
      </c>
      <c r="H196" s="125">
        <f t="shared" si="57"/>
        <v>0</v>
      </c>
      <c r="I196" s="125">
        <f t="shared" si="57"/>
        <v>0</v>
      </c>
      <c r="J196" s="125">
        <f t="shared" si="57"/>
        <v>0</v>
      </c>
      <c r="K196" s="125">
        <f t="shared" si="57"/>
        <v>0</v>
      </c>
      <c r="L196" s="125">
        <f t="shared" si="57"/>
        <v>0</v>
      </c>
      <c r="M196" s="125">
        <f t="shared" si="57"/>
        <v>0</v>
      </c>
      <c r="N196" s="125">
        <f t="shared" si="57"/>
        <v>0</v>
      </c>
      <c r="O196" s="125">
        <f t="shared" si="57"/>
        <v>0</v>
      </c>
      <c r="P196" s="122"/>
      <c r="Q196" s="122"/>
      <c r="R196" s="122"/>
      <c r="S196" s="122"/>
      <c r="T196" s="122"/>
      <c r="U196" s="122"/>
      <c r="V196" s="122"/>
      <c r="W196" s="122"/>
      <c r="X196" s="122"/>
      <c r="Y196" s="122"/>
      <c r="Z196" s="122"/>
    </row>
    <row r="197" spans="1:26" ht="12.75" x14ac:dyDescent="0.2">
      <c r="A197" s="122"/>
      <c r="B197" s="180"/>
      <c r="C197" s="199" t="s">
        <v>207</v>
      </c>
      <c r="D197" s="182"/>
      <c r="E197" s="182"/>
      <c r="F197" s="127">
        <f>SUM(F190:F196)</f>
        <v>56.095952154254284</v>
      </c>
      <c r="G197" s="127">
        <f t="shared" ref="G197:O197" si="58">SUM(G190:G196)</f>
        <v>60.527532374440383</v>
      </c>
      <c r="H197" s="127">
        <f t="shared" si="58"/>
        <v>65.309207432021168</v>
      </c>
      <c r="I197" s="127">
        <f t="shared" si="58"/>
        <v>70.468634819150836</v>
      </c>
      <c r="J197" s="127">
        <f t="shared" si="58"/>
        <v>76.035656969863751</v>
      </c>
      <c r="K197" s="127">
        <f t="shared" si="58"/>
        <v>82.042473870482979</v>
      </c>
      <c r="L197" s="127">
        <f t="shared" si="58"/>
        <v>88.523829306251145</v>
      </c>
      <c r="M197" s="127">
        <f t="shared" si="58"/>
        <v>95.517211821444974</v>
      </c>
      <c r="N197" s="127">
        <f t="shared" si="58"/>
        <v>103.06307155533912</v>
      </c>
      <c r="O197" s="127">
        <f t="shared" si="58"/>
        <v>111.20505420821091</v>
      </c>
      <c r="P197" s="122"/>
      <c r="Q197" s="122"/>
      <c r="R197" s="122"/>
      <c r="S197" s="122"/>
      <c r="T197" s="122"/>
      <c r="U197" s="122"/>
      <c r="V197" s="122"/>
      <c r="W197" s="122"/>
      <c r="X197" s="122"/>
      <c r="Y197" s="122"/>
      <c r="Z197" s="122"/>
    </row>
    <row r="198" spans="1:26" ht="12.75" x14ac:dyDescent="0.2">
      <c r="A198" s="122"/>
      <c r="B198" s="180"/>
      <c r="C198" s="152"/>
      <c r="D198" s="180"/>
      <c r="E198" s="180"/>
      <c r="F198" s="183"/>
      <c r="G198" s="183"/>
      <c r="H198" s="183"/>
      <c r="I198" s="183"/>
      <c r="J198" s="183"/>
      <c r="K198" s="183"/>
      <c r="L198" s="183"/>
      <c r="M198" s="183"/>
      <c r="N198" s="183"/>
      <c r="O198" s="183"/>
      <c r="P198" s="122"/>
      <c r="Q198" s="122"/>
      <c r="R198" s="122"/>
      <c r="S198" s="122"/>
      <c r="T198" s="122"/>
      <c r="U198" s="122"/>
      <c r="V198" s="122"/>
      <c r="W198" s="122"/>
      <c r="X198" s="122"/>
      <c r="Y198" s="122"/>
      <c r="Z198" s="122"/>
    </row>
    <row r="199" spans="1:26" ht="12.75" x14ac:dyDescent="0.2">
      <c r="A199" s="122"/>
      <c r="B199" s="180"/>
      <c r="C199" s="188" t="s">
        <v>215</v>
      </c>
      <c r="D199" s="180"/>
      <c r="E199" s="180"/>
      <c r="F199" s="183"/>
      <c r="G199" s="183"/>
      <c r="H199" s="183"/>
      <c r="I199" s="183"/>
      <c r="J199" s="183"/>
      <c r="K199" s="183"/>
      <c r="L199" s="183"/>
      <c r="M199" s="183"/>
      <c r="N199" s="183"/>
      <c r="O199" s="183"/>
      <c r="P199" s="122"/>
      <c r="Q199" s="122"/>
      <c r="R199" s="122"/>
      <c r="S199" s="122"/>
      <c r="T199" s="122"/>
      <c r="U199" s="122"/>
      <c r="V199" s="122"/>
      <c r="W199" s="122"/>
      <c r="X199" s="122"/>
      <c r="Y199" s="122"/>
      <c r="Z199" s="122"/>
    </row>
    <row r="200" spans="1:26" ht="12.75" x14ac:dyDescent="0.2">
      <c r="A200" s="122"/>
      <c r="B200" s="180"/>
      <c r="C200" s="155" t="s">
        <v>110</v>
      </c>
      <c r="D200" s="180"/>
      <c r="E200" s="180"/>
      <c r="F200" s="125">
        <f t="shared" ref="F200:O200" si="59">$F$57*F$140*F$120/1000</f>
        <v>6.21936</v>
      </c>
      <c r="G200" s="125">
        <f t="shared" si="59"/>
        <v>6.7106894399999995</v>
      </c>
      <c r="H200" s="125">
        <f t="shared" si="59"/>
        <v>7.2408339057599989</v>
      </c>
      <c r="I200" s="125">
        <f t="shared" si="59"/>
        <v>7.8128597843150391</v>
      </c>
      <c r="J200" s="125">
        <f t="shared" si="59"/>
        <v>8.4300757072759271</v>
      </c>
      <c r="K200" s="125">
        <f t="shared" si="59"/>
        <v>9.096051688150725</v>
      </c>
      <c r="L200" s="125">
        <f t="shared" si="59"/>
        <v>9.8146397715146314</v>
      </c>
      <c r="M200" s="125">
        <f t="shared" si="59"/>
        <v>10.589996313464287</v>
      </c>
      <c r="N200" s="125">
        <f t="shared" si="59"/>
        <v>11.426606022227965</v>
      </c>
      <c r="O200" s="125">
        <f t="shared" si="59"/>
        <v>12.329307897983973</v>
      </c>
      <c r="P200" s="122"/>
      <c r="Q200" s="122"/>
      <c r="R200" s="122"/>
      <c r="S200" s="122"/>
      <c r="T200" s="122"/>
      <c r="U200" s="122"/>
      <c r="V200" s="122"/>
      <c r="W200" s="122"/>
      <c r="X200" s="122"/>
      <c r="Y200" s="122"/>
      <c r="Z200" s="122"/>
    </row>
    <row r="201" spans="1:26" ht="12.75" x14ac:dyDescent="0.2">
      <c r="A201" s="122"/>
      <c r="B201" s="180"/>
      <c r="C201" s="184" t="s">
        <v>283</v>
      </c>
      <c r="D201" s="185"/>
      <c r="E201" s="185"/>
      <c r="F201" s="186">
        <f t="shared" ref="F201:O201" si="60">($F$59+$F$59*(F$140-1)*($F$58))/1000*F$120</f>
        <v>3.74369</v>
      </c>
      <c r="G201" s="186">
        <f t="shared" si="60"/>
        <v>4.0394415099999996</v>
      </c>
      <c r="H201" s="186">
        <f t="shared" si="60"/>
        <v>4.3585573892899996</v>
      </c>
      <c r="I201" s="186">
        <f t="shared" si="60"/>
        <v>4.7028834230439092</v>
      </c>
      <c r="J201" s="186">
        <f t="shared" si="60"/>
        <v>5.0744112134643782</v>
      </c>
      <c r="K201" s="186">
        <f t="shared" si="60"/>
        <v>5.475289699328064</v>
      </c>
      <c r="L201" s="186">
        <f t="shared" si="60"/>
        <v>5.9078375855749812</v>
      </c>
      <c r="M201" s="186">
        <f t="shared" si="60"/>
        <v>6.3745567548354041</v>
      </c>
      <c r="N201" s="186">
        <f t="shared" si="60"/>
        <v>6.8781467384674011</v>
      </c>
      <c r="O201" s="186">
        <f t="shared" si="60"/>
        <v>7.4215203308063256</v>
      </c>
      <c r="P201" s="122"/>
      <c r="Q201" s="122"/>
      <c r="R201" s="122"/>
      <c r="S201" s="122"/>
      <c r="T201" s="122"/>
      <c r="U201" s="122"/>
      <c r="V201" s="122"/>
      <c r="W201" s="122"/>
      <c r="X201" s="122"/>
      <c r="Y201" s="122"/>
      <c r="Z201" s="122"/>
    </row>
    <row r="202" spans="1:26" ht="12.75" x14ac:dyDescent="0.2">
      <c r="A202" s="122"/>
      <c r="B202" s="180"/>
      <c r="C202" s="199" t="s">
        <v>216</v>
      </c>
      <c r="D202" s="182"/>
      <c r="E202" s="182"/>
      <c r="F202" s="127">
        <f>SUM(F200:F201)</f>
        <v>9.9630499999999991</v>
      </c>
      <c r="G202" s="127">
        <f t="shared" ref="G202:O202" si="61">SUM(G200:G201)</f>
        <v>10.750130949999999</v>
      </c>
      <c r="H202" s="127">
        <f t="shared" si="61"/>
        <v>11.599391295049998</v>
      </c>
      <c r="I202" s="127">
        <f t="shared" si="61"/>
        <v>12.515743207358948</v>
      </c>
      <c r="J202" s="127">
        <f t="shared" si="61"/>
        <v>13.504486920740305</v>
      </c>
      <c r="K202" s="127">
        <f t="shared" si="61"/>
        <v>14.571341387478789</v>
      </c>
      <c r="L202" s="127">
        <f t="shared" si="61"/>
        <v>15.722477357089613</v>
      </c>
      <c r="M202" s="127">
        <f t="shared" si="61"/>
        <v>16.96455306829969</v>
      </c>
      <c r="N202" s="127">
        <f t="shared" si="61"/>
        <v>18.304752760695365</v>
      </c>
      <c r="O202" s="127">
        <f t="shared" si="61"/>
        <v>19.750828228790297</v>
      </c>
      <c r="P202" s="122"/>
      <c r="Q202" s="122"/>
      <c r="R202" s="122"/>
      <c r="S202" s="122"/>
      <c r="T202" s="122"/>
      <c r="U202" s="122"/>
      <c r="V202" s="122"/>
      <c r="W202" s="122"/>
      <c r="X202" s="122"/>
      <c r="Y202" s="122"/>
      <c r="Z202" s="122"/>
    </row>
    <row r="203" spans="1:26" ht="12.75" x14ac:dyDescent="0.2">
      <c r="A203" s="122"/>
      <c r="B203" s="180"/>
      <c r="C203" s="155"/>
      <c r="D203" s="180"/>
      <c r="E203" s="180"/>
      <c r="F203" s="183"/>
      <c r="G203" s="183"/>
      <c r="H203" s="183"/>
      <c r="I203" s="183"/>
      <c r="J203" s="183"/>
      <c r="K203" s="183"/>
      <c r="L203" s="183"/>
      <c r="M203" s="183"/>
      <c r="N203" s="183"/>
      <c r="O203" s="183"/>
      <c r="P203" s="122"/>
      <c r="Q203" s="122"/>
      <c r="R203" s="122"/>
      <c r="S203" s="122"/>
      <c r="T203" s="122"/>
      <c r="U203" s="122"/>
      <c r="V203" s="122"/>
      <c r="W203" s="122"/>
      <c r="X203" s="122"/>
      <c r="Y203" s="122"/>
      <c r="Z203" s="122"/>
    </row>
    <row r="204" spans="1:26" ht="12.75" x14ac:dyDescent="0.2">
      <c r="A204" s="122"/>
      <c r="B204" s="180"/>
      <c r="C204" s="188" t="s">
        <v>219</v>
      </c>
      <c r="D204" s="180"/>
      <c r="E204" s="180"/>
      <c r="F204" s="183"/>
      <c r="G204" s="183"/>
      <c r="H204" s="183"/>
      <c r="I204" s="183"/>
      <c r="J204" s="183"/>
      <c r="K204" s="183"/>
      <c r="L204" s="183"/>
      <c r="M204" s="183"/>
      <c r="N204" s="183"/>
      <c r="O204" s="183"/>
      <c r="P204" s="122"/>
      <c r="Q204" s="122"/>
      <c r="R204" s="122"/>
      <c r="S204" s="122"/>
      <c r="T204" s="122"/>
      <c r="U204" s="122"/>
      <c r="V204" s="122"/>
      <c r="W204" s="122"/>
      <c r="X204" s="122"/>
      <c r="Y204" s="122"/>
      <c r="Z204" s="122"/>
    </row>
    <row r="205" spans="1:26" ht="12.75" x14ac:dyDescent="0.2">
      <c r="A205" s="122"/>
      <c r="B205" s="180"/>
      <c r="C205" s="152" t="s">
        <v>92</v>
      </c>
      <c r="D205" s="180"/>
      <c r="E205" s="180"/>
      <c r="F205" s="125">
        <f>F170*(1+$F$77)</f>
        <v>3.2289777066455998</v>
      </c>
      <c r="G205" s="125">
        <f t="shared" ref="G205:O205" si="62">G170*(1+$F$77)</f>
        <v>3.4840669454706021</v>
      </c>
      <c r="H205" s="125">
        <f t="shared" si="62"/>
        <v>3.7593082341627793</v>
      </c>
      <c r="I205" s="125">
        <f t="shared" si="62"/>
        <v>4.0562935846616393</v>
      </c>
      <c r="J205" s="125">
        <f t="shared" si="62"/>
        <v>4.3767407778499088</v>
      </c>
      <c r="K205" s="125">
        <f t="shared" si="62"/>
        <v>4.7225032993000511</v>
      </c>
      <c r="L205" s="125">
        <f t="shared" si="62"/>
        <v>5.0955810599447551</v>
      </c>
      <c r="M205" s="125">
        <f t="shared" si="62"/>
        <v>5.4981319636803905</v>
      </c>
      <c r="N205" s="125">
        <f t="shared" si="62"/>
        <v>5.9324843888111412</v>
      </c>
      <c r="O205" s="125">
        <f t="shared" si="62"/>
        <v>6.4011506555272213</v>
      </c>
      <c r="P205" s="122"/>
      <c r="Q205" s="122"/>
      <c r="R205" s="122"/>
      <c r="S205" s="122"/>
      <c r="T205" s="122"/>
      <c r="U205" s="122"/>
      <c r="V205" s="122"/>
      <c r="W205" s="122"/>
      <c r="X205" s="122"/>
      <c r="Y205" s="122"/>
      <c r="Z205" s="122"/>
    </row>
    <row r="206" spans="1:26" ht="12.75" x14ac:dyDescent="0.2">
      <c r="A206" s="122"/>
      <c r="B206" s="180"/>
      <c r="C206" s="152" t="s">
        <v>96</v>
      </c>
      <c r="D206" s="180"/>
      <c r="E206" s="180"/>
      <c r="F206" s="125">
        <f>$F63*F$140*$F71/1000*F$120*F$137*(1+$F$77)</f>
        <v>3.15</v>
      </c>
      <c r="G206" s="125">
        <f t="shared" ref="G206:O206" si="63">$F63*G$140*$F71/1000*G$120*G$137*(1+$F$77)</f>
        <v>3.3988499999999999</v>
      </c>
      <c r="H206" s="125">
        <f t="shared" si="63"/>
        <v>3.6673591499999993</v>
      </c>
      <c r="I206" s="125">
        <f t="shared" si="63"/>
        <v>3.9570805228499997</v>
      </c>
      <c r="J206" s="125">
        <f t="shared" si="63"/>
        <v>4.2696898841551496</v>
      </c>
      <c r="K206" s="125">
        <f t="shared" si="63"/>
        <v>4.6069953850034064</v>
      </c>
      <c r="L206" s="125">
        <f t="shared" si="63"/>
        <v>4.9709480204186756</v>
      </c>
      <c r="M206" s="125">
        <f t="shared" si="63"/>
        <v>5.3636529140317499</v>
      </c>
      <c r="N206" s="125">
        <f t="shared" si="63"/>
        <v>5.7873814942402584</v>
      </c>
      <c r="O206" s="125">
        <f t="shared" si="63"/>
        <v>6.244584632285239</v>
      </c>
      <c r="P206" s="122"/>
      <c r="Q206" s="122"/>
      <c r="R206" s="122"/>
      <c r="S206" s="122"/>
      <c r="T206" s="122"/>
      <c r="U206" s="122"/>
      <c r="V206" s="122"/>
      <c r="W206" s="122"/>
      <c r="X206" s="122"/>
      <c r="Y206" s="122"/>
      <c r="Z206" s="122"/>
    </row>
    <row r="207" spans="1:26" ht="12.75" x14ac:dyDescent="0.2">
      <c r="A207" s="122"/>
      <c r="B207" s="180"/>
      <c r="C207" s="152" t="s">
        <v>99</v>
      </c>
      <c r="D207" s="180"/>
      <c r="E207" s="180"/>
      <c r="F207" s="125">
        <f>$F64*F$140*$F72/1000*F$122*(1+$F$77)*F$127</f>
        <v>3.1452969702599995</v>
      </c>
      <c r="G207" s="125">
        <f t="shared" ref="G207:O207" si="64">$F64*G$140*$F72/1000*G$122*(1+$F$77)*G$127</f>
        <v>3.393775430910539</v>
      </c>
      <c r="H207" s="125">
        <f t="shared" si="64"/>
        <v>3.6618836899524716</v>
      </c>
      <c r="I207" s="125">
        <f t="shared" si="64"/>
        <v>3.9511725014587173</v>
      </c>
      <c r="J207" s="125">
        <f t="shared" si="64"/>
        <v>4.2633151290739555</v>
      </c>
      <c r="K207" s="125">
        <f t="shared" si="64"/>
        <v>4.6001170242707987</v>
      </c>
      <c r="L207" s="125">
        <f t="shared" si="64"/>
        <v>4.9635262691881907</v>
      </c>
      <c r="M207" s="125">
        <f t="shared" si="64"/>
        <v>5.3556448444540585</v>
      </c>
      <c r="N207" s="125">
        <f t="shared" si="64"/>
        <v>5.778740787165928</v>
      </c>
      <c r="O207" s="125">
        <f t="shared" si="64"/>
        <v>6.2352613093520359</v>
      </c>
      <c r="P207" s="122"/>
      <c r="Q207" s="122"/>
      <c r="R207" s="122"/>
      <c r="S207" s="122"/>
      <c r="T207" s="122"/>
      <c r="U207" s="122"/>
      <c r="V207" s="122"/>
      <c r="W207" s="122"/>
      <c r="X207" s="122"/>
      <c r="Y207" s="122"/>
      <c r="Z207" s="122"/>
    </row>
    <row r="208" spans="1:26" ht="12.75" x14ac:dyDescent="0.2">
      <c r="A208" s="122"/>
      <c r="B208" s="180"/>
      <c r="C208" s="152" t="s">
        <v>102</v>
      </c>
      <c r="D208" s="180"/>
      <c r="E208" s="180"/>
      <c r="F208" s="125">
        <f t="shared" ref="F208:O209" si="65">$F65*F$140*$F73/1000*F$122*(1+$F$77)*F$127</f>
        <v>9.3082792571999988</v>
      </c>
      <c r="G208" s="125">
        <f t="shared" si="65"/>
        <v>10.043633318518797</v>
      </c>
      <c r="H208" s="125">
        <f t="shared" si="65"/>
        <v>10.837080350681783</v>
      </c>
      <c r="I208" s="125">
        <f t="shared" si="65"/>
        <v>11.693209698385644</v>
      </c>
      <c r="J208" s="125">
        <f t="shared" si="65"/>
        <v>12.616973264558109</v>
      </c>
      <c r="K208" s="125">
        <f t="shared" si="65"/>
        <v>13.613714152458197</v>
      </c>
      <c r="L208" s="125">
        <f t="shared" si="65"/>
        <v>14.689197570502397</v>
      </c>
      <c r="M208" s="125">
        <f t="shared" si="65"/>
        <v>15.849644178572088</v>
      </c>
      <c r="N208" s="125">
        <f t="shared" si="65"/>
        <v>17.101766068679282</v>
      </c>
      <c r="O208" s="125">
        <f t="shared" si="65"/>
        <v>18.45280558810494</v>
      </c>
      <c r="P208" s="122"/>
      <c r="Q208" s="122"/>
      <c r="R208" s="122"/>
      <c r="S208" s="122"/>
      <c r="T208" s="122"/>
      <c r="U208" s="122"/>
      <c r="V208" s="122"/>
      <c r="W208" s="122"/>
      <c r="X208" s="122"/>
      <c r="Y208" s="122"/>
      <c r="Z208" s="122"/>
    </row>
    <row r="209" spans="1:26" ht="12.75" x14ac:dyDescent="0.2">
      <c r="A209" s="122"/>
      <c r="B209" s="180"/>
      <c r="C209" s="152" t="s">
        <v>105</v>
      </c>
      <c r="D209" s="180"/>
      <c r="E209" s="180"/>
      <c r="F209" s="125">
        <f t="shared" si="65"/>
        <v>0.51393176470588231</v>
      </c>
      <c r="G209" s="125">
        <f t="shared" si="65"/>
        <v>0.554532374117647</v>
      </c>
      <c r="H209" s="125">
        <f t="shared" si="65"/>
        <v>0.59834043167294104</v>
      </c>
      <c r="I209" s="125">
        <f t="shared" si="65"/>
        <v>0.64560932577510344</v>
      </c>
      <c r="J209" s="125">
        <f t="shared" si="65"/>
        <v>0.69661246251133657</v>
      </c>
      <c r="K209" s="125">
        <f t="shared" si="65"/>
        <v>0.75164484704973211</v>
      </c>
      <c r="L209" s="125">
        <f t="shared" si="65"/>
        <v>0.81102478996666094</v>
      </c>
      <c r="M209" s="125">
        <f t="shared" si="65"/>
        <v>0.87509574837402726</v>
      </c>
      <c r="N209" s="125">
        <f t="shared" si="65"/>
        <v>0.94422831249557537</v>
      </c>
      <c r="O209" s="125">
        <f t="shared" si="65"/>
        <v>1.0188223491827257</v>
      </c>
      <c r="P209" s="122"/>
      <c r="Q209" s="122"/>
      <c r="R209" s="122"/>
      <c r="S209" s="122"/>
      <c r="T209" s="122"/>
      <c r="U209" s="122"/>
      <c r="V209" s="122"/>
      <c r="W209" s="122"/>
      <c r="X209" s="122"/>
      <c r="Y209" s="122"/>
      <c r="Z209" s="122"/>
    </row>
    <row r="210" spans="1:26" ht="12.75" x14ac:dyDescent="0.2">
      <c r="A210" s="122"/>
      <c r="B210" s="180"/>
      <c r="C210" s="152" t="s">
        <v>108</v>
      </c>
      <c r="D210" s="180"/>
      <c r="E210" s="180"/>
      <c r="F210" s="125">
        <f t="shared" ref="F210:O210" si="66">ROUNDUP(F150*1000/$F$67,0)*$F75/1000*F$120</f>
        <v>1.7</v>
      </c>
      <c r="G210" s="125">
        <f t="shared" si="66"/>
        <v>1.8342999999999998</v>
      </c>
      <c r="H210" s="125">
        <f t="shared" si="66"/>
        <v>2.0956337999999999</v>
      </c>
      <c r="I210" s="125">
        <f t="shared" si="66"/>
        <v>2.3868104740999998</v>
      </c>
      <c r="J210" s="125">
        <f t="shared" si="66"/>
        <v>2.5753685015538998</v>
      </c>
      <c r="K210" s="125">
        <f t="shared" si="66"/>
        <v>2.9250764349227976</v>
      </c>
      <c r="L210" s="125">
        <f t="shared" si="66"/>
        <v>3.3139653469457837</v>
      </c>
      <c r="M210" s="125">
        <f t="shared" si="66"/>
        <v>3.7460433050380479</v>
      </c>
      <c r="N210" s="125">
        <f t="shared" si="66"/>
        <v>4.0419807261360541</v>
      </c>
      <c r="O210" s="125">
        <f t="shared" si="66"/>
        <v>4.5595379854781104</v>
      </c>
      <c r="P210" s="122"/>
      <c r="Q210" s="122"/>
      <c r="R210" s="122"/>
      <c r="S210" s="122"/>
      <c r="T210" s="122"/>
      <c r="U210" s="122"/>
      <c r="V210" s="122"/>
      <c r="W210" s="122"/>
      <c r="X210" s="122"/>
      <c r="Y210" s="122"/>
      <c r="Z210" s="122"/>
    </row>
    <row r="211" spans="1:26" ht="12.75" x14ac:dyDescent="0.2">
      <c r="A211" s="122"/>
      <c r="B211" s="180"/>
      <c r="C211" s="198" t="s">
        <v>217</v>
      </c>
      <c r="D211" s="182"/>
      <c r="E211" s="182"/>
      <c r="F211" s="187">
        <f t="shared" ref="F211:O211" si="67">SUM(F205:F210)</f>
        <v>21.04648569881148</v>
      </c>
      <c r="G211" s="187">
        <f t="shared" si="67"/>
        <v>22.709158069017583</v>
      </c>
      <c r="H211" s="187">
        <f t="shared" si="67"/>
        <v>24.619605656469972</v>
      </c>
      <c r="I211" s="187">
        <f t="shared" si="67"/>
        <v>26.690176107231107</v>
      </c>
      <c r="J211" s="187">
        <f t="shared" si="67"/>
        <v>28.798700019702359</v>
      </c>
      <c r="K211" s="187">
        <f t="shared" si="67"/>
        <v>31.220051143004984</v>
      </c>
      <c r="L211" s="187">
        <f t="shared" si="67"/>
        <v>33.844243056966462</v>
      </c>
      <c r="M211" s="187">
        <f t="shared" si="67"/>
        <v>36.688212954150366</v>
      </c>
      <c r="N211" s="187">
        <f t="shared" si="67"/>
        <v>39.586581777528238</v>
      </c>
      <c r="O211" s="187">
        <f t="shared" si="67"/>
        <v>42.91216251993027</v>
      </c>
      <c r="P211" s="122"/>
      <c r="Q211" s="122"/>
      <c r="R211" s="122"/>
      <c r="S211" s="122"/>
      <c r="T211" s="122"/>
      <c r="U211" s="122"/>
      <c r="V211" s="122"/>
      <c r="W211" s="122"/>
      <c r="X211" s="122"/>
      <c r="Y211" s="122"/>
      <c r="Z211" s="122"/>
    </row>
    <row r="212" spans="1:26" ht="12.75" x14ac:dyDescent="0.2">
      <c r="A212" s="122"/>
      <c r="B212" s="180"/>
      <c r="C212" s="189"/>
      <c r="D212" s="201"/>
      <c r="E212" s="201"/>
      <c r="F212" s="202"/>
      <c r="G212" s="202"/>
      <c r="H212" s="202"/>
      <c r="I212" s="202"/>
      <c r="J212" s="202"/>
      <c r="K212" s="202"/>
      <c r="L212" s="202"/>
      <c r="M212" s="202"/>
      <c r="N212" s="202"/>
      <c r="O212" s="202"/>
      <c r="P212" s="122"/>
      <c r="Q212" s="122"/>
      <c r="R212" s="122"/>
      <c r="S212" s="122"/>
      <c r="T212" s="122"/>
      <c r="U212" s="122"/>
      <c r="V212" s="122"/>
      <c r="W212" s="122"/>
      <c r="X212" s="122"/>
      <c r="Y212" s="122"/>
      <c r="Z212" s="122"/>
    </row>
    <row r="213" spans="1:26" ht="12.75" x14ac:dyDescent="0.2">
      <c r="A213" s="122"/>
      <c r="B213" s="180"/>
      <c r="C213" s="188" t="s">
        <v>287</v>
      </c>
      <c r="D213" s="201"/>
      <c r="E213" s="201"/>
      <c r="F213" s="202"/>
      <c r="G213" s="202"/>
      <c r="H213" s="202"/>
      <c r="I213" s="202"/>
      <c r="J213" s="202"/>
      <c r="K213" s="202"/>
      <c r="L213" s="202"/>
      <c r="M213" s="202"/>
      <c r="N213" s="202"/>
      <c r="O213" s="202"/>
      <c r="P213" s="122"/>
      <c r="Q213" s="122"/>
      <c r="R213" s="122"/>
      <c r="S213" s="122"/>
      <c r="T213" s="122"/>
      <c r="U213" s="122"/>
      <c r="V213" s="122"/>
      <c r="W213" s="122"/>
      <c r="X213" s="122"/>
      <c r="Y213" s="122"/>
      <c r="Z213" s="122"/>
    </row>
    <row r="214" spans="1:26" ht="12.75" x14ac:dyDescent="0.2">
      <c r="A214" s="122"/>
      <c r="B214" s="180"/>
      <c r="C214" s="155" t="s">
        <v>375</v>
      </c>
      <c r="D214" s="201"/>
      <c r="E214" s="201"/>
      <c r="F214" s="190">
        <f t="shared" ref="F214:O214" si="68">$F84*F$120/1000*F$150</f>
        <v>2.1501421963636362</v>
      </c>
      <c r="G214" s="190">
        <f t="shared" si="68"/>
        <v>2.4133595830066037</v>
      </c>
      <c r="H214" s="190">
        <f t="shared" si="68"/>
        <v>2.7073652928115695</v>
      </c>
      <c r="I214" s="190">
        <f t="shared" si="68"/>
        <v>3.0356615170014538</v>
      </c>
      <c r="J214" s="190">
        <f t="shared" si="68"/>
        <v>3.4021416584462871</v>
      </c>
      <c r="K214" s="190">
        <f t="shared" si="68"/>
        <v>3.8111334991922519</v>
      </c>
      <c r="L214" s="190">
        <f t="shared" si="68"/>
        <v>4.2674470909012054</v>
      </c>
      <c r="M214" s="190">
        <f t="shared" si="68"/>
        <v>4.7764278818377983</v>
      </c>
      <c r="N214" s="190">
        <f t="shared" si="68"/>
        <v>5.3440156496626283</v>
      </c>
      <c r="O214" s="190">
        <f t="shared" si="68"/>
        <v>5.9768098709158197</v>
      </c>
      <c r="P214" s="122"/>
      <c r="Q214" s="122"/>
      <c r="R214" s="122"/>
      <c r="S214" s="122"/>
      <c r="T214" s="122"/>
      <c r="U214" s="122"/>
      <c r="V214" s="122"/>
      <c r="W214" s="122"/>
      <c r="X214" s="122"/>
      <c r="Y214" s="122"/>
      <c r="Z214" s="122"/>
    </row>
    <row r="215" spans="1:26" ht="12.75" x14ac:dyDescent="0.2">
      <c r="A215" s="122"/>
      <c r="B215" s="180"/>
      <c r="C215" s="184" t="s">
        <v>284</v>
      </c>
      <c r="D215" s="185"/>
      <c r="E215" s="185"/>
      <c r="F215" s="186">
        <f t="shared" ref="F215:O215" si="69">$F85*F$120/1000*(F$150+F$148+F$149)</f>
        <v>1.0842400800000001</v>
      </c>
      <c r="G215" s="186">
        <f t="shared" si="69"/>
        <v>1.20031231752432</v>
      </c>
      <c r="H215" s="186">
        <f t="shared" si="69"/>
        <v>1.3288105523645684</v>
      </c>
      <c r="I215" s="186">
        <f t="shared" si="69"/>
        <v>1.4710650372374052</v>
      </c>
      <c r="J215" s="186">
        <f t="shared" si="69"/>
        <v>1.6285484337338183</v>
      </c>
      <c r="K215" s="186">
        <f t="shared" si="69"/>
        <v>1.8028910577587585</v>
      </c>
      <c r="L215" s="186">
        <f t="shared" si="69"/>
        <v>1.9958977570560648</v>
      </c>
      <c r="M215" s="186">
        <f t="shared" si="69"/>
        <v>2.2095665955399451</v>
      </c>
      <c r="N215" s="186">
        <f t="shared" si="69"/>
        <v>2.4461095378588782</v>
      </c>
      <c r="O215" s="186">
        <f t="shared" si="69"/>
        <v>2.7079753483248226</v>
      </c>
      <c r="P215" s="122"/>
      <c r="Q215" s="122"/>
      <c r="R215" s="122"/>
      <c r="S215" s="122"/>
      <c r="T215" s="122"/>
      <c r="U215" s="122"/>
      <c r="V215" s="122"/>
      <c r="W215" s="122"/>
      <c r="X215" s="122"/>
      <c r="Y215" s="122"/>
      <c r="Z215" s="122"/>
    </row>
    <row r="216" spans="1:26" ht="12.75" x14ac:dyDescent="0.2">
      <c r="A216" s="122"/>
      <c r="B216" s="180"/>
      <c r="C216" s="189" t="s">
        <v>289</v>
      </c>
      <c r="D216" s="201"/>
      <c r="E216" s="201"/>
      <c r="F216" s="202">
        <f>SUM(F214:F215)</f>
        <v>3.2343822763636361</v>
      </c>
      <c r="G216" s="202">
        <f t="shared" ref="G216:O216" si="70">SUM(G214:G215)</f>
        <v>3.6136719005309237</v>
      </c>
      <c r="H216" s="202">
        <f t="shared" si="70"/>
        <v>4.036175845176138</v>
      </c>
      <c r="I216" s="202">
        <f t="shared" si="70"/>
        <v>4.5067265542388588</v>
      </c>
      <c r="J216" s="202">
        <f t="shared" si="70"/>
        <v>5.0306900921801052</v>
      </c>
      <c r="K216" s="202">
        <f t="shared" si="70"/>
        <v>5.6140245569510103</v>
      </c>
      <c r="L216" s="202">
        <f t="shared" si="70"/>
        <v>6.2633448479572706</v>
      </c>
      <c r="M216" s="202">
        <f t="shared" si="70"/>
        <v>6.9859944773777434</v>
      </c>
      <c r="N216" s="202">
        <f t="shared" si="70"/>
        <v>7.7901251875215065</v>
      </c>
      <c r="O216" s="202">
        <f t="shared" si="70"/>
        <v>8.6847852192406414</v>
      </c>
      <c r="P216" s="122"/>
      <c r="Q216" s="122"/>
      <c r="R216" s="122"/>
      <c r="S216" s="122"/>
      <c r="T216" s="122"/>
      <c r="U216" s="122"/>
      <c r="V216" s="122"/>
      <c r="W216" s="122"/>
      <c r="X216" s="122"/>
      <c r="Y216" s="122"/>
      <c r="Z216" s="122"/>
    </row>
    <row r="217" spans="1:26" ht="12.75" x14ac:dyDescent="0.2">
      <c r="A217" s="122"/>
      <c r="B217" s="122"/>
      <c r="C217" s="173"/>
      <c r="D217" s="122"/>
      <c r="E217" s="122"/>
      <c r="F217" s="122"/>
      <c r="G217" s="122"/>
      <c r="H217" s="122"/>
      <c r="I217" s="122"/>
      <c r="J217" s="122"/>
      <c r="K217" s="122"/>
      <c r="L217" s="122"/>
      <c r="M217" s="122"/>
      <c r="N217" s="122"/>
      <c r="O217" s="122"/>
      <c r="P217" s="122"/>
      <c r="Q217" s="122"/>
      <c r="R217" s="122"/>
      <c r="S217" s="122"/>
      <c r="T217" s="122"/>
      <c r="U217" s="122"/>
      <c r="V217" s="122"/>
      <c r="W217" s="122"/>
      <c r="X217" s="122"/>
      <c r="Y217" s="122"/>
      <c r="Z217" s="122"/>
    </row>
    <row r="218" spans="1:26" ht="12.75" x14ac:dyDescent="0.2">
      <c r="A218" s="122"/>
      <c r="B218" s="179" t="s">
        <v>227</v>
      </c>
      <c r="C218" s="155"/>
      <c r="D218" s="180"/>
      <c r="E218" s="180"/>
      <c r="F218" s="180"/>
      <c r="G218" s="180"/>
      <c r="H218" s="180"/>
      <c r="I218" s="180"/>
      <c r="J218" s="180"/>
      <c r="K218" s="180"/>
      <c r="L218" s="180"/>
      <c r="M218" s="180"/>
      <c r="N218" s="180"/>
      <c r="O218" s="180"/>
      <c r="P218" s="122"/>
      <c r="Q218" s="122"/>
      <c r="R218" s="122"/>
      <c r="S218" s="122"/>
      <c r="T218" s="122"/>
      <c r="U218" s="122"/>
      <c r="V218" s="122"/>
      <c r="W218" s="122"/>
      <c r="X218" s="122"/>
      <c r="Y218" s="122"/>
      <c r="Z218" s="122"/>
    </row>
    <row r="219" spans="1:26" ht="12.75" x14ac:dyDescent="0.2">
      <c r="A219" s="122"/>
      <c r="B219" s="180"/>
      <c r="C219" s="188" t="s">
        <v>218</v>
      </c>
      <c r="D219" s="180"/>
      <c r="E219" s="180"/>
      <c r="F219" s="180"/>
      <c r="G219" s="180"/>
      <c r="H219" s="180"/>
      <c r="I219" s="180"/>
      <c r="J219" s="180"/>
      <c r="K219" s="180"/>
      <c r="L219" s="180"/>
      <c r="M219" s="180"/>
      <c r="N219" s="180"/>
      <c r="O219" s="180"/>
      <c r="P219" s="122"/>
      <c r="Q219" s="122"/>
      <c r="R219" s="122"/>
      <c r="S219" s="122"/>
      <c r="T219" s="122"/>
      <c r="U219" s="122"/>
      <c r="V219" s="122"/>
      <c r="W219" s="122"/>
      <c r="X219" s="122"/>
      <c r="Y219" s="122"/>
      <c r="Z219" s="122"/>
    </row>
    <row r="220" spans="1:26" ht="12.75" x14ac:dyDescent="0.2">
      <c r="A220" s="122"/>
      <c r="B220" s="180"/>
      <c r="C220" s="228" t="s">
        <v>272</v>
      </c>
      <c r="D220" s="180"/>
      <c r="E220" s="180"/>
      <c r="F220" s="125">
        <f t="shared" ref="F220:O220" si="71">$I40*F$141*$I48*F$135*F$120/1000</f>
        <v>11.282839615384615</v>
      </c>
      <c r="G220" s="125">
        <f t="shared" si="71"/>
        <v>12.174183944999999</v>
      </c>
      <c r="H220" s="125">
        <f t="shared" si="71"/>
        <v>13.135944476654998</v>
      </c>
      <c r="I220" s="125">
        <f t="shared" si="71"/>
        <v>14.173684090310743</v>
      </c>
      <c r="J220" s="125">
        <f t="shared" si="71"/>
        <v>15.293405133445292</v>
      </c>
      <c r="K220" s="125">
        <f t="shared" si="71"/>
        <v>16.501584138987468</v>
      </c>
      <c r="L220" s="125">
        <f t="shared" si="71"/>
        <v>17.805209285967482</v>
      </c>
      <c r="M220" s="125">
        <f t="shared" si="71"/>
        <v>19.211820819558909</v>
      </c>
      <c r="N220" s="125">
        <f t="shared" si="71"/>
        <v>20.729554664304061</v>
      </c>
      <c r="O220" s="125">
        <f t="shared" si="71"/>
        <v>22.367189482784084</v>
      </c>
      <c r="P220" s="122"/>
      <c r="Q220" s="122"/>
      <c r="R220" s="122"/>
      <c r="S220" s="122"/>
      <c r="T220" s="122"/>
      <c r="U220" s="122"/>
      <c r="V220" s="122"/>
      <c r="W220" s="122"/>
      <c r="X220" s="122"/>
      <c r="Y220" s="122"/>
      <c r="Z220" s="122"/>
    </row>
    <row r="221" spans="1:26" ht="12.75" x14ac:dyDescent="0.2">
      <c r="A221" s="122"/>
      <c r="B221" s="180"/>
      <c r="C221" s="228" t="s">
        <v>273</v>
      </c>
      <c r="D221" s="180"/>
      <c r="E221" s="180"/>
      <c r="F221" s="125">
        <f t="shared" ref="F221:O221" si="72">$I41*F$141*$I49*F$135*F$120/1000</f>
        <v>8.3209909999999976</v>
      </c>
      <c r="G221" s="125">
        <f t="shared" si="72"/>
        <v>8.9783492889999987</v>
      </c>
      <c r="H221" s="125">
        <f t="shared" si="72"/>
        <v>9.6876388828309974</v>
      </c>
      <c r="I221" s="125">
        <f t="shared" si="72"/>
        <v>10.452962354574645</v>
      </c>
      <c r="J221" s="125">
        <f t="shared" si="72"/>
        <v>11.278746380586043</v>
      </c>
      <c r="K221" s="125">
        <f t="shared" si="72"/>
        <v>12.169767344652339</v>
      </c>
      <c r="L221" s="125">
        <f t="shared" si="72"/>
        <v>13.131178964879876</v>
      </c>
      <c r="M221" s="125">
        <f t="shared" si="72"/>
        <v>14.168542103105382</v>
      </c>
      <c r="N221" s="125">
        <f t="shared" si="72"/>
        <v>15.28785692925071</v>
      </c>
      <c r="O221" s="125">
        <f t="shared" si="72"/>
        <v>16.495597626661514</v>
      </c>
      <c r="P221" s="122"/>
      <c r="Q221" s="122"/>
      <c r="R221" s="122"/>
      <c r="S221" s="122"/>
      <c r="T221" s="122"/>
      <c r="U221" s="122"/>
      <c r="V221" s="122"/>
      <c r="W221" s="122"/>
      <c r="X221" s="122"/>
      <c r="Y221" s="122"/>
      <c r="Z221" s="122"/>
    </row>
    <row r="222" spans="1:26" ht="12.75" x14ac:dyDescent="0.2">
      <c r="A222" s="122"/>
      <c r="B222" s="180"/>
      <c r="C222" s="228" t="s">
        <v>274</v>
      </c>
      <c r="D222" s="180"/>
      <c r="E222" s="180"/>
      <c r="F222" s="125">
        <f t="shared" ref="F222:O222" si="73">$I42*F$141*$I50*F$135*F$120/1000</f>
        <v>4.4537594594594596</v>
      </c>
      <c r="G222" s="125">
        <f t="shared" si="73"/>
        <v>4.805606456756756</v>
      </c>
      <c r="H222" s="125">
        <f t="shared" si="73"/>
        <v>5.1852493668405399</v>
      </c>
      <c r="I222" s="125">
        <f t="shared" si="73"/>
        <v>5.5948840668209421</v>
      </c>
      <c r="J222" s="125">
        <f t="shared" si="73"/>
        <v>6.036879908099797</v>
      </c>
      <c r="K222" s="125">
        <f t="shared" si="73"/>
        <v>6.513793420839681</v>
      </c>
      <c r="L222" s="125">
        <f t="shared" si="73"/>
        <v>7.0283831010860158</v>
      </c>
      <c r="M222" s="125">
        <f t="shared" si="73"/>
        <v>7.5836253660718107</v>
      </c>
      <c r="N222" s="125">
        <f t="shared" si="73"/>
        <v>8.1827317699914826</v>
      </c>
      <c r="O222" s="125">
        <f t="shared" si="73"/>
        <v>8.82916757982081</v>
      </c>
      <c r="P222" s="122"/>
      <c r="Q222" s="122"/>
      <c r="R222" s="122"/>
      <c r="S222" s="122"/>
      <c r="T222" s="122"/>
      <c r="U222" s="122"/>
      <c r="V222" s="122"/>
      <c r="W222" s="122"/>
      <c r="X222" s="122"/>
      <c r="Y222" s="122"/>
      <c r="Z222" s="122"/>
    </row>
    <row r="223" spans="1:26" ht="12.75" x14ac:dyDescent="0.2">
      <c r="A223" s="122"/>
      <c r="B223" s="180"/>
      <c r="C223" s="228" t="s">
        <v>275</v>
      </c>
      <c r="D223" s="180"/>
      <c r="E223" s="180"/>
      <c r="F223" s="125">
        <f t="shared" ref="F223:O223" si="74">$I43*F$141*$I51*F$135*F$120/1000</f>
        <v>18.814927761666642</v>
      </c>
      <c r="G223" s="125">
        <f t="shared" si="74"/>
        <v>20.301307054838304</v>
      </c>
      <c r="H223" s="125">
        <f t="shared" si="74"/>
        <v>21.905110312170528</v>
      </c>
      <c r="I223" s="125">
        <f t="shared" si="74"/>
        <v>23.635614026832002</v>
      </c>
      <c r="J223" s="125">
        <f t="shared" si="74"/>
        <v>25.502827534951727</v>
      </c>
      <c r="K223" s="125">
        <f t="shared" si="74"/>
        <v>27.517550910212915</v>
      </c>
      <c r="L223" s="125">
        <f t="shared" si="74"/>
        <v>29.691437432119734</v>
      </c>
      <c r="M223" s="125">
        <f t="shared" si="74"/>
        <v>32.037060989257192</v>
      </c>
      <c r="N223" s="125">
        <f t="shared" si="74"/>
        <v>34.567988807408511</v>
      </c>
      <c r="O223" s="125">
        <f t="shared" si="74"/>
        <v>37.298859923193774</v>
      </c>
      <c r="P223" s="122"/>
      <c r="Q223" s="122"/>
      <c r="R223" s="122"/>
      <c r="S223" s="122"/>
      <c r="T223" s="122"/>
      <c r="U223" s="122"/>
      <c r="V223" s="122"/>
      <c r="W223" s="122"/>
      <c r="X223" s="122"/>
      <c r="Y223" s="122"/>
      <c r="Z223" s="122"/>
    </row>
    <row r="224" spans="1:26" ht="12.75" x14ac:dyDescent="0.2">
      <c r="A224" s="122"/>
      <c r="B224" s="180"/>
      <c r="C224" s="152" t="s">
        <v>293</v>
      </c>
      <c r="D224" s="180"/>
      <c r="E224" s="180"/>
      <c r="F224" s="125">
        <f t="shared" ref="F224:O224" si="75">$I44*F$141*$I52*F$135*F$120/1000</f>
        <v>10.696629767441863</v>
      </c>
      <c r="G224" s="125">
        <f t="shared" si="75"/>
        <v>11.541663519069768</v>
      </c>
      <c r="H224" s="125">
        <f t="shared" si="75"/>
        <v>12.45345493707628</v>
      </c>
      <c r="I224" s="125">
        <f t="shared" si="75"/>
        <v>13.437277877105306</v>
      </c>
      <c r="J224" s="125">
        <f t="shared" si="75"/>
        <v>14.498822829396627</v>
      </c>
      <c r="K224" s="125">
        <f t="shared" si="75"/>
        <v>15.644229832918958</v>
      </c>
      <c r="L224" s="125">
        <f t="shared" si="75"/>
        <v>16.880123989719557</v>
      </c>
      <c r="M224" s="125">
        <f t="shared" si="75"/>
        <v>18.213653784907397</v>
      </c>
      <c r="N224" s="125">
        <f t="shared" si="75"/>
        <v>19.652532433915084</v>
      </c>
      <c r="O224" s="125">
        <f t="shared" si="75"/>
        <v>21.205082496194372</v>
      </c>
      <c r="P224" s="122"/>
      <c r="Q224" s="122"/>
      <c r="R224" s="122"/>
      <c r="S224" s="122"/>
      <c r="T224" s="122"/>
      <c r="U224" s="122"/>
      <c r="V224" s="122"/>
      <c r="W224" s="122"/>
      <c r="X224" s="122"/>
      <c r="Y224" s="122"/>
      <c r="Z224" s="122"/>
    </row>
    <row r="225" spans="1:26" ht="12.75" x14ac:dyDescent="0.2">
      <c r="A225" s="122"/>
      <c r="B225" s="180"/>
      <c r="C225" s="228" t="s">
        <v>278</v>
      </c>
      <c r="D225" s="180"/>
      <c r="E225" s="180"/>
      <c r="F225" s="125">
        <f t="shared" ref="F225:O225" si="76">$I45*F$141*$I53*F$135*F$120/1000</f>
        <v>24.550149391110523</v>
      </c>
      <c r="G225" s="125">
        <f t="shared" si="76"/>
        <v>26.489611193008255</v>
      </c>
      <c r="H225" s="125">
        <f t="shared" si="76"/>
        <v>28.582290477255906</v>
      </c>
      <c r="I225" s="125">
        <f t="shared" si="76"/>
        <v>30.840291424959123</v>
      </c>
      <c r="J225" s="125">
        <f t="shared" si="76"/>
        <v>33.276674447530894</v>
      </c>
      <c r="K225" s="125">
        <f t="shared" si="76"/>
        <v>35.905531728885826</v>
      </c>
      <c r="L225" s="125">
        <f t="shared" si="76"/>
        <v>38.742068735467818</v>
      </c>
      <c r="M225" s="125">
        <f t="shared" si="76"/>
        <v>41.802692165569766</v>
      </c>
      <c r="N225" s="125">
        <f t="shared" si="76"/>
        <v>45.105104846649773</v>
      </c>
      <c r="O225" s="125">
        <f t="shared" si="76"/>
        <v>48.668408129535109</v>
      </c>
      <c r="P225" s="122"/>
      <c r="Q225" s="122"/>
      <c r="R225" s="122"/>
      <c r="S225" s="122"/>
      <c r="T225" s="122"/>
      <c r="U225" s="122"/>
      <c r="V225" s="122"/>
      <c r="W225" s="122"/>
      <c r="X225" s="122"/>
      <c r="Y225" s="122"/>
      <c r="Z225" s="122"/>
    </row>
    <row r="226" spans="1:26" ht="12.75" x14ac:dyDescent="0.2">
      <c r="A226" s="122"/>
      <c r="B226" s="180"/>
      <c r="C226" s="152" t="s">
        <v>85</v>
      </c>
      <c r="D226" s="180"/>
      <c r="E226" s="180"/>
      <c r="F226" s="125">
        <f t="shared" ref="F226:O226" si="77">IF(F187&lt;$I$47,$I$46*$I$53*F$135*F$120/1000,0)</f>
        <v>11.844526169301163</v>
      </c>
      <c r="G226" s="125">
        <f t="shared" si="77"/>
        <v>12.780243736675954</v>
      </c>
      <c r="H226" s="125">
        <f t="shared" si="77"/>
        <v>13.789882991873354</v>
      </c>
      <c r="I226" s="125">
        <f t="shared" si="77"/>
        <v>14.87928374823135</v>
      </c>
      <c r="J226" s="125">
        <f t="shared" si="77"/>
        <v>0</v>
      </c>
      <c r="K226" s="125">
        <f t="shared" si="77"/>
        <v>0</v>
      </c>
      <c r="L226" s="125">
        <f t="shared" si="77"/>
        <v>0</v>
      </c>
      <c r="M226" s="125">
        <f t="shared" si="77"/>
        <v>0</v>
      </c>
      <c r="N226" s="125">
        <f t="shared" si="77"/>
        <v>0</v>
      </c>
      <c r="O226" s="125">
        <f t="shared" si="77"/>
        <v>0</v>
      </c>
      <c r="P226" s="122"/>
      <c r="Q226" s="122"/>
      <c r="R226" s="122"/>
      <c r="S226" s="122"/>
      <c r="T226" s="122"/>
      <c r="U226" s="122"/>
      <c r="V226" s="122"/>
      <c r="W226" s="122"/>
      <c r="X226" s="122"/>
      <c r="Y226" s="122"/>
      <c r="Z226" s="122"/>
    </row>
    <row r="227" spans="1:26" ht="12.75" x14ac:dyDescent="0.2">
      <c r="A227" s="122"/>
      <c r="B227" s="180"/>
      <c r="C227" s="199" t="s">
        <v>207</v>
      </c>
      <c r="D227" s="182"/>
      <c r="E227" s="182"/>
      <c r="F227" s="127">
        <f>SUM(F220:F226)</f>
        <v>89.963823164364257</v>
      </c>
      <c r="G227" s="127">
        <f t="shared" ref="G227:O227" si="78">SUM(G220:G226)</f>
        <v>97.070965194349043</v>
      </c>
      <c r="H227" s="127">
        <f t="shared" si="78"/>
        <v>104.73957144470261</v>
      </c>
      <c r="I227" s="127">
        <f t="shared" si="78"/>
        <v>113.0139975888341</v>
      </c>
      <c r="J227" s="127">
        <f t="shared" si="78"/>
        <v>105.88735623401038</v>
      </c>
      <c r="K227" s="127">
        <f t="shared" si="78"/>
        <v>114.25245737649718</v>
      </c>
      <c r="L227" s="127">
        <f t="shared" si="78"/>
        <v>123.2784015092405</v>
      </c>
      <c r="M227" s="127">
        <f t="shared" si="78"/>
        <v>133.01739522847046</v>
      </c>
      <c r="N227" s="127">
        <f t="shared" si="78"/>
        <v>143.52576945151964</v>
      </c>
      <c r="O227" s="127">
        <f t="shared" si="78"/>
        <v>154.86430523818967</v>
      </c>
      <c r="P227" s="122"/>
      <c r="Q227" s="122"/>
      <c r="R227" s="122"/>
      <c r="S227" s="122"/>
      <c r="T227" s="122"/>
      <c r="U227" s="122"/>
      <c r="V227" s="122"/>
      <c r="W227" s="122"/>
      <c r="X227" s="122"/>
      <c r="Y227" s="122"/>
      <c r="Z227" s="122"/>
    </row>
    <row r="228" spans="1:26" ht="12.75" x14ac:dyDescent="0.2">
      <c r="A228" s="122"/>
      <c r="B228" s="180"/>
      <c r="C228" s="152"/>
      <c r="D228" s="180"/>
      <c r="E228" s="180"/>
      <c r="F228" s="183"/>
      <c r="G228" s="183"/>
      <c r="H228" s="183"/>
      <c r="I228" s="183"/>
      <c r="J228" s="183"/>
      <c r="K228" s="183"/>
      <c r="L228" s="183"/>
      <c r="M228" s="183"/>
      <c r="N228" s="183"/>
      <c r="O228" s="183"/>
      <c r="P228" s="122"/>
      <c r="Q228" s="122"/>
      <c r="R228" s="122"/>
      <c r="S228" s="122"/>
      <c r="T228" s="122"/>
      <c r="U228" s="122"/>
      <c r="V228" s="122"/>
      <c r="W228" s="122"/>
      <c r="X228" s="122"/>
      <c r="Y228" s="122"/>
      <c r="Z228" s="122"/>
    </row>
    <row r="229" spans="1:26" ht="12.75" x14ac:dyDescent="0.2">
      <c r="A229" s="122"/>
      <c r="B229" s="180"/>
      <c r="C229" s="188" t="s">
        <v>215</v>
      </c>
      <c r="D229" s="180"/>
      <c r="E229" s="180"/>
      <c r="F229" s="183"/>
      <c r="G229" s="183"/>
      <c r="H229" s="183"/>
      <c r="I229" s="183"/>
      <c r="J229" s="183"/>
      <c r="K229" s="183"/>
      <c r="L229" s="183"/>
      <c r="M229" s="183"/>
      <c r="N229" s="183"/>
      <c r="O229" s="183"/>
      <c r="P229" s="122"/>
      <c r="Q229" s="122"/>
      <c r="R229" s="122"/>
      <c r="S229" s="122"/>
      <c r="T229" s="122"/>
      <c r="U229" s="122"/>
      <c r="V229" s="122"/>
      <c r="W229" s="122"/>
      <c r="X229" s="122"/>
      <c r="Y229" s="122"/>
      <c r="Z229" s="122"/>
    </row>
    <row r="230" spans="1:26" ht="12.75" x14ac:dyDescent="0.2">
      <c r="A230" s="122"/>
      <c r="B230" s="180"/>
      <c r="C230" s="155" t="s">
        <v>110</v>
      </c>
      <c r="D230" s="180"/>
      <c r="E230" s="180"/>
      <c r="F230" s="125">
        <f t="shared" ref="F230:O230" si="79">$I$57*F$141*F$120/1000</f>
        <v>6.21936</v>
      </c>
      <c r="G230" s="125">
        <f t="shared" si="79"/>
        <v>6.7106894399999995</v>
      </c>
      <c r="H230" s="125">
        <f t="shared" si="79"/>
        <v>7.2408339057599989</v>
      </c>
      <c r="I230" s="125">
        <f t="shared" si="79"/>
        <v>7.8128597843150391</v>
      </c>
      <c r="J230" s="125">
        <f t="shared" si="79"/>
        <v>8.4300757072759271</v>
      </c>
      <c r="K230" s="125">
        <f t="shared" si="79"/>
        <v>9.096051688150725</v>
      </c>
      <c r="L230" s="125">
        <f t="shared" si="79"/>
        <v>9.8146397715146314</v>
      </c>
      <c r="M230" s="125">
        <f t="shared" si="79"/>
        <v>10.589996313464287</v>
      </c>
      <c r="N230" s="125">
        <f t="shared" si="79"/>
        <v>11.426606022227965</v>
      </c>
      <c r="O230" s="125">
        <f t="shared" si="79"/>
        <v>12.329307897983973</v>
      </c>
      <c r="P230" s="122"/>
      <c r="Q230" s="122"/>
      <c r="R230" s="122"/>
      <c r="S230" s="122"/>
      <c r="T230" s="122"/>
      <c r="U230" s="122"/>
      <c r="V230" s="122"/>
      <c r="W230" s="122"/>
      <c r="X230" s="122"/>
      <c r="Y230" s="122"/>
      <c r="Z230" s="122"/>
    </row>
    <row r="231" spans="1:26" ht="12.75" x14ac:dyDescent="0.2">
      <c r="A231" s="122"/>
      <c r="B231" s="180"/>
      <c r="C231" s="184" t="s">
        <v>283</v>
      </c>
      <c r="D231" s="185"/>
      <c r="E231" s="185"/>
      <c r="F231" s="186">
        <f t="shared" ref="F231:O231" si="80">($F$59+$F$59*(F$141-1)*($F$58))/1000*F$120</f>
        <v>3.74369</v>
      </c>
      <c r="G231" s="186">
        <f t="shared" si="80"/>
        <v>4.0394415099999996</v>
      </c>
      <c r="H231" s="186">
        <f t="shared" si="80"/>
        <v>4.3585573892899996</v>
      </c>
      <c r="I231" s="186">
        <f t="shared" si="80"/>
        <v>4.7028834230439092</v>
      </c>
      <c r="J231" s="186">
        <f t="shared" si="80"/>
        <v>5.0744112134643782</v>
      </c>
      <c r="K231" s="186">
        <f t="shared" si="80"/>
        <v>5.475289699328064</v>
      </c>
      <c r="L231" s="186">
        <f t="shared" si="80"/>
        <v>5.9078375855749812</v>
      </c>
      <c r="M231" s="186">
        <f t="shared" si="80"/>
        <v>6.3745567548354041</v>
      </c>
      <c r="N231" s="186">
        <f t="shared" si="80"/>
        <v>6.8781467384674011</v>
      </c>
      <c r="O231" s="186">
        <f t="shared" si="80"/>
        <v>7.4215203308063256</v>
      </c>
      <c r="P231" s="122"/>
      <c r="Q231" s="122"/>
      <c r="R231" s="122"/>
      <c r="S231" s="122"/>
      <c r="T231" s="122"/>
      <c r="U231" s="122"/>
      <c r="V231" s="122"/>
      <c r="W231" s="122"/>
      <c r="X231" s="122"/>
      <c r="Y231" s="122"/>
      <c r="Z231" s="122"/>
    </row>
    <row r="232" spans="1:26" ht="12.75" x14ac:dyDescent="0.2">
      <c r="A232" s="122"/>
      <c r="B232" s="180"/>
      <c r="C232" s="199" t="s">
        <v>216</v>
      </c>
      <c r="D232" s="182"/>
      <c r="E232" s="182"/>
      <c r="F232" s="127">
        <f>SUM(F230:F231)</f>
        <v>9.9630499999999991</v>
      </c>
      <c r="G232" s="127">
        <f t="shared" ref="G232:O232" si="81">SUM(G230:G231)</f>
        <v>10.750130949999999</v>
      </c>
      <c r="H232" s="127">
        <f t="shared" si="81"/>
        <v>11.599391295049998</v>
      </c>
      <c r="I232" s="127">
        <f t="shared" si="81"/>
        <v>12.515743207358948</v>
      </c>
      <c r="J232" s="127">
        <f t="shared" si="81"/>
        <v>13.504486920740305</v>
      </c>
      <c r="K232" s="127">
        <f t="shared" si="81"/>
        <v>14.571341387478789</v>
      </c>
      <c r="L232" s="127">
        <f t="shared" si="81"/>
        <v>15.722477357089613</v>
      </c>
      <c r="M232" s="127">
        <f t="shared" si="81"/>
        <v>16.96455306829969</v>
      </c>
      <c r="N232" s="127">
        <f t="shared" si="81"/>
        <v>18.304752760695365</v>
      </c>
      <c r="O232" s="127">
        <f t="shared" si="81"/>
        <v>19.750828228790297</v>
      </c>
      <c r="P232" s="122"/>
      <c r="Q232" s="122"/>
      <c r="R232" s="122"/>
      <c r="S232" s="122"/>
      <c r="T232" s="122"/>
      <c r="U232" s="122"/>
      <c r="V232" s="122"/>
      <c r="W232" s="122"/>
      <c r="X232" s="122"/>
      <c r="Y232" s="122"/>
      <c r="Z232" s="122"/>
    </row>
    <row r="233" spans="1:26" ht="12.75" x14ac:dyDescent="0.2">
      <c r="A233" s="122"/>
      <c r="B233" s="180"/>
      <c r="C233" s="155"/>
      <c r="D233" s="180"/>
      <c r="E233" s="180"/>
      <c r="F233" s="183"/>
      <c r="G233" s="183"/>
      <c r="H233" s="183"/>
      <c r="I233" s="183"/>
      <c r="J233" s="183"/>
      <c r="K233" s="183"/>
      <c r="L233" s="183"/>
      <c r="M233" s="183"/>
      <c r="N233" s="183"/>
      <c r="O233" s="183"/>
      <c r="P233" s="122"/>
      <c r="Q233" s="122"/>
      <c r="R233" s="122"/>
      <c r="S233" s="122"/>
      <c r="T233" s="122"/>
      <c r="U233" s="122"/>
      <c r="V233" s="122"/>
      <c r="W233" s="122"/>
      <c r="X233" s="122"/>
      <c r="Y233" s="122"/>
      <c r="Z233" s="122"/>
    </row>
    <row r="234" spans="1:26" ht="12.75" x14ac:dyDescent="0.2">
      <c r="A234" s="122"/>
      <c r="B234" s="180"/>
      <c r="C234" s="188" t="s">
        <v>219</v>
      </c>
      <c r="D234" s="180"/>
      <c r="E234" s="180"/>
      <c r="F234" s="183"/>
      <c r="G234" s="183"/>
      <c r="H234" s="183"/>
      <c r="I234" s="183"/>
      <c r="J234" s="183"/>
      <c r="K234" s="183"/>
      <c r="L234" s="183"/>
      <c r="M234" s="183"/>
      <c r="N234" s="183"/>
      <c r="O234" s="183"/>
      <c r="P234" s="122"/>
      <c r="Q234" s="122"/>
      <c r="R234" s="122"/>
      <c r="S234" s="122"/>
      <c r="T234" s="122"/>
      <c r="U234" s="122"/>
      <c r="V234" s="122"/>
      <c r="W234" s="122"/>
      <c r="X234" s="122"/>
      <c r="Y234" s="122"/>
      <c r="Z234" s="122"/>
    </row>
    <row r="235" spans="1:26" ht="12.75" x14ac:dyDescent="0.2">
      <c r="A235" s="122"/>
      <c r="B235" s="180"/>
      <c r="C235" s="152" t="s">
        <v>92</v>
      </c>
      <c r="D235" s="180"/>
      <c r="E235" s="180"/>
      <c r="F235" s="125">
        <f>F177*(1+$F$77)</f>
        <v>0.40362221333069997</v>
      </c>
      <c r="G235" s="125">
        <f t="shared" ref="G235:O235" si="82">G177*(1+$F$77)</f>
        <v>0.43550836818382527</v>
      </c>
      <c r="H235" s="125">
        <f t="shared" si="82"/>
        <v>0.46991352927034741</v>
      </c>
      <c r="I235" s="125">
        <f t="shared" si="82"/>
        <v>0.50703669808270491</v>
      </c>
      <c r="J235" s="125">
        <f t="shared" si="82"/>
        <v>0.5470925972312386</v>
      </c>
      <c r="K235" s="125">
        <f t="shared" si="82"/>
        <v>0.59031291241250639</v>
      </c>
      <c r="L235" s="125">
        <f t="shared" si="82"/>
        <v>0.63694763249309438</v>
      </c>
      <c r="M235" s="125">
        <f t="shared" si="82"/>
        <v>0.68726649546004881</v>
      </c>
      <c r="N235" s="125">
        <f t="shared" si="82"/>
        <v>0.74156054860139264</v>
      </c>
      <c r="O235" s="125">
        <f t="shared" si="82"/>
        <v>0.80014383194090266</v>
      </c>
      <c r="P235" s="122"/>
      <c r="Q235" s="122"/>
      <c r="R235" s="122"/>
      <c r="S235" s="122"/>
      <c r="T235" s="122"/>
      <c r="U235" s="122"/>
      <c r="V235" s="122"/>
      <c r="W235" s="122"/>
      <c r="X235" s="122"/>
      <c r="Y235" s="122"/>
      <c r="Z235" s="122"/>
    </row>
    <row r="236" spans="1:26" ht="12.75" x14ac:dyDescent="0.2">
      <c r="A236" s="122"/>
      <c r="B236" s="180"/>
      <c r="C236" s="152" t="s">
        <v>96</v>
      </c>
      <c r="D236" s="180"/>
      <c r="E236" s="180"/>
      <c r="F236" s="125">
        <f>$I63*F$141*$I71/1000*F$120*F$137*(1+$F$77)</f>
        <v>7.875</v>
      </c>
      <c r="G236" s="125">
        <f t="shared" ref="G236:O236" si="83">$I63*G$141*$I71/1000*G$120*G$137*(1+$F$77)</f>
        <v>8.4971250000000005</v>
      </c>
      <c r="H236" s="125">
        <f t="shared" si="83"/>
        <v>9.1683978749999984</v>
      </c>
      <c r="I236" s="125">
        <f t="shared" si="83"/>
        <v>9.8927013071249998</v>
      </c>
      <c r="J236" s="125">
        <f t="shared" si="83"/>
        <v>10.674224710387874</v>
      </c>
      <c r="K236" s="125">
        <f t="shared" si="83"/>
        <v>11.517488462508515</v>
      </c>
      <c r="L236" s="125">
        <f t="shared" si="83"/>
        <v>12.427370051046688</v>
      </c>
      <c r="M236" s="125">
        <f t="shared" si="83"/>
        <v>13.409132285079375</v>
      </c>
      <c r="N236" s="125">
        <f t="shared" si="83"/>
        <v>14.468453735600646</v>
      </c>
      <c r="O236" s="125">
        <f t="shared" si="83"/>
        <v>15.611461580713097</v>
      </c>
      <c r="P236" s="122"/>
      <c r="Q236" s="122"/>
      <c r="R236" s="122"/>
      <c r="S236" s="122"/>
      <c r="T236" s="122"/>
      <c r="U236" s="122"/>
      <c r="V236" s="122"/>
      <c r="W236" s="122"/>
      <c r="X236" s="122"/>
      <c r="Y236" s="122"/>
      <c r="Z236" s="122"/>
    </row>
    <row r="237" spans="1:26" ht="12.75" x14ac:dyDescent="0.2">
      <c r="A237" s="122"/>
      <c r="B237" s="180"/>
      <c r="C237" s="152" t="s">
        <v>99</v>
      </c>
      <c r="D237" s="180"/>
      <c r="E237" s="180"/>
      <c r="F237" s="125">
        <f>$I64*F$141*$I72/1000*F$122*(1+$F$77)*F$127</f>
        <v>35.968272479999996</v>
      </c>
      <c r="G237" s="125">
        <f t="shared" ref="G237:O237" si="84">$I64*G$141*$I72/1000*G$122*(1+$F$77)*G$127</f>
        <v>38.80976600591999</v>
      </c>
      <c r="H237" s="125">
        <f t="shared" si="84"/>
        <v>41.875737520387666</v>
      </c>
      <c r="I237" s="125">
        <f t="shared" si="84"/>
        <v>45.183920784498298</v>
      </c>
      <c r="J237" s="125">
        <f t="shared" si="84"/>
        <v>48.753450526473664</v>
      </c>
      <c r="K237" s="125">
        <f t="shared" si="84"/>
        <v>52.604973118065075</v>
      </c>
      <c r="L237" s="125">
        <f t="shared" si="84"/>
        <v>56.760765994392216</v>
      </c>
      <c r="M237" s="125">
        <f t="shared" si="84"/>
        <v>61.244866507949212</v>
      </c>
      <c r="N237" s="125">
        <f t="shared" si="84"/>
        <v>66.083210962077189</v>
      </c>
      <c r="O237" s="125">
        <f t="shared" si="84"/>
        <v>71.303784628081289</v>
      </c>
      <c r="P237" s="122"/>
      <c r="Q237" s="122"/>
      <c r="R237" s="122"/>
      <c r="S237" s="122"/>
      <c r="T237" s="122"/>
      <c r="U237" s="122"/>
      <c r="V237" s="122"/>
      <c r="W237" s="122"/>
      <c r="X237" s="122"/>
      <c r="Y237" s="122"/>
      <c r="Z237" s="122"/>
    </row>
    <row r="238" spans="1:26" ht="12.75" x14ac:dyDescent="0.2">
      <c r="A238" s="122"/>
      <c r="B238" s="180"/>
      <c r="C238" s="152" t="s">
        <v>102</v>
      </c>
      <c r="D238" s="180"/>
      <c r="E238" s="180"/>
      <c r="F238" s="125">
        <f t="shared" ref="F238:O239" si="85">$I65*F$141*$I73/1000*F$122*(1+$F$77)*F$127</f>
        <v>12.088674359999999</v>
      </c>
      <c r="G238" s="125">
        <f t="shared" si="85"/>
        <v>13.043679634439998</v>
      </c>
      <c r="H238" s="125">
        <f t="shared" si="85"/>
        <v>14.074130325560755</v>
      </c>
      <c r="I238" s="125">
        <f t="shared" si="85"/>
        <v>15.185986621280058</v>
      </c>
      <c r="J238" s="125">
        <f t="shared" si="85"/>
        <v>16.385679564361183</v>
      </c>
      <c r="K238" s="125">
        <f t="shared" si="85"/>
        <v>17.680148249945713</v>
      </c>
      <c r="L238" s="125">
        <f t="shared" si="85"/>
        <v>19.076879961691425</v>
      </c>
      <c r="M238" s="125">
        <f t="shared" si="85"/>
        <v>20.583953478665048</v>
      </c>
      <c r="N238" s="125">
        <f t="shared" si="85"/>
        <v>22.210085803479586</v>
      </c>
      <c r="O238" s="125">
        <f t="shared" si="85"/>
        <v>23.96468258195447</v>
      </c>
      <c r="P238" s="122"/>
      <c r="Q238" s="122"/>
      <c r="R238" s="122"/>
      <c r="S238" s="122"/>
      <c r="T238" s="122"/>
      <c r="U238" s="122"/>
      <c r="V238" s="122"/>
      <c r="W238" s="122"/>
      <c r="X238" s="122"/>
      <c r="Y238" s="122"/>
      <c r="Z238" s="122"/>
    </row>
    <row r="239" spans="1:26" ht="12.75" x14ac:dyDescent="0.2">
      <c r="A239" s="122"/>
      <c r="B239" s="180"/>
      <c r="C239" s="152" t="s">
        <v>105</v>
      </c>
      <c r="D239" s="180"/>
      <c r="E239" s="180"/>
      <c r="F239" s="125">
        <f t="shared" si="85"/>
        <v>5.1393176470588244</v>
      </c>
      <c r="G239" s="125">
        <f t="shared" si="85"/>
        <v>5.5453237411764711</v>
      </c>
      <c r="H239" s="125">
        <f t="shared" si="85"/>
        <v>5.9834043167294118</v>
      </c>
      <c r="I239" s="125">
        <f t="shared" si="85"/>
        <v>6.4560932577510366</v>
      </c>
      <c r="J239" s="125">
        <f t="shared" si="85"/>
        <v>6.9661246251133679</v>
      </c>
      <c r="K239" s="125">
        <f t="shared" si="85"/>
        <v>7.5164484704973233</v>
      </c>
      <c r="L239" s="125">
        <f t="shared" si="85"/>
        <v>8.1102478996666107</v>
      </c>
      <c r="M239" s="125">
        <f t="shared" si="85"/>
        <v>8.7509574837402742</v>
      </c>
      <c r="N239" s="125">
        <f t="shared" si="85"/>
        <v>9.4422831249557557</v>
      </c>
      <c r="O239" s="125">
        <f t="shared" si="85"/>
        <v>10.188223491827259</v>
      </c>
      <c r="P239" s="122"/>
      <c r="Q239" s="122"/>
      <c r="R239" s="122"/>
      <c r="S239" s="122"/>
      <c r="T239" s="122"/>
      <c r="U239" s="122"/>
      <c r="V239" s="122"/>
      <c r="W239" s="122"/>
      <c r="X239" s="122"/>
      <c r="Y239" s="122"/>
      <c r="Z239" s="122"/>
    </row>
    <row r="240" spans="1:26" ht="12.75" x14ac:dyDescent="0.2">
      <c r="A240" s="122"/>
      <c r="B240" s="180"/>
      <c r="C240" s="152" t="s">
        <v>108</v>
      </c>
      <c r="D240" s="180"/>
      <c r="E240" s="180"/>
      <c r="F240" s="125">
        <f t="shared" ref="F240:O240" si="86">ROUNDUP(F157*1000/$F$67,0)*$I75/1000*F$120</f>
        <v>4.8</v>
      </c>
      <c r="G240" s="125">
        <f t="shared" si="86"/>
        <v>5.3949999999999996</v>
      </c>
      <c r="H240" s="125">
        <f t="shared" si="86"/>
        <v>6.0540531999999994</v>
      </c>
      <c r="I240" s="125">
        <f t="shared" si="86"/>
        <v>6.9091882144999994</v>
      </c>
      <c r="J240" s="125">
        <f t="shared" si="86"/>
        <v>7.7261055046616995</v>
      </c>
      <c r="K240" s="125">
        <f t="shared" si="86"/>
        <v>8.7752293047683931</v>
      </c>
      <c r="L240" s="125">
        <f t="shared" si="86"/>
        <v>9.9418960408373511</v>
      </c>
      <c r="M240" s="125">
        <f t="shared" si="86"/>
        <v>11.238129915114143</v>
      </c>
      <c r="N240" s="125">
        <f t="shared" si="86"/>
        <v>12.677121368335804</v>
      </c>
      <c r="O240" s="125">
        <f t="shared" si="86"/>
        <v>14.27333630236626</v>
      </c>
      <c r="P240" s="122"/>
      <c r="Q240" s="122"/>
      <c r="R240" s="122"/>
      <c r="S240" s="122"/>
      <c r="T240" s="122"/>
      <c r="U240" s="122"/>
      <c r="V240" s="122"/>
      <c r="W240" s="122"/>
      <c r="X240" s="122"/>
      <c r="Y240" s="122"/>
      <c r="Z240" s="122"/>
    </row>
    <row r="241" spans="1:26" ht="12.75" x14ac:dyDescent="0.2">
      <c r="A241" s="122"/>
      <c r="B241" s="180"/>
      <c r="C241" s="198" t="s">
        <v>217</v>
      </c>
      <c r="D241" s="182"/>
      <c r="E241" s="182"/>
      <c r="F241" s="187">
        <f t="shared" ref="F241:O241" si="87">SUM(F235:F240)</f>
        <v>66.274886700389516</v>
      </c>
      <c r="G241" s="187">
        <f t="shared" si="87"/>
        <v>71.726402749720279</v>
      </c>
      <c r="H241" s="187">
        <f t="shared" si="87"/>
        <v>77.625636766948176</v>
      </c>
      <c r="I241" s="187">
        <f t="shared" si="87"/>
        <v>84.134926883237114</v>
      </c>
      <c r="J241" s="187">
        <f t="shared" si="87"/>
        <v>91.052677528229026</v>
      </c>
      <c r="K241" s="187">
        <f t="shared" si="87"/>
        <v>98.684600518197527</v>
      </c>
      <c r="L241" s="187">
        <f t="shared" si="87"/>
        <v>106.95410758012738</v>
      </c>
      <c r="M241" s="187">
        <f t="shared" si="87"/>
        <v>115.91430616600812</v>
      </c>
      <c r="N241" s="187">
        <f t="shared" si="87"/>
        <v>125.62271554305038</v>
      </c>
      <c r="O241" s="187">
        <f t="shared" si="87"/>
        <v>136.14163241688328</v>
      </c>
      <c r="P241" s="122"/>
      <c r="Q241" s="122"/>
      <c r="R241" s="122"/>
      <c r="S241" s="122"/>
      <c r="T241" s="122"/>
      <c r="U241" s="122"/>
      <c r="V241" s="122"/>
      <c r="W241" s="122"/>
      <c r="X241" s="122"/>
      <c r="Y241" s="122"/>
      <c r="Z241" s="122"/>
    </row>
    <row r="242" spans="1:26" ht="12.75" x14ac:dyDescent="0.2">
      <c r="A242" s="122"/>
      <c r="B242" s="155"/>
      <c r="C242" s="155"/>
      <c r="D242" s="155"/>
      <c r="E242" s="155"/>
      <c r="F242" s="155"/>
      <c r="G242" s="155"/>
      <c r="H242" s="155"/>
      <c r="I242" s="155"/>
      <c r="J242" s="155"/>
      <c r="K242" s="155"/>
      <c r="L242" s="155"/>
      <c r="M242" s="155"/>
      <c r="N242" s="155"/>
      <c r="O242" s="155"/>
      <c r="P242" s="122"/>
      <c r="Q242" s="122"/>
      <c r="R242" s="122"/>
      <c r="S242" s="122"/>
      <c r="T242" s="122"/>
      <c r="U242" s="122"/>
      <c r="V242" s="122"/>
      <c r="W242" s="122"/>
      <c r="X242" s="122"/>
      <c r="Y242" s="122"/>
      <c r="Z242" s="122"/>
    </row>
    <row r="243" spans="1:26" ht="12.75" x14ac:dyDescent="0.2">
      <c r="A243" s="122"/>
      <c r="B243" s="180"/>
      <c r="C243" s="188" t="s">
        <v>287</v>
      </c>
      <c r="D243" s="201"/>
      <c r="E243" s="201"/>
      <c r="F243" s="202"/>
      <c r="G243" s="202"/>
      <c r="H243" s="202"/>
      <c r="I243" s="202"/>
      <c r="J243" s="202"/>
      <c r="K243" s="202"/>
      <c r="L243" s="202"/>
      <c r="M243" s="202"/>
      <c r="N243" s="202"/>
      <c r="O243" s="202"/>
      <c r="P243" s="122"/>
      <c r="Q243" s="122"/>
      <c r="R243" s="122"/>
      <c r="S243" s="122"/>
      <c r="T243" s="122"/>
      <c r="U243" s="122"/>
      <c r="V243" s="122"/>
      <c r="W243" s="122"/>
      <c r="X243" s="122"/>
      <c r="Y243" s="122"/>
      <c r="Z243" s="122"/>
    </row>
    <row r="244" spans="1:26" ht="12.75" x14ac:dyDescent="0.2">
      <c r="A244" s="122"/>
      <c r="B244" s="180"/>
      <c r="C244" s="155" t="s">
        <v>375</v>
      </c>
      <c r="D244" s="201"/>
      <c r="E244" s="201"/>
      <c r="F244" s="190">
        <f t="shared" ref="F244:O244" si="88">$I84*F$120/1000*F$157</f>
        <v>6.2941352727272717</v>
      </c>
      <c r="G244" s="190">
        <f t="shared" si="88"/>
        <v>7.1177920751127246</v>
      </c>
      <c r="H244" s="190">
        <f t="shared" si="88"/>
        <v>8.0463932462376455</v>
      </c>
      <c r="I244" s="190">
        <f t="shared" si="88"/>
        <v>9.093100580034287</v>
      </c>
      <c r="J244" s="190">
        <f t="shared" si="88"/>
        <v>10.272710716579594</v>
      </c>
      <c r="K244" s="190">
        <f t="shared" si="88"/>
        <v>11.601856988010651</v>
      </c>
      <c r="L244" s="190">
        <f t="shared" si="88"/>
        <v>13.099236090452925</v>
      </c>
      <c r="M244" s="190">
        <f t="shared" si="88"/>
        <v>14.785862628019716</v>
      </c>
      <c r="N244" s="190">
        <f t="shared" si="88"/>
        <v>16.685354948099469</v>
      </c>
      <c r="O244" s="190">
        <f t="shared" si="88"/>
        <v>18.824256105973998</v>
      </c>
      <c r="P244" s="122"/>
      <c r="Q244" s="122"/>
      <c r="R244" s="122"/>
      <c r="S244" s="122"/>
      <c r="T244" s="122"/>
      <c r="U244" s="122"/>
      <c r="V244" s="122"/>
      <c r="W244" s="122"/>
      <c r="X244" s="122"/>
      <c r="Y244" s="122"/>
      <c r="Z244" s="122"/>
    </row>
    <row r="245" spans="1:26" ht="12.75" x14ac:dyDescent="0.2">
      <c r="A245" s="122"/>
      <c r="B245" s="180"/>
      <c r="C245" s="184" t="s">
        <v>284</v>
      </c>
      <c r="D245" s="185"/>
      <c r="E245" s="185"/>
      <c r="F245" s="186">
        <f t="shared" ref="F245:O245" si="89">$I85*F$120/1000*(F$157+F$156+F$155)</f>
        <v>2.4641820000000001</v>
      </c>
      <c r="G245" s="186">
        <f t="shared" si="89"/>
        <v>2.7652064731199997</v>
      </c>
      <c r="H245" s="186">
        <f t="shared" si="89"/>
        <v>3.1030040958763392</v>
      </c>
      <c r="I245" s="186">
        <f t="shared" si="89"/>
        <v>3.4820670762285921</v>
      </c>
      <c r="J245" s="186">
        <f t="shared" si="89"/>
        <v>3.9074363902606777</v>
      </c>
      <c r="K245" s="186">
        <f t="shared" si="89"/>
        <v>4.3847688196949219</v>
      </c>
      <c r="L245" s="186">
        <f t="shared" si="89"/>
        <v>4.9204121787088537</v>
      </c>
      <c r="M245" s="186">
        <f t="shared" si="89"/>
        <v>5.521489730459928</v>
      </c>
      <c r="N245" s="186">
        <f t="shared" si="89"/>
        <v>6.1959949159329133</v>
      </c>
      <c r="O245" s="186">
        <f t="shared" si="89"/>
        <v>6.9528976548632784</v>
      </c>
      <c r="P245" s="122"/>
      <c r="Q245" s="122"/>
      <c r="R245" s="122"/>
      <c r="S245" s="122"/>
      <c r="T245" s="122"/>
      <c r="U245" s="122"/>
      <c r="V245" s="122"/>
      <c r="W245" s="122"/>
      <c r="X245" s="122"/>
      <c r="Y245" s="122"/>
      <c r="Z245" s="122"/>
    </row>
    <row r="246" spans="1:26" ht="12.75" x14ac:dyDescent="0.2">
      <c r="A246" s="122"/>
      <c r="B246" s="180"/>
      <c r="C246" s="189" t="s">
        <v>289</v>
      </c>
      <c r="D246" s="201"/>
      <c r="E246" s="201"/>
      <c r="F246" s="202">
        <f t="shared" ref="F246:O246" si="90">SUM(F244:F245)</f>
        <v>8.7583172727272718</v>
      </c>
      <c r="G246" s="202">
        <f t="shared" si="90"/>
        <v>9.8829985482327238</v>
      </c>
      <c r="H246" s="202">
        <f t="shared" si="90"/>
        <v>11.149397342113986</v>
      </c>
      <c r="I246" s="202">
        <f t="shared" si="90"/>
        <v>12.575167656262879</v>
      </c>
      <c r="J246" s="202">
        <f t="shared" si="90"/>
        <v>14.180147106840272</v>
      </c>
      <c r="K246" s="202">
        <f t="shared" si="90"/>
        <v>15.986625807705572</v>
      </c>
      <c r="L246" s="202">
        <f t="shared" si="90"/>
        <v>18.019648269161777</v>
      </c>
      <c r="M246" s="202">
        <f t="shared" si="90"/>
        <v>20.307352358479644</v>
      </c>
      <c r="N246" s="202">
        <f t="shared" si="90"/>
        <v>22.881349864032384</v>
      </c>
      <c r="O246" s="202">
        <f t="shared" si="90"/>
        <v>25.777153760837276</v>
      </c>
      <c r="P246" s="122"/>
      <c r="Q246" s="122"/>
      <c r="R246" s="122"/>
      <c r="S246" s="122"/>
      <c r="T246" s="122"/>
      <c r="U246" s="122"/>
      <c r="V246" s="122"/>
      <c r="W246" s="122"/>
      <c r="X246" s="122"/>
      <c r="Y246" s="122"/>
      <c r="Z246" s="122"/>
    </row>
    <row r="247" spans="1:26" ht="12.75" x14ac:dyDescent="0.2">
      <c r="A247" s="122"/>
      <c r="B247" s="122"/>
      <c r="C247" s="173"/>
      <c r="D247" s="122"/>
      <c r="E247" s="122"/>
      <c r="F247" s="122"/>
      <c r="G247" s="122"/>
      <c r="H247" s="122"/>
      <c r="I247" s="122"/>
      <c r="J247" s="122"/>
      <c r="K247" s="122"/>
      <c r="L247" s="122"/>
      <c r="M247" s="122"/>
      <c r="N247" s="122"/>
      <c r="O247" s="122"/>
      <c r="P247" s="122"/>
      <c r="Q247" s="122"/>
      <c r="R247" s="122"/>
      <c r="S247" s="122"/>
      <c r="T247" s="122"/>
      <c r="U247" s="122"/>
      <c r="V247" s="122"/>
      <c r="W247" s="122"/>
      <c r="X247" s="122"/>
      <c r="Y247" s="122"/>
      <c r="Z247" s="122"/>
    </row>
    <row r="248" spans="1:26" ht="12.75" x14ac:dyDescent="0.2">
      <c r="A248" s="122"/>
      <c r="B248" s="179" t="s">
        <v>228</v>
      </c>
      <c r="C248" s="155"/>
      <c r="D248" s="180"/>
      <c r="E248" s="180"/>
      <c r="F248" s="180"/>
      <c r="G248" s="180"/>
      <c r="H248" s="180"/>
      <c r="I248" s="180"/>
      <c r="J248" s="180"/>
      <c r="K248" s="180"/>
      <c r="L248" s="180"/>
      <c r="M248" s="180"/>
      <c r="N248" s="180"/>
      <c r="O248" s="180"/>
      <c r="P248" s="122"/>
      <c r="Q248" s="122"/>
      <c r="R248" s="122"/>
      <c r="S248" s="122"/>
      <c r="T248" s="122"/>
      <c r="U248" s="122"/>
      <c r="V248" s="122"/>
      <c r="W248" s="122"/>
      <c r="X248" s="122"/>
      <c r="Y248" s="122"/>
      <c r="Z248" s="122"/>
    </row>
    <row r="249" spans="1:26" ht="12.75" x14ac:dyDescent="0.2">
      <c r="A249" s="122"/>
      <c r="B249" s="180"/>
      <c r="C249" s="188" t="s">
        <v>218</v>
      </c>
      <c r="D249" s="180"/>
      <c r="E249" s="180"/>
      <c r="F249" s="180"/>
      <c r="G249" s="180"/>
      <c r="H249" s="180"/>
      <c r="I249" s="180"/>
      <c r="J249" s="180"/>
      <c r="K249" s="180"/>
      <c r="L249" s="180"/>
      <c r="M249" s="180"/>
      <c r="N249" s="180"/>
      <c r="O249" s="180"/>
      <c r="P249" s="122"/>
      <c r="Q249" s="122"/>
      <c r="R249" s="122"/>
      <c r="S249" s="122"/>
      <c r="T249" s="122"/>
      <c r="U249" s="122"/>
      <c r="V249" s="122"/>
      <c r="W249" s="122"/>
      <c r="X249" s="122"/>
      <c r="Y249" s="122"/>
      <c r="Z249" s="122"/>
    </row>
    <row r="250" spans="1:26" ht="12.75" x14ac:dyDescent="0.2">
      <c r="A250" s="122"/>
      <c r="B250" s="180"/>
      <c r="C250" s="228" t="s">
        <v>272</v>
      </c>
      <c r="D250" s="180"/>
      <c r="E250" s="180"/>
      <c r="F250" s="125">
        <f t="shared" ref="F250:O250" si="91">$M40*F$142*$M48*F$135*F$120/1000</f>
        <v>0</v>
      </c>
      <c r="G250" s="125">
        <f t="shared" si="91"/>
        <v>0</v>
      </c>
      <c r="H250" s="125">
        <f t="shared" si="91"/>
        <v>0</v>
      </c>
      <c r="I250" s="125">
        <f t="shared" si="91"/>
        <v>0</v>
      </c>
      <c r="J250" s="125">
        <f t="shared" si="91"/>
        <v>0</v>
      </c>
      <c r="K250" s="125">
        <f t="shared" si="91"/>
        <v>0</v>
      </c>
      <c r="L250" s="125">
        <f t="shared" si="91"/>
        <v>0</v>
      </c>
      <c r="M250" s="125">
        <f t="shared" si="91"/>
        <v>0</v>
      </c>
      <c r="N250" s="125">
        <f t="shared" si="91"/>
        <v>0</v>
      </c>
      <c r="O250" s="125">
        <f t="shared" si="91"/>
        <v>0</v>
      </c>
      <c r="P250" s="122"/>
      <c r="Q250" s="122"/>
      <c r="R250" s="122"/>
      <c r="S250" s="122"/>
      <c r="T250" s="122"/>
      <c r="U250" s="122"/>
      <c r="V250" s="122"/>
      <c r="W250" s="122"/>
      <c r="X250" s="122"/>
      <c r="Y250" s="122"/>
      <c r="Z250" s="122"/>
    </row>
    <row r="251" spans="1:26" ht="12.75" x14ac:dyDescent="0.2">
      <c r="A251" s="122"/>
      <c r="B251" s="180"/>
      <c r="C251" s="228" t="s">
        <v>273</v>
      </c>
      <c r="D251" s="180"/>
      <c r="E251" s="180"/>
      <c r="F251" s="125">
        <f t="shared" ref="F251:O251" si="92">$M41*F$142*$M49*F$135*F$120/1000</f>
        <v>0</v>
      </c>
      <c r="G251" s="125">
        <f t="shared" si="92"/>
        <v>0</v>
      </c>
      <c r="H251" s="125">
        <f t="shared" si="92"/>
        <v>0</v>
      </c>
      <c r="I251" s="125">
        <f t="shared" si="92"/>
        <v>0</v>
      </c>
      <c r="J251" s="125">
        <f t="shared" si="92"/>
        <v>0</v>
      </c>
      <c r="K251" s="125">
        <f t="shared" si="92"/>
        <v>0</v>
      </c>
      <c r="L251" s="125">
        <f t="shared" si="92"/>
        <v>0</v>
      </c>
      <c r="M251" s="125">
        <f t="shared" si="92"/>
        <v>0</v>
      </c>
      <c r="N251" s="125">
        <f t="shared" si="92"/>
        <v>0</v>
      </c>
      <c r="O251" s="125">
        <f t="shared" si="92"/>
        <v>0</v>
      </c>
      <c r="P251" s="122"/>
      <c r="Q251" s="122"/>
      <c r="R251" s="122"/>
      <c r="S251" s="122"/>
      <c r="T251" s="122"/>
      <c r="U251" s="122"/>
      <c r="V251" s="122"/>
      <c r="W251" s="122"/>
      <c r="X251" s="122"/>
      <c r="Y251" s="122"/>
      <c r="Z251" s="122"/>
    </row>
    <row r="252" spans="1:26" ht="12.75" x14ac:dyDescent="0.2">
      <c r="A252" s="122"/>
      <c r="B252" s="180"/>
      <c r="C252" s="228" t="s">
        <v>274</v>
      </c>
      <c r="D252" s="180"/>
      <c r="E252" s="180"/>
      <c r="F252" s="125">
        <f t="shared" ref="F252:O252" si="93">$M42*F$142*$M50*F$135*F$120/1000</f>
        <v>0</v>
      </c>
      <c r="G252" s="125">
        <f t="shared" si="93"/>
        <v>0</v>
      </c>
      <c r="H252" s="125">
        <f t="shared" si="93"/>
        <v>0</v>
      </c>
      <c r="I252" s="125">
        <f t="shared" si="93"/>
        <v>0</v>
      </c>
      <c r="J252" s="125">
        <f t="shared" si="93"/>
        <v>0</v>
      </c>
      <c r="K252" s="125">
        <f t="shared" si="93"/>
        <v>0</v>
      </c>
      <c r="L252" s="125">
        <f t="shared" si="93"/>
        <v>0</v>
      </c>
      <c r="M252" s="125">
        <f t="shared" si="93"/>
        <v>0</v>
      </c>
      <c r="N252" s="125">
        <f t="shared" si="93"/>
        <v>0</v>
      </c>
      <c r="O252" s="125">
        <f t="shared" si="93"/>
        <v>0</v>
      </c>
      <c r="P252" s="122"/>
      <c r="Q252" s="122"/>
      <c r="R252" s="122"/>
      <c r="S252" s="122"/>
      <c r="T252" s="122"/>
      <c r="U252" s="122"/>
      <c r="V252" s="122"/>
      <c r="W252" s="122"/>
      <c r="X252" s="122"/>
      <c r="Y252" s="122"/>
      <c r="Z252" s="122"/>
    </row>
    <row r="253" spans="1:26" ht="12.75" x14ac:dyDescent="0.2">
      <c r="A253" s="122"/>
      <c r="B253" s="180"/>
      <c r="C253" s="228" t="s">
        <v>275</v>
      </c>
      <c r="D253" s="180"/>
      <c r="E253" s="180"/>
      <c r="F253" s="125">
        <f t="shared" ref="F253:O253" si="94">$M43*F$142*$M51*F$135*F$120/1000</f>
        <v>0</v>
      </c>
      <c r="G253" s="125">
        <f t="shared" si="94"/>
        <v>0</v>
      </c>
      <c r="H253" s="125">
        <f t="shared" si="94"/>
        <v>0</v>
      </c>
      <c r="I253" s="125">
        <f t="shared" si="94"/>
        <v>0</v>
      </c>
      <c r="J253" s="125">
        <f t="shared" si="94"/>
        <v>0</v>
      </c>
      <c r="K253" s="125">
        <f t="shared" si="94"/>
        <v>0</v>
      </c>
      <c r="L253" s="125">
        <f t="shared" si="94"/>
        <v>0</v>
      </c>
      <c r="M253" s="125">
        <f t="shared" si="94"/>
        <v>0</v>
      </c>
      <c r="N253" s="125">
        <f t="shared" si="94"/>
        <v>0</v>
      </c>
      <c r="O253" s="125">
        <f t="shared" si="94"/>
        <v>0</v>
      </c>
      <c r="P253" s="122"/>
      <c r="Q253" s="122"/>
      <c r="R253" s="122"/>
      <c r="S253" s="122"/>
      <c r="T253" s="122"/>
      <c r="U253" s="122"/>
      <c r="V253" s="122"/>
      <c r="W253" s="122"/>
      <c r="X253" s="122"/>
      <c r="Y253" s="122"/>
      <c r="Z253" s="122"/>
    </row>
    <row r="254" spans="1:26" ht="12.75" x14ac:dyDescent="0.2">
      <c r="A254" s="122"/>
      <c r="B254" s="180"/>
      <c r="C254" s="152" t="s">
        <v>293</v>
      </c>
      <c r="D254" s="180"/>
      <c r="E254" s="180"/>
      <c r="F254" s="125">
        <f t="shared" ref="F254:O254" si="95">$M44*F$142*$M52*F$135*F$120/1000</f>
        <v>0</v>
      </c>
      <c r="G254" s="125">
        <f t="shared" si="95"/>
        <v>0</v>
      </c>
      <c r="H254" s="125">
        <f t="shared" si="95"/>
        <v>0</v>
      </c>
      <c r="I254" s="125">
        <f t="shared" si="95"/>
        <v>0</v>
      </c>
      <c r="J254" s="125">
        <f t="shared" si="95"/>
        <v>0</v>
      </c>
      <c r="K254" s="125">
        <f t="shared" si="95"/>
        <v>0</v>
      </c>
      <c r="L254" s="125">
        <f t="shared" si="95"/>
        <v>0</v>
      </c>
      <c r="M254" s="125">
        <f t="shared" si="95"/>
        <v>0</v>
      </c>
      <c r="N254" s="125">
        <f t="shared" si="95"/>
        <v>0</v>
      </c>
      <c r="O254" s="125">
        <f t="shared" si="95"/>
        <v>0</v>
      </c>
      <c r="P254" s="122"/>
      <c r="Q254" s="122"/>
      <c r="R254" s="122"/>
      <c r="S254" s="122"/>
      <c r="T254" s="122"/>
      <c r="U254" s="122"/>
      <c r="V254" s="122"/>
      <c r="W254" s="122"/>
      <c r="X254" s="122"/>
      <c r="Y254" s="122"/>
      <c r="Z254" s="122"/>
    </row>
    <row r="255" spans="1:26" ht="12.75" x14ac:dyDescent="0.2">
      <c r="A255" s="122"/>
      <c r="B255" s="180"/>
      <c r="C255" s="228" t="s">
        <v>278</v>
      </c>
      <c r="D255" s="180"/>
      <c r="E255" s="180"/>
      <c r="F255" s="125">
        <f t="shared" ref="F255:O255" si="96">$M45*F$142*$M53*F$135*F$120/1000</f>
        <v>0</v>
      </c>
      <c r="G255" s="125">
        <f t="shared" si="96"/>
        <v>0</v>
      </c>
      <c r="H255" s="125">
        <f t="shared" si="96"/>
        <v>0</v>
      </c>
      <c r="I255" s="125">
        <f t="shared" si="96"/>
        <v>0</v>
      </c>
      <c r="J255" s="125">
        <f t="shared" si="96"/>
        <v>0</v>
      </c>
      <c r="K255" s="125">
        <f t="shared" si="96"/>
        <v>0</v>
      </c>
      <c r="L255" s="125">
        <f t="shared" si="96"/>
        <v>0</v>
      </c>
      <c r="M255" s="125">
        <f t="shared" si="96"/>
        <v>0</v>
      </c>
      <c r="N255" s="125">
        <f t="shared" si="96"/>
        <v>0</v>
      </c>
      <c r="O255" s="125">
        <f t="shared" si="96"/>
        <v>0</v>
      </c>
      <c r="P255" s="122"/>
      <c r="Q255" s="122"/>
      <c r="R255" s="122"/>
      <c r="S255" s="122"/>
      <c r="T255" s="122"/>
      <c r="U255" s="122"/>
      <c r="V255" s="122"/>
      <c r="W255" s="122"/>
      <c r="X255" s="122"/>
      <c r="Y255" s="122"/>
      <c r="Z255" s="122"/>
    </row>
    <row r="256" spans="1:26" ht="12.75" x14ac:dyDescent="0.2">
      <c r="A256" s="122"/>
      <c r="B256" s="180"/>
      <c r="C256" s="152" t="s">
        <v>85</v>
      </c>
      <c r="D256" s="180"/>
      <c r="E256" s="180"/>
      <c r="F256" s="125">
        <f t="shared" ref="F256:O256" si="97">IF(F187&lt;$M$47,$M$46*$M$53*F$135*F$120/1000,0)</f>
        <v>0</v>
      </c>
      <c r="G256" s="125">
        <f t="shared" si="97"/>
        <v>0</v>
      </c>
      <c r="H256" s="125">
        <f t="shared" si="97"/>
        <v>0</v>
      </c>
      <c r="I256" s="125">
        <f t="shared" si="97"/>
        <v>0</v>
      </c>
      <c r="J256" s="125">
        <f t="shared" si="97"/>
        <v>0</v>
      </c>
      <c r="K256" s="125">
        <f t="shared" si="97"/>
        <v>0</v>
      </c>
      <c r="L256" s="125">
        <f t="shared" si="97"/>
        <v>0</v>
      </c>
      <c r="M256" s="125">
        <f t="shared" si="97"/>
        <v>0</v>
      </c>
      <c r="N256" s="125">
        <f t="shared" si="97"/>
        <v>0</v>
      </c>
      <c r="O256" s="125">
        <f t="shared" si="97"/>
        <v>0</v>
      </c>
      <c r="P256" s="122"/>
      <c r="Q256" s="122"/>
      <c r="R256" s="122"/>
      <c r="S256" s="122"/>
      <c r="T256" s="122"/>
      <c r="U256" s="122"/>
      <c r="V256" s="122"/>
      <c r="W256" s="122"/>
      <c r="X256" s="122"/>
      <c r="Y256" s="122"/>
      <c r="Z256" s="122"/>
    </row>
    <row r="257" spans="1:26" ht="12.75" x14ac:dyDescent="0.2">
      <c r="A257" s="122"/>
      <c r="B257" s="180"/>
      <c r="C257" s="199" t="s">
        <v>207</v>
      </c>
      <c r="D257" s="182"/>
      <c r="E257" s="182"/>
      <c r="F257" s="127">
        <f>SUM(F250:F256)</f>
        <v>0</v>
      </c>
      <c r="G257" s="127">
        <f t="shared" ref="G257:O257" si="98">SUM(G250:G256)</f>
        <v>0</v>
      </c>
      <c r="H257" s="127">
        <f t="shared" si="98"/>
        <v>0</v>
      </c>
      <c r="I257" s="127">
        <f t="shared" si="98"/>
        <v>0</v>
      </c>
      <c r="J257" s="127">
        <f t="shared" si="98"/>
        <v>0</v>
      </c>
      <c r="K257" s="127">
        <f t="shared" si="98"/>
        <v>0</v>
      </c>
      <c r="L257" s="127">
        <f t="shared" si="98"/>
        <v>0</v>
      </c>
      <c r="M257" s="127">
        <f t="shared" si="98"/>
        <v>0</v>
      </c>
      <c r="N257" s="127">
        <f t="shared" si="98"/>
        <v>0</v>
      </c>
      <c r="O257" s="127">
        <f t="shared" si="98"/>
        <v>0</v>
      </c>
      <c r="P257" s="122"/>
      <c r="Q257" s="122"/>
      <c r="R257" s="122"/>
      <c r="S257" s="122"/>
      <c r="T257" s="122"/>
      <c r="U257" s="122"/>
      <c r="V257" s="122"/>
      <c r="W257" s="122"/>
      <c r="X257" s="122"/>
      <c r="Y257" s="122"/>
      <c r="Z257" s="122"/>
    </row>
    <row r="258" spans="1:26" ht="12.75" x14ac:dyDescent="0.2">
      <c r="A258" s="122"/>
      <c r="B258" s="180"/>
      <c r="C258" s="152"/>
      <c r="D258" s="180"/>
      <c r="E258" s="180"/>
      <c r="F258" s="183"/>
      <c r="G258" s="183"/>
      <c r="H258" s="183"/>
      <c r="I258" s="183"/>
      <c r="J258" s="183"/>
      <c r="K258" s="183"/>
      <c r="L258" s="183"/>
      <c r="M258" s="183"/>
      <c r="N258" s="183"/>
      <c r="O258" s="183"/>
      <c r="P258" s="122"/>
      <c r="Q258" s="122"/>
      <c r="R258" s="122"/>
      <c r="S258" s="122"/>
      <c r="T258" s="122"/>
      <c r="U258" s="122"/>
      <c r="V258" s="122"/>
      <c r="W258" s="122"/>
      <c r="X258" s="122"/>
      <c r="Y258" s="122"/>
      <c r="Z258" s="122"/>
    </row>
    <row r="259" spans="1:26" ht="12.75" x14ac:dyDescent="0.2">
      <c r="A259" s="122"/>
      <c r="B259" s="180"/>
      <c r="C259" s="188" t="s">
        <v>215</v>
      </c>
      <c r="D259" s="180"/>
      <c r="E259" s="180"/>
      <c r="F259" s="183"/>
      <c r="G259" s="183"/>
      <c r="H259" s="183"/>
      <c r="I259" s="183"/>
      <c r="J259" s="183"/>
      <c r="K259" s="183"/>
      <c r="L259" s="183"/>
      <c r="M259" s="183"/>
      <c r="N259" s="183"/>
      <c r="O259" s="183"/>
      <c r="P259" s="122"/>
      <c r="Q259" s="122"/>
      <c r="R259" s="122"/>
      <c r="S259" s="122"/>
      <c r="T259" s="122"/>
      <c r="U259" s="122"/>
      <c r="V259" s="122"/>
      <c r="W259" s="122"/>
      <c r="X259" s="122"/>
      <c r="Y259" s="122"/>
      <c r="Z259" s="122"/>
    </row>
    <row r="260" spans="1:26" ht="12.75" x14ac:dyDescent="0.2">
      <c r="A260" s="122"/>
      <c r="B260" s="180"/>
      <c r="C260" s="155" t="s">
        <v>110</v>
      </c>
      <c r="D260" s="180"/>
      <c r="E260" s="180"/>
      <c r="F260" s="125">
        <f t="shared" ref="F260:O260" si="99">$M$57*F$142*F$120/1000</f>
        <v>0</v>
      </c>
      <c r="G260" s="125">
        <f t="shared" si="99"/>
        <v>0</v>
      </c>
      <c r="H260" s="125">
        <f t="shared" si="99"/>
        <v>0</v>
      </c>
      <c r="I260" s="125">
        <f t="shared" si="99"/>
        <v>0</v>
      </c>
      <c r="J260" s="125">
        <f t="shared" si="99"/>
        <v>0</v>
      </c>
      <c r="K260" s="125">
        <f t="shared" si="99"/>
        <v>0</v>
      </c>
      <c r="L260" s="125">
        <f t="shared" si="99"/>
        <v>0</v>
      </c>
      <c r="M260" s="125">
        <f t="shared" si="99"/>
        <v>0</v>
      </c>
      <c r="N260" s="125">
        <f t="shared" si="99"/>
        <v>0</v>
      </c>
      <c r="O260" s="125">
        <f t="shared" si="99"/>
        <v>0</v>
      </c>
      <c r="P260" s="122"/>
      <c r="Q260" s="122"/>
      <c r="R260" s="122"/>
      <c r="S260" s="122"/>
      <c r="T260" s="122"/>
      <c r="U260" s="122"/>
      <c r="V260" s="122"/>
      <c r="W260" s="122"/>
      <c r="X260" s="122"/>
      <c r="Y260" s="122"/>
      <c r="Z260" s="122"/>
    </row>
    <row r="261" spans="1:26" ht="12.75" x14ac:dyDescent="0.2">
      <c r="A261" s="122"/>
      <c r="B261" s="180"/>
      <c r="C261" s="184" t="s">
        <v>283</v>
      </c>
      <c r="D261" s="185"/>
      <c r="E261" s="185"/>
      <c r="F261" s="186">
        <f t="shared" ref="F261:O261" si="100">($F$59+$F$59*(F$142-1)*($F$58))/1000*F$120</f>
        <v>1.6565000000000001</v>
      </c>
      <c r="G261" s="186">
        <f t="shared" si="100"/>
        <v>1.7873635000000001</v>
      </c>
      <c r="H261" s="186">
        <f t="shared" si="100"/>
        <v>1.9285652164999998</v>
      </c>
      <c r="I261" s="186">
        <f t="shared" si="100"/>
        <v>2.0809218686034998</v>
      </c>
      <c r="J261" s="186">
        <f t="shared" si="100"/>
        <v>2.2453146962231765</v>
      </c>
      <c r="K261" s="186">
        <f t="shared" si="100"/>
        <v>2.4226945572248071</v>
      </c>
      <c r="L261" s="186">
        <f t="shared" si="100"/>
        <v>2.614087427245567</v>
      </c>
      <c r="M261" s="186">
        <f t="shared" si="100"/>
        <v>2.8206003339979664</v>
      </c>
      <c r="N261" s="186">
        <f t="shared" si="100"/>
        <v>3.043427760383806</v>
      </c>
      <c r="O261" s="186">
        <f t="shared" si="100"/>
        <v>3.2838585534541265</v>
      </c>
      <c r="P261" s="122"/>
      <c r="Q261" s="122"/>
      <c r="R261" s="122"/>
      <c r="S261" s="122"/>
      <c r="T261" s="122"/>
      <c r="U261" s="122"/>
      <c r="V261" s="122"/>
      <c r="W261" s="122"/>
      <c r="X261" s="122"/>
      <c r="Y261" s="122"/>
      <c r="Z261" s="122"/>
    </row>
    <row r="262" spans="1:26" ht="12.75" x14ac:dyDescent="0.2">
      <c r="A262" s="122"/>
      <c r="B262" s="180"/>
      <c r="C262" s="199" t="s">
        <v>216</v>
      </c>
      <c r="D262" s="182"/>
      <c r="E262" s="182"/>
      <c r="F262" s="127">
        <f>SUM(F260:F261)</f>
        <v>1.6565000000000001</v>
      </c>
      <c r="G262" s="127">
        <f t="shared" ref="G262:O262" si="101">SUM(G260:G261)</f>
        <v>1.7873635000000001</v>
      </c>
      <c r="H262" s="127">
        <f t="shared" si="101"/>
        <v>1.9285652164999998</v>
      </c>
      <c r="I262" s="127">
        <f t="shared" si="101"/>
        <v>2.0809218686034998</v>
      </c>
      <c r="J262" s="127">
        <f t="shared" si="101"/>
        <v>2.2453146962231765</v>
      </c>
      <c r="K262" s="127">
        <f t="shared" si="101"/>
        <v>2.4226945572248071</v>
      </c>
      <c r="L262" s="127">
        <f t="shared" si="101"/>
        <v>2.614087427245567</v>
      </c>
      <c r="M262" s="127">
        <f t="shared" si="101"/>
        <v>2.8206003339979664</v>
      </c>
      <c r="N262" s="127">
        <f t="shared" si="101"/>
        <v>3.043427760383806</v>
      </c>
      <c r="O262" s="127">
        <f t="shared" si="101"/>
        <v>3.2838585534541265</v>
      </c>
      <c r="P262" s="122"/>
      <c r="Q262" s="122"/>
      <c r="R262" s="122"/>
      <c r="S262" s="122"/>
      <c r="T262" s="122"/>
      <c r="U262" s="122"/>
      <c r="V262" s="122"/>
      <c r="W262" s="122"/>
      <c r="X262" s="122"/>
      <c r="Y262" s="122"/>
      <c r="Z262" s="122"/>
    </row>
    <row r="263" spans="1:26" ht="12.75" x14ac:dyDescent="0.2">
      <c r="A263" s="122"/>
      <c r="B263" s="180"/>
      <c r="C263" s="231"/>
      <c r="D263" s="201"/>
      <c r="E263" s="201"/>
      <c r="F263" s="128"/>
      <c r="G263" s="128"/>
      <c r="H263" s="128"/>
      <c r="I263" s="128"/>
      <c r="J263" s="128"/>
      <c r="K263" s="128"/>
      <c r="L263" s="128"/>
      <c r="M263" s="128"/>
      <c r="N263" s="128"/>
      <c r="O263" s="128"/>
      <c r="P263" s="122"/>
      <c r="Q263" s="122"/>
      <c r="R263" s="122"/>
      <c r="S263" s="122"/>
      <c r="T263" s="122"/>
      <c r="U263" s="122"/>
      <c r="V263" s="122"/>
      <c r="W263" s="122"/>
      <c r="X263" s="122"/>
      <c r="Y263" s="122"/>
      <c r="Z263" s="122"/>
    </row>
    <row r="264" spans="1:26" ht="12.75" x14ac:dyDescent="0.2">
      <c r="A264" s="122"/>
      <c r="B264" s="180"/>
      <c r="C264" s="188" t="s">
        <v>219</v>
      </c>
      <c r="D264" s="201"/>
      <c r="E264" s="201"/>
      <c r="F264" s="128"/>
      <c r="G264" s="128"/>
      <c r="H264" s="128"/>
      <c r="I264" s="128"/>
      <c r="J264" s="128"/>
      <c r="K264" s="128"/>
      <c r="L264" s="128"/>
      <c r="M264" s="128"/>
      <c r="N264" s="128"/>
      <c r="O264" s="128"/>
      <c r="P264" s="122"/>
      <c r="Q264" s="122"/>
      <c r="R264" s="122"/>
      <c r="S264" s="122"/>
      <c r="T264" s="122"/>
      <c r="U264" s="122"/>
      <c r="V264" s="122"/>
      <c r="W264" s="122"/>
      <c r="X264" s="122"/>
      <c r="Y264" s="122"/>
      <c r="Z264" s="122"/>
    </row>
    <row r="265" spans="1:26" ht="12.75" x14ac:dyDescent="0.2">
      <c r="A265" s="122"/>
      <c r="B265" s="180"/>
      <c r="C265" s="152" t="s">
        <v>92</v>
      </c>
      <c r="D265" s="180"/>
      <c r="E265" s="180"/>
      <c r="F265" s="125">
        <f>F184*(1+$F$77)</f>
        <v>0</v>
      </c>
      <c r="G265" s="125">
        <f t="shared" ref="G265:O265" si="102">G184*(1+$F$77)</f>
        <v>0</v>
      </c>
      <c r="H265" s="125">
        <f t="shared" si="102"/>
        <v>0</v>
      </c>
      <c r="I265" s="125">
        <f t="shared" si="102"/>
        <v>0</v>
      </c>
      <c r="J265" s="125">
        <f t="shared" si="102"/>
        <v>0</v>
      </c>
      <c r="K265" s="125">
        <f t="shared" si="102"/>
        <v>0</v>
      </c>
      <c r="L265" s="125">
        <f t="shared" si="102"/>
        <v>0</v>
      </c>
      <c r="M265" s="125">
        <f t="shared" si="102"/>
        <v>0</v>
      </c>
      <c r="N265" s="125">
        <f t="shared" si="102"/>
        <v>0</v>
      </c>
      <c r="O265" s="125">
        <f t="shared" si="102"/>
        <v>0</v>
      </c>
      <c r="P265" s="122"/>
      <c r="Q265" s="122"/>
      <c r="R265" s="122"/>
      <c r="S265" s="122"/>
      <c r="T265" s="122"/>
      <c r="U265" s="122"/>
      <c r="V265" s="122"/>
      <c r="W265" s="122"/>
      <c r="X265" s="122"/>
      <c r="Y265" s="122"/>
      <c r="Z265" s="122"/>
    </row>
    <row r="266" spans="1:26" ht="12.75" x14ac:dyDescent="0.2">
      <c r="A266" s="122"/>
      <c r="B266" s="180"/>
      <c r="C266" s="152" t="s">
        <v>96</v>
      </c>
      <c r="D266" s="180"/>
      <c r="E266" s="180"/>
      <c r="F266" s="125">
        <f>$M63*F$142*$M71/1000*F$120*F$137*(1+$F$77)</f>
        <v>0</v>
      </c>
      <c r="G266" s="125">
        <f t="shared" ref="G266:O266" si="103">$M63*G$142*$M71/1000*G$120*G$137*(1+$F$77)</f>
        <v>0</v>
      </c>
      <c r="H266" s="125">
        <f t="shared" si="103"/>
        <v>0</v>
      </c>
      <c r="I266" s="125">
        <f t="shared" si="103"/>
        <v>0</v>
      </c>
      <c r="J266" s="125">
        <f t="shared" si="103"/>
        <v>0</v>
      </c>
      <c r="K266" s="125">
        <f t="shared" si="103"/>
        <v>0</v>
      </c>
      <c r="L266" s="125">
        <f t="shared" si="103"/>
        <v>0</v>
      </c>
      <c r="M266" s="125">
        <f t="shared" si="103"/>
        <v>0</v>
      </c>
      <c r="N266" s="125">
        <f t="shared" si="103"/>
        <v>0</v>
      </c>
      <c r="O266" s="125">
        <f t="shared" si="103"/>
        <v>0</v>
      </c>
      <c r="P266" s="122"/>
      <c r="Q266" s="122"/>
      <c r="R266" s="122"/>
      <c r="S266" s="122"/>
      <c r="T266" s="122"/>
      <c r="U266" s="122"/>
      <c r="V266" s="122"/>
      <c r="W266" s="122"/>
      <c r="X266" s="122"/>
      <c r="Y266" s="122"/>
      <c r="Z266" s="122"/>
    </row>
    <row r="267" spans="1:26" ht="12.75" x14ac:dyDescent="0.2">
      <c r="A267" s="122"/>
      <c r="B267" s="180"/>
      <c r="C267" s="152" t="s">
        <v>99</v>
      </c>
      <c r="D267" s="180"/>
      <c r="E267" s="180"/>
      <c r="F267" s="125">
        <f>$M64*F$142*$M72/1000*F$122*(1+$F$77)*F$127</f>
        <v>0</v>
      </c>
      <c r="G267" s="125">
        <f t="shared" ref="G267:O267" si="104">$M64*G$142*$M72/1000*G$122*(1+$F$77)*G$127</f>
        <v>0</v>
      </c>
      <c r="H267" s="125">
        <f t="shared" si="104"/>
        <v>0</v>
      </c>
      <c r="I267" s="125">
        <f t="shared" si="104"/>
        <v>0</v>
      </c>
      <c r="J267" s="125">
        <f t="shared" si="104"/>
        <v>0</v>
      </c>
      <c r="K267" s="125">
        <f t="shared" si="104"/>
        <v>0</v>
      </c>
      <c r="L267" s="125">
        <f t="shared" si="104"/>
        <v>0</v>
      </c>
      <c r="M267" s="125">
        <f t="shared" si="104"/>
        <v>0</v>
      </c>
      <c r="N267" s="125">
        <f t="shared" si="104"/>
        <v>0</v>
      </c>
      <c r="O267" s="125">
        <f t="shared" si="104"/>
        <v>0</v>
      </c>
      <c r="P267" s="122"/>
      <c r="Q267" s="122"/>
      <c r="R267" s="122"/>
      <c r="S267" s="122"/>
      <c r="T267" s="122"/>
      <c r="U267" s="122"/>
      <c r="V267" s="122"/>
      <c r="W267" s="122"/>
      <c r="X267" s="122"/>
      <c r="Y267" s="122"/>
      <c r="Z267" s="122"/>
    </row>
    <row r="268" spans="1:26" ht="12.75" x14ac:dyDescent="0.2">
      <c r="A268" s="122"/>
      <c r="B268" s="180"/>
      <c r="C268" s="152" t="s">
        <v>102</v>
      </c>
      <c r="D268" s="180"/>
      <c r="E268" s="180"/>
      <c r="F268" s="125">
        <f t="shared" ref="F268:O269" si="105">$M65*F$142*$M73/1000*F$122*(1+$F$77)*F$127</f>
        <v>0</v>
      </c>
      <c r="G268" s="125">
        <f t="shared" si="105"/>
        <v>0</v>
      </c>
      <c r="H268" s="125">
        <f t="shared" si="105"/>
        <v>0</v>
      </c>
      <c r="I268" s="125">
        <f t="shared" si="105"/>
        <v>0</v>
      </c>
      <c r="J268" s="125">
        <f t="shared" si="105"/>
        <v>0</v>
      </c>
      <c r="K268" s="125">
        <f t="shared" si="105"/>
        <v>0</v>
      </c>
      <c r="L268" s="125">
        <f t="shared" si="105"/>
        <v>0</v>
      </c>
      <c r="M268" s="125">
        <f t="shared" si="105"/>
        <v>0</v>
      </c>
      <c r="N268" s="125">
        <f t="shared" si="105"/>
        <v>0</v>
      </c>
      <c r="O268" s="125">
        <f t="shared" si="105"/>
        <v>0</v>
      </c>
      <c r="P268" s="122"/>
      <c r="Q268" s="122"/>
      <c r="R268" s="122"/>
      <c r="S268" s="122"/>
      <c r="T268" s="122"/>
      <c r="U268" s="122"/>
      <c r="V268" s="122"/>
      <c r="W268" s="122"/>
      <c r="X268" s="122"/>
      <c r="Y268" s="122"/>
      <c r="Z268" s="122"/>
    </row>
    <row r="269" spans="1:26" ht="12.75" x14ac:dyDescent="0.2">
      <c r="A269" s="122"/>
      <c r="B269" s="180"/>
      <c r="C269" s="152" t="s">
        <v>105</v>
      </c>
      <c r="D269" s="180"/>
      <c r="E269" s="180"/>
      <c r="F269" s="125">
        <f t="shared" si="105"/>
        <v>0</v>
      </c>
      <c r="G269" s="125">
        <f t="shared" si="105"/>
        <v>0</v>
      </c>
      <c r="H269" s="125">
        <f t="shared" si="105"/>
        <v>0</v>
      </c>
      <c r="I269" s="125">
        <f t="shared" si="105"/>
        <v>0</v>
      </c>
      <c r="J269" s="125">
        <f t="shared" si="105"/>
        <v>0</v>
      </c>
      <c r="K269" s="125">
        <f t="shared" si="105"/>
        <v>0</v>
      </c>
      <c r="L269" s="125">
        <f t="shared" si="105"/>
        <v>0</v>
      </c>
      <c r="M269" s="125">
        <f t="shared" si="105"/>
        <v>0</v>
      </c>
      <c r="N269" s="125">
        <f t="shared" si="105"/>
        <v>0</v>
      </c>
      <c r="O269" s="125">
        <f t="shared" si="105"/>
        <v>0</v>
      </c>
      <c r="P269" s="122"/>
      <c r="Q269" s="122"/>
      <c r="R269" s="122"/>
      <c r="S269" s="122"/>
      <c r="T269" s="122"/>
      <c r="U269" s="122"/>
      <c r="V269" s="122"/>
      <c r="W269" s="122"/>
      <c r="X269" s="122"/>
      <c r="Y269" s="122"/>
      <c r="Z269" s="122"/>
    </row>
    <row r="270" spans="1:26" ht="12.75" x14ac:dyDescent="0.2">
      <c r="A270" s="122"/>
      <c r="B270" s="180"/>
      <c r="C270" s="152" t="s">
        <v>108</v>
      </c>
      <c r="D270" s="180"/>
      <c r="E270" s="180"/>
      <c r="F270" s="125">
        <f t="shared" ref="F270:O270" si="106">ROUNDUP(F164*1000/$F$67,0)*$M75/1000*F$120</f>
        <v>0</v>
      </c>
      <c r="G270" s="125">
        <f t="shared" si="106"/>
        <v>0</v>
      </c>
      <c r="H270" s="125">
        <f t="shared" si="106"/>
        <v>0</v>
      </c>
      <c r="I270" s="125">
        <f t="shared" si="106"/>
        <v>0</v>
      </c>
      <c r="J270" s="125">
        <f t="shared" si="106"/>
        <v>0</v>
      </c>
      <c r="K270" s="125">
        <f t="shared" si="106"/>
        <v>0</v>
      </c>
      <c r="L270" s="125">
        <f t="shared" si="106"/>
        <v>0</v>
      </c>
      <c r="M270" s="125">
        <f t="shared" si="106"/>
        <v>0</v>
      </c>
      <c r="N270" s="125">
        <f t="shared" si="106"/>
        <v>0</v>
      </c>
      <c r="O270" s="125">
        <f t="shared" si="106"/>
        <v>0</v>
      </c>
      <c r="P270" s="122"/>
      <c r="Q270" s="122"/>
      <c r="R270" s="122"/>
      <c r="S270" s="122"/>
      <c r="T270" s="122"/>
      <c r="U270" s="122"/>
      <c r="V270" s="122"/>
      <c r="W270" s="122"/>
      <c r="X270" s="122"/>
      <c r="Y270" s="122"/>
      <c r="Z270" s="122"/>
    </row>
    <row r="271" spans="1:26" ht="12.75" x14ac:dyDescent="0.2">
      <c r="A271" s="122"/>
      <c r="B271" s="180"/>
      <c r="C271" s="198" t="s">
        <v>217</v>
      </c>
      <c r="D271" s="182"/>
      <c r="E271" s="182"/>
      <c r="F271" s="187">
        <f t="shared" ref="F271:O271" si="107">SUM(F265:F270)</f>
        <v>0</v>
      </c>
      <c r="G271" s="187">
        <f t="shared" si="107"/>
        <v>0</v>
      </c>
      <c r="H271" s="187">
        <f t="shared" si="107"/>
        <v>0</v>
      </c>
      <c r="I271" s="187">
        <f t="shared" si="107"/>
        <v>0</v>
      </c>
      <c r="J271" s="187">
        <f t="shared" si="107"/>
        <v>0</v>
      </c>
      <c r="K271" s="187">
        <f t="shared" si="107"/>
        <v>0</v>
      </c>
      <c r="L271" s="187">
        <f t="shared" si="107"/>
        <v>0</v>
      </c>
      <c r="M271" s="187">
        <f t="shared" si="107"/>
        <v>0</v>
      </c>
      <c r="N271" s="187">
        <f t="shared" si="107"/>
        <v>0</v>
      </c>
      <c r="O271" s="187">
        <f t="shared" si="107"/>
        <v>0</v>
      </c>
      <c r="P271" s="122"/>
      <c r="Q271" s="122"/>
      <c r="R271" s="122"/>
      <c r="S271" s="122"/>
      <c r="T271" s="122"/>
      <c r="U271" s="122"/>
      <c r="V271" s="122"/>
      <c r="W271" s="122"/>
      <c r="X271" s="122"/>
      <c r="Y271" s="122"/>
      <c r="Z271" s="122"/>
    </row>
    <row r="272" spans="1:26" ht="12.75" x14ac:dyDescent="0.2">
      <c r="A272" s="122"/>
      <c r="B272" s="180"/>
      <c r="C272" s="155"/>
      <c r="D272" s="180"/>
      <c r="E272" s="180"/>
      <c r="F272" s="180"/>
      <c r="G272" s="180"/>
      <c r="H272" s="180"/>
      <c r="I272" s="180"/>
      <c r="J272" s="180"/>
      <c r="K272" s="180"/>
      <c r="L272" s="180"/>
      <c r="M272" s="180"/>
      <c r="N272" s="180"/>
      <c r="O272" s="180"/>
      <c r="P272" s="122"/>
      <c r="Q272" s="122"/>
      <c r="R272" s="122"/>
      <c r="S272" s="122"/>
      <c r="T272" s="122"/>
      <c r="U272" s="122"/>
      <c r="V272" s="122"/>
      <c r="W272" s="122"/>
      <c r="X272" s="122"/>
      <c r="Y272" s="122"/>
      <c r="Z272" s="122"/>
    </row>
    <row r="273" spans="1:26" ht="12.75" x14ac:dyDescent="0.2">
      <c r="A273" s="122"/>
      <c r="B273" s="180"/>
      <c r="C273" s="188" t="s">
        <v>214</v>
      </c>
      <c r="D273" s="180"/>
      <c r="E273" s="180"/>
      <c r="F273" s="180"/>
      <c r="G273" s="180"/>
      <c r="H273" s="180"/>
      <c r="I273" s="180"/>
      <c r="J273" s="180"/>
      <c r="K273" s="180"/>
      <c r="L273" s="180"/>
      <c r="M273" s="180"/>
      <c r="N273" s="180"/>
      <c r="O273" s="180"/>
      <c r="P273" s="122"/>
      <c r="Q273" s="122"/>
      <c r="R273" s="122"/>
      <c r="S273" s="122"/>
      <c r="T273" s="122"/>
      <c r="U273" s="122"/>
      <c r="V273" s="122"/>
      <c r="W273" s="122"/>
      <c r="X273" s="122"/>
      <c r="Y273" s="122"/>
      <c r="Z273" s="122"/>
    </row>
    <row r="274" spans="1:26" ht="12.75" x14ac:dyDescent="0.2">
      <c r="A274" s="122"/>
      <c r="B274" s="180"/>
      <c r="C274" s="152" t="s">
        <v>373</v>
      </c>
      <c r="D274" s="180"/>
      <c r="E274" s="180"/>
      <c r="F274" s="125">
        <f t="shared" ref="F274:O274" si="108">$M$80/1000*F$120</f>
        <v>0</v>
      </c>
      <c r="G274" s="125">
        <f t="shared" si="108"/>
        <v>0</v>
      </c>
      <c r="H274" s="125">
        <f t="shared" si="108"/>
        <v>0</v>
      </c>
      <c r="I274" s="125">
        <f t="shared" si="108"/>
        <v>0</v>
      </c>
      <c r="J274" s="125">
        <f t="shared" si="108"/>
        <v>0</v>
      </c>
      <c r="K274" s="125">
        <f t="shared" si="108"/>
        <v>0</v>
      </c>
      <c r="L274" s="125">
        <f t="shared" si="108"/>
        <v>0</v>
      </c>
      <c r="M274" s="125">
        <f t="shared" si="108"/>
        <v>0</v>
      </c>
      <c r="N274" s="125">
        <f t="shared" si="108"/>
        <v>0</v>
      </c>
      <c r="O274" s="125">
        <f t="shared" si="108"/>
        <v>0</v>
      </c>
      <c r="P274" s="122"/>
      <c r="Q274" s="122"/>
      <c r="R274" s="122"/>
      <c r="S274" s="122"/>
      <c r="T274" s="122"/>
      <c r="U274" s="122"/>
      <c r="V274" s="122"/>
      <c r="W274" s="122"/>
      <c r="X274" s="122"/>
      <c r="Y274" s="122"/>
      <c r="Z274" s="122"/>
    </row>
    <row r="275" spans="1:26" ht="12.75" x14ac:dyDescent="0.2">
      <c r="A275" s="122"/>
      <c r="B275" s="180"/>
      <c r="C275" s="152" t="s">
        <v>374</v>
      </c>
      <c r="D275" s="180"/>
      <c r="E275" s="180"/>
      <c r="F275" s="125">
        <f t="shared" ref="F275:O275" si="109">$M$81/1000*F$120</f>
        <v>0</v>
      </c>
      <c r="G275" s="125">
        <f t="shared" si="109"/>
        <v>0</v>
      </c>
      <c r="H275" s="125">
        <f t="shared" si="109"/>
        <v>0</v>
      </c>
      <c r="I275" s="125">
        <f t="shared" si="109"/>
        <v>0</v>
      </c>
      <c r="J275" s="125">
        <f t="shared" si="109"/>
        <v>0</v>
      </c>
      <c r="K275" s="125">
        <f t="shared" si="109"/>
        <v>0</v>
      </c>
      <c r="L275" s="125">
        <f t="shared" si="109"/>
        <v>0</v>
      </c>
      <c r="M275" s="125">
        <f t="shared" si="109"/>
        <v>0</v>
      </c>
      <c r="N275" s="125">
        <f t="shared" si="109"/>
        <v>0</v>
      </c>
      <c r="O275" s="125">
        <f t="shared" si="109"/>
        <v>0</v>
      </c>
      <c r="P275" s="122"/>
      <c r="Q275" s="122"/>
      <c r="R275" s="122"/>
      <c r="S275" s="122"/>
      <c r="T275" s="122"/>
      <c r="U275" s="122"/>
      <c r="V275" s="122"/>
      <c r="W275" s="122"/>
      <c r="X275" s="122"/>
      <c r="Y275" s="122"/>
      <c r="Z275" s="122"/>
    </row>
    <row r="276" spans="1:26" ht="12.75" x14ac:dyDescent="0.2">
      <c r="A276" s="122"/>
      <c r="B276" s="180"/>
      <c r="C276" s="198" t="s">
        <v>220</v>
      </c>
      <c r="D276" s="182"/>
      <c r="E276" s="182"/>
      <c r="F276" s="193">
        <f>SUM(F274:F275)</f>
        <v>0</v>
      </c>
      <c r="G276" s="193">
        <f t="shared" ref="G276:O276" si="110">SUM(G274:G275)</f>
        <v>0</v>
      </c>
      <c r="H276" s="193">
        <f t="shared" si="110"/>
        <v>0</v>
      </c>
      <c r="I276" s="193">
        <f t="shared" si="110"/>
        <v>0</v>
      </c>
      <c r="J276" s="193">
        <f t="shared" si="110"/>
        <v>0</v>
      </c>
      <c r="K276" s="193">
        <f t="shared" si="110"/>
        <v>0</v>
      </c>
      <c r="L276" s="193">
        <f t="shared" si="110"/>
        <v>0</v>
      </c>
      <c r="M276" s="193">
        <f t="shared" si="110"/>
        <v>0</v>
      </c>
      <c r="N276" s="193">
        <f t="shared" si="110"/>
        <v>0</v>
      </c>
      <c r="O276" s="193">
        <f t="shared" si="110"/>
        <v>0</v>
      </c>
      <c r="P276" s="122"/>
      <c r="Q276" s="122"/>
      <c r="R276" s="122"/>
      <c r="S276" s="122"/>
      <c r="T276" s="122"/>
      <c r="U276" s="122"/>
      <c r="V276" s="122"/>
      <c r="W276" s="122"/>
      <c r="X276" s="122"/>
      <c r="Y276" s="122"/>
      <c r="Z276" s="122"/>
    </row>
    <row r="277" spans="1:26" ht="12.75" x14ac:dyDescent="0.2">
      <c r="A277" s="122"/>
      <c r="B277" s="155"/>
      <c r="C277" s="155"/>
      <c r="D277" s="155"/>
      <c r="E277" s="155"/>
      <c r="F277" s="155"/>
      <c r="G277" s="155"/>
      <c r="H277" s="155"/>
      <c r="I277" s="155"/>
      <c r="J277" s="155"/>
      <c r="K277" s="155"/>
      <c r="L277" s="155"/>
      <c r="M277" s="155"/>
      <c r="N277" s="155"/>
      <c r="O277" s="155"/>
      <c r="P277" s="122"/>
      <c r="Q277" s="122"/>
      <c r="R277" s="122"/>
      <c r="S277" s="122"/>
      <c r="T277" s="122"/>
      <c r="U277" s="122"/>
      <c r="V277" s="122"/>
      <c r="W277" s="122"/>
      <c r="X277" s="122"/>
      <c r="Y277" s="122"/>
      <c r="Z277" s="122"/>
    </row>
    <row r="278" spans="1:26" ht="12.75" x14ac:dyDescent="0.2">
      <c r="A278" s="122"/>
      <c r="B278" s="180"/>
      <c r="C278" s="188" t="s">
        <v>287</v>
      </c>
      <c r="D278" s="201"/>
      <c r="E278" s="201"/>
      <c r="F278" s="202"/>
      <c r="G278" s="202"/>
      <c r="H278" s="202"/>
      <c r="I278" s="202"/>
      <c r="J278" s="202"/>
      <c r="K278" s="202"/>
      <c r="L278" s="202"/>
      <c r="M278" s="202"/>
      <c r="N278" s="202"/>
      <c r="O278" s="202"/>
      <c r="P278" s="122"/>
      <c r="Q278" s="122"/>
      <c r="R278" s="122"/>
      <c r="S278" s="122"/>
      <c r="T278" s="122"/>
      <c r="U278" s="122"/>
      <c r="V278" s="122"/>
      <c r="W278" s="122"/>
      <c r="X278" s="122"/>
      <c r="Y278" s="122"/>
      <c r="Z278" s="122"/>
    </row>
    <row r="279" spans="1:26" ht="12.75" x14ac:dyDescent="0.2">
      <c r="A279" s="122"/>
      <c r="B279" s="180"/>
      <c r="C279" s="155" t="s">
        <v>375</v>
      </c>
      <c r="D279" s="201"/>
      <c r="E279" s="201"/>
      <c r="F279" s="190">
        <f t="shared" ref="F279:O279" si="111">$M84*F$120/1000*F$164</f>
        <v>0</v>
      </c>
      <c r="G279" s="190">
        <f t="shared" si="111"/>
        <v>0</v>
      </c>
      <c r="H279" s="190">
        <f t="shared" si="111"/>
        <v>0</v>
      </c>
      <c r="I279" s="190">
        <f t="shared" si="111"/>
        <v>0</v>
      </c>
      <c r="J279" s="190">
        <f t="shared" si="111"/>
        <v>0</v>
      </c>
      <c r="K279" s="190">
        <f t="shared" si="111"/>
        <v>0</v>
      </c>
      <c r="L279" s="190">
        <f t="shared" si="111"/>
        <v>0</v>
      </c>
      <c r="M279" s="190">
        <f t="shared" si="111"/>
        <v>0</v>
      </c>
      <c r="N279" s="190">
        <f t="shared" si="111"/>
        <v>0</v>
      </c>
      <c r="O279" s="190">
        <f t="shared" si="111"/>
        <v>0</v>
      </c>
      <c r="P279" s="122"/>
      <c r="Q279" s="122"/>
      <c r="R279" s="122"/>
      <c r="S279" s="122"/>
      <c r="T279" s="122"/>
      <c r="U279" s="122"/>
      <c r="V279" s="122"/>
      <c r="W279" s="122"/>
      <c r="X279" s="122"/>
      <c r="Y279" s="122"/>
      <c r="Z279" s="122"/>
    </row>
    <row r="280" spans="1:26" ht="12.75" x14ac:dyDescent="0.2">
      <c r="A280" s="122"/>
      <c r="B280" s="180"/>
      <c r="C280" s="184" t="s">
        <v>284</v>
      </c>
      <c r="D280" s="185"/>
      <c r="E280" s="185"/>
      <c r="F280" s="186">
        <f t="shared" ref="F280:O280" si="112">$M85*F$120/1000*(F$164+F$163+F$162)</f>
        <v>0</v>
      </c>
      <c r="G280" s="186">
        <f t="shared" si="112"/>
        <v>0</v>
      </c>
      <c r="H280" s="186">
        <f t="shared" si="112"/>
        <v>0</v>
      </c>
      <c r="I280" s="186">
        <f t="shared" si="112"/>
        <v>0</v>
      </c>
      <c r="J280" s="186">
        <f t="shared" si="112"/>
        <v>0</v>
      </c>
      <c r="K280" s="186">
        <f t="shared" si="112"/>
        <v>0</v>
      </c>
      <c r="L280" s="186">
        <f t="shared" si="112"/>
        <v>0</v>
      </c>
      <c r="M280" s="186">
        <f t="shared" si="112"/>
        <v>0</v>
      </c>
      <c r="N280" s="186">
        <f t="shared" si="112"/>
        <v>0</v>
      </c>
      <c r="O280" s="186">
        <f t="shared" si="112"/>
        <v>0</v>
      </c>
      <c r="P280" s="122"/>
      <c r="Q280" s="122"/>
      <c r="R280" s="122"/>
      <c r="S280" s="122"/>
      <c r="T280" s="122"/>
      <c r="U280" s="122"/>
      <c r="V280" s="122"/>
      <c r="W280" s="122"/>
      <c r="X280" s="122"/>
      <c r="Y280" s="122"/>
      <c r="Z280" s="122"/>
    </row>
    <row r="281" spans="1:26" ht="12.75" x14ac:dyDescent="0.2">
      <c r="A281" s="122"/>
      <c r="B281" s="180"/>
      <c r="C281" s="189" t="s">
        <v>289</v>
      </c>
      <c r="D281" s="201"/>
      <c r="E281" s="201"/>
      <c r="F281" s="202">
        <f t="shared" ref="F281:O281" si="113">SUM(F279:F280)</f>
        <v>0</v>
      </c>
      <c r="G281" s="202">
        <f t="shared" si="113"/>
        <v>0</v>
      </c>
      <c r="H281" s="202">
        <f t="shared" si="113"/>
        <v>0</v>
      </c>
      <c r="I281" s="202">
        <f t="shared" si="113"/>
        <v>0</v>
      </c>
      <c r="J281" s="202">
        <f t="shared" si="113"/>
        <v>0</v>
      </c>
      <c r="K281" s="202">
        <f t="shared" si="113"/>
        <v>0</v>
      </c>
      <c r="L281" s="202">
        <f t="shared" si="113"/>
        <v>0</v>
      </c>
      <c r="M281" s="202">
        <f t="shared" si="113"/>
        <v>0</v>
      </c>
      <c r="N281" s="202">
        <f t="shared" si="113"/>
        <v>0</v>
      </c>
      <c r="O281" s="202">
        <f t="shared" si="113"/>
        <v>0</v>
      </c>
      <c r="P281" s="122"/>
      <c r="Q281" s="122"/>
      <c r="R281" s="122"/>
      <c r="S281" s="122"/>
      <c r="T281" s="122"/>
      <c r="U281" s="122"/>
      <c r="V281" s="122"/>
      <c r="W281" s="122"/>
      <c r="X281" s="122"/>
      <c r="Y281" s="122"/>
      <c r="Z281" s="122"/>
    </row>
    <row r="282" spans="1:26" ht="12.75" x14ac:dyDescent="0.2">
      <c r="A282" s="122"/>
      <c r="B282" s="122"/>
      <c r="C282" s="173"/>
      <c r="D282" s="122"/>
      <c r="E282" s="122"/>
      <c r="F282" s="122"/>
      <c r="G282" s="122"/>
      <c r="H282" s="122"/>
      <c r="I282" s="122"/>
      <c r="J282" s="122"/>
      <c r="K282" s="122"/>
      <c r="L282" s="122"/>
      <c r="M282" s="122"/>
      <c r="N282" s="122"/>
      <c r="O282" s="122"/>
      <c r="P282" s="122"/>
      <c r="Q282" s="122"/>
      <c r="R282" s="122"/>
      <c r="S282" s="122"/>
      <c r="T282" s="122"/>
      <c r="U282" s="122"/>
      <c r="V282" s="122"/>
      <c r="W282" s="122"/>
      <c r="X282" s="122"/>
      <c r="Y282" s="122"/>
      <c r="Z282" s="122"/>
    </row>
    <row r="283" spans="1:26" ht="12.75" x14ac:dyDescent="0.2">
      <c r="A283" s="145" t="s">
        <v>221</v>
      </c>
      <c r="B283" s="119"/>
      <c r="C283" s="150"/>
      <c r="D283" s="161" t="s">
        <v>174</v>
      </c>
      <c r="E283" s="161"/>
      <c r="F283" s="162">
        <v>0</v>
      </c>
      <c r="G283" s="162">
        <v>1</v>
      </c>
      <c r="H283" s="162">
        <v>2</v>
      </c>
      <c r="I283" s="162">
        <v>3</v>
      </c>
      <c r="J283" s="162">
        <v>4</v>
      </c>
      <c r="K283" s="162">
        <v>5</v>
      </c>
      <c r="L283" s="162">
        <v>6</v>
      </c>
      <c r="M283" s="162">
        <v>7</v>
      </c>
      <c r="N283" s="162">
        <v>8</v>
      </c>
      <c r="O283" s="162">
        <v>9</v>
      </c>
      <c r="P283" s="119"/>
      <c r="Q283" s="119"/>
      <c r="R283" s="119"/>
      <c r="S283" s="119"/>
      <c r="T283" s="119"/>
      <c r="U283" s="119"/>
      <c r="V283" s="119"/>
      <c r="W283" s="119"/>
      <c r="X283" s="119"/>
      <c r="Y283" s="119"/>
      <c r="Z283" s="119"/>
    </row>
    <row r="284" spans="1:26" ht="12.75" x14ac:dyDescent="0.2">
      <c r="A284" s="122"/>
      <c r="B284" s="154" t="s">
        <v>244</v>
      </c>
      <c r="C284" s="155"/>
      <c r="D284" s="155"/>
      <c r="E284" s="155"/>
      <c r="F284" s="155"/>
      <c r="G284" s="155"/>
      <c r="H284" s="155"/>
      <c r="I284" s="155"/>
      <c r="J284" s="155"/>
      <c r="K284" s="155"/>
      <c r="L284" s="155"/>
      <c r="M284" s="155"/>
      <c r="N284" s="155"/>
      <c r="O284" s="155"/>
      <c r="P284" s="122"/>
      <c r="Q284" s="122"/>
      <c r="R284" s="122"/>
      <c r="S284" s="122"/>
      <c r="T284" s="122"/>
      <c r="U284" s="122"/>
      <c r="V284" s="122"/>
      <c r="W284" s="122"/>
      <c r="X284" s="122"/>
      <c r="Y284" s="122"/>
      <c r="Z284" s="122"/>
    </row>
    <row r="285" spans="1:26" ht="12.75" x14ac:dyDescent="0.2">
      <c r="A285" s="122"/>
      <c r="B285" s="122"/>
      <c r="C285" s="173"/>
      <c r="D285" s="122"/>
      <c r="E285" s="122"/>
      <c r="F285" s="122"/>
      <c r="G285" s="122"/>
      <c r="H285" s="122"/>
      <c r="I285" s="122"/>
      <c r="J285" s="122"/>
      <c r="K285" s="122"/>
      <c r="L285" s="122"/>
      <c r="M285" s="122"/>
      <c r="N285" s="122"/>
      <c r="O285" s="122"/>
      <c r="P285" s="122"/>
      <c r="Q285" s="122"/>
      <c r="R285" s="122"/>
      <c r="S285" s="122"/>
      <c r="T285" s="122"/>
      <c r="U285" s="122"/>
      <c r="V285" s="122"/>
      <c r="W285" s="122"/>
      <c r="X285" s="122"/>
      <c r="Y285" s="122"/>
      <c r="Z285" s="122"/>
    </row>
    <row r="286" spans="1:26" ht="12.75" x14ac:dyDescent="0.2">
      <c r="A286" s="122"/>
      <c r="B286" s="179" t="s">
        <v>229</v>
      </c>
      <c r="C286" s="155"/>
      <c r="D286" s="180"/>
      <c r="E286" s="180"/>
      <c r="F286" s="180"/>
      <c r="G286" s="180"/>
      <c r="H286" s="180"/>
      <c r="I286" s="180"/>
      <c r="J286" s="180"/>
      <c r="K286" s="180"/>
      <c r="L286" s="180"/>
      <c r="M286" s="180"/>
      <c r="N286" s="180"/>
      <c r="O286" s="180"/>
      <c r="P286" s="122"/>
      <c r="Q286" s="122"/>
      <c r="R286" s="122"/>
      <c r="S286" s="122"/>
      <c r="T286" s="122"/>
      <c r="U286" s="122"/>
      <c r="V286" s="122"/>
      <c r="W286" s="122"/>
      <c r="X286" s="122"/>
      <c r="Y286" s="122"/>
      <c r="Z286" s="122"/>
    </row>
    <row r="287" spans="1:26" ht="12.75" x14ac:dyDescent="0.2">
      <c r="A287" s="122"/>
      <c r="C287" s="232" t="s">
        <v>222</v>
      </c>
      <c r="D287" s="180"/>
      <c r="E287" s="180"/>
      <c r="F287" s="180"/>
      <c r="G287" s="180"/>
      <c r="H287" s="180"/>
      <c r="I287" s="180"/>
      <c r="J287" s="180"/>
      <c r="K287" s="180"/>
      <c r="L287" s="180"/>
      <c r="M287" s="180"/>
      <c r="N287" s="180"/>
      <c r="O287" s="180"/>
      <c r="P287" s="122"/>
      <c r="Q287" s="122"/>
      <c r="R287" s="122"/>
      <c r="S287" s="122"/>
      <c r="T287" s="122"/>
      <c r="U287" s="122"/>
      <c r="V287" s="122"/>
      <c r="W287" s="122"/>
      <c r="X287" s="122"/>
      <c r="Y287" s="122"/>
      <c r="Z287" s="122"/>
    </row>
    <row r="288" spans="1:26" ht="12.75" x14ac:dyDescent="0.2">
      <c r="A288" s="122"/>
      <c r="B288" s="192"/>
      <c r="C288" s="188" t="s">
        <v>388</v>
      </c>
      <c r="D288" s="180"/>
      <c r="E288" s="180"/>
      <c r="F288" s="180"/>
      <c r="G288" s="180"/>
      <c r="H288" s="180"/>
      <c r="I288" s="180"/>
      <c r="J288" s="180"/>
      <c r="K288" s="180"/>
      <c r="L288" s="180"/>
      <c r="M288" s="180"/>
      <c r="N288" s="180"/>
      <c r="O288" s="180"/>
      <c r="P288" s="122"/>
      <c r="Q288" s="122"/>
      <c r="R288" s="122"/>
      <c r="S288" s="122"/>
      <c r="T288" s="122"/>
      <c r="U288" s="122"/>
      <c r="V288" s="122"/>
      <c r="W288" s="122"/>
      <c r="X288" s="122"/>
      <c r="Y288" s="122"/>
      <c r="Z288" s="122"/>
    </row>
    <row r="289" spans="1:26" ht="12.75" x14ac:dyDescent="0.2">
      <c r="A289" s="122"/>
      <c r="B289" s="180"/>
      <c r="C289" s="152" t="s">
        <v>384</v>
      </c>
      <c r="D289" s="180"/>
      <c r="E289" s="180"/>
      <c r="F289" s="125">
        <f>F167/F$120</f>
        <v>88.796886932753992</v>
      </c>
      <c r="G289" s="125">
        <f t="shared" ref="F289:O290" si="114">G167/G$120</f>
        <v>91.105605993005597</v>
      </c>
      <c r="H289" s="125">
        <f t="shared" si="114"/>
        <v>93.474351748823736</v>
      </c>
      <c r="I289" s="125">
        <f t="shared" si="114"/>
        <v>95.904684894293169</v>
      </c>
      <c r="J289" s="125">
        <f t="shared" si="114"/>
        <v>98.398206701544808</v>
      </c>
      <c r="K289" s="125">
        <f t="shared" si="114"/>
        <v>100.95656007578496</v>
      </c>
      <c r="L289" s="125">
        <f t="shared" si="114"/>
        <v>103.5814306377554</v>
      </c>
      <c r="M289" s="125">
        <f t="shared" si="114"/>
        <v>106.27454783433704</v>
      </c>
      <c r="N289" s="125">
        <f t="shared" si="114"/>
        <v>109.03768607802979</v>
      </c>
      <c r="O289" s="125">
        <f t="shared" si="114"/>
        <v>111.87266591605858</v>
      </c>
      <c r="P289" s="122"/>
      <c r="Q289" s="122"/>
      <c r="R289" s="122"/>
      <c r="S289" s="122"/>
      <c r="T289" s="122"/>
      <c r="U289" s="122"/>
      <c r="V289" s="122"/>
      <c r="W289" s="122"/>
      <c r="X289" s="122"/>
      <c r="Y289" s="122"/>
      <c r="Z289" s="122"/>
    </row>
    <row r="290" spans="1:26" ht="12.75" x14ac:dyDescent="0.2">
      <c r="A290" s="122"/>
      <c r="B290" s="180"/>
      <c r="C290" s="152" t="s">
        <v>231</v>
      </c>
      <c r="D290" s="180"/>
      <c r="E290" s="180"/>
      <c r="F290" s="125">
        <f t="shared" si="114"/>
        <v>8.7020949194098911</v>
      </c>
      <c r="G290" s="125">
        <f t="shared" si="114"/>
        <v>8.9283493873145492</v>
      </c>
      <c r="H290" s="125">
        <f t="shared" si="114"/>
        <v>9.1604864713847274</v>
      </c>
      <c r="I290" s="125">
        <f t="shared" si="114"/>
        <v>9.3986591196407314</v>
      </c>
      <c r="J290" s="125">
        <f t="shared" si="114"/>
        <v>9.6430242567513904</v>
      </c>
      <c r="K290" s="125">
        <f t="shared" si="114"/>
        <v>9.893742887426928</v>
      </c>
      <c r="L290" s="125">
        <f t="shared" si="114"/>
        <v>10.150980202500028</v>
      </c>
      <c r="M290" s="125">
        <f t="shared" si="114"/>
        <v>10.41490568776503</v>
      </c>
      <c r="N290" s="125">
        <f t="shared" si="114"/>
        <v>10.685693235646921</v>
      </c>
      <c r="O290" s="125">
        <f t="shared" si="114"/>
        <v>10.96352125977374</v>
      </c>
      <c r="P290" s="122"/>
      <c r="Q290" s="122"/>
      <c r="R290" s="122"/>
      <c r="S290" s="122"/>
      <c r="T290" s="122"/>
      <c r="U290" s="122"/>
      <c r="V290" s="122"/>
      <c r="W290" s="122"/>
      <c r="X290" s="122"/>
      <c r="Y290" s="122"/>
      <c r="Z290" s="122"/>
    </row>
    <row r="291" spans="1:26" ht="12.75" x14ac:dyDescent="0.2">
      <c r="A291" s="122"/>
      <c r="B291" s="180"/>
      <c r="C291" s="198" t="s">
        <v>389</v>
      </c>
      <c r="D291" s="182"/>
      <c r="E291" s="182"/>
      <c r="F291" s="193">
        <f t="shared" ref="F291:O291" si="115">F289-F290</f>
        <v>80.094792013344104</v>
      </c>
      <c r="G291" s="193">
        <f t="shared" si="115"/>
        <v>82.177256605691042</v>
      </c>
      <c r="H291" s="193">
        <f t="shared" si="115"/>
        <v>84.313865277439007</v>
      </c>
      <c r="I291" s="193">
        <f t="shared" si="115"/>
        <v>86.506025774652443</v>
      </c>
      <c r="J291" s="193">
        <f t="shared" si="115"/>
        <v>88.755182444793419</v>
      </c>
      <c r="K291" s="193">
        <f t="shared" si="115"/>
        <v>91.062817188358039</v>
      </c>
      <c r="L291" s="193">
        <f t="shared" si="115"/>
        <v>93.430450435255381</v>
      </c>
      <c r="M291" s="193">
        <f t="shared" si="115"/>
        <v>95.859642146572014</v>
      </c>
      <c r="N291" s="193">
        <f t="shared" si="115"/>
        <v>98.35199284238287</v>
      </c>
      <c r="O291" s="193">
        <f t="shared" si="115"/>
        <v>100.90914465628484</v>
      </c>
      <c r="P291" s="122"/>
      <c r="Q291" s="122"/>
      <c r="R291" s="122"/>
      <c r="S291" s="122"/>
      <c r="T291" s="122"/>
      <c r="U291" s="122"/>
      <c r="V291" s="122"/>
      <c r="W291" s="122"/>
      <c r="X291" s="122"/>
      <c r="Y291" s="122"/>
      <c r="Z291" s="122"/>
    </row>
    <row r="292" spans="1:26" ht="12.75" x14ac:dyDescent="0.2">
      <c r="A292" s="122"/>
      <c r="B292" s="180"/>
      <c r="C292" s="152"/>
      <c r="D292" s="180"/>
      <c r="E292" s="180"/>
      <c r="F292" s="194"/>
      <c r="G292" s="194"/>
      <c r="H292" s="194"/>
      <c r="I292" s="194"/>
      <c r="J292" s="194"/>
      <c r="K292" s="194"/>
      <c r="L292" s="194"/>
      <c r="M292" s="194"/>
      <c r="N292" s="194"/>
      <c r="O292" s="194"/>
      <c r="P292" s="122"/>
      <c r="Q292" s="122"/>
      <c r="R292" s="122"/>
      <c r="S292" s="122"/>
      <c r="T292" s="122"/>
      <c r="U292" s="122"/>
      <c r="V292" s="122"/>
      <c r="W292" s="122"/>
      <c r="X292" s="122"/>
      <c r="Y292" s="122"/>
      <c r="Z292" s="122"/>
    </row>
    <row r="293" spans="1:26" ht="12.75" x14ac:dyDescent="0.2">
      <c r="A293" s="122"/>
      <c r="B293" s="180"/>
      <c r="C293" s="188" t="s">
        <v>266</v>
      </c>
      <c r="D293" s="180"/>
      <c r="E293" s="180"/>
      <c r="F293" s="194"/>
      <c r="G293" s="194"/>
      <c r="H293" s="194"/>
      <c r="I293" s="194"/>
      <c r="J293" s="194"/>
      <c r="K293" s="194"/>
      <c r="L293" s="194"/>
      <c r="M293" s="194"/>
      <c r="N293" s="194"/>
      <c r="O293" s="194"/>
      <c r="P293" s="122"/>
      <c r="Q293" s="122"/>
      <c r="R293" s="122"/>
      <c r="S293" s="122"/>
      <c r="T293" s="122"/>
      <c r="U293" s="122"/>
      <c r="V293" s="122"/>
      <c r="W293" s="122"/>
      <c r="X293" s="122"/>
      <c r="Y293" s="122"/>
      <c r="Z293" s="122"/>
    </row>
    <row r="294" spans="1:26" ht="12.75" x14ac:dyDescent="0.2">
      <c r="A294" s="122"/>
      <c r="B294" s="180"/>
      <c r="C294" s="155" t="s">
        <v>267</v>
      </c>
      <c r="D294" s="180"/>
      <c r="E294" s="180"/>
      <c r="F294" s="125">
        <f>$F$95/1000</f>
        <v>0</v>
      </c>
      <c r="G294" s="125">
        <f t="shared" ref="G294:O294" si="116">$F$95/1000</f>
        <v>0</v>
      </c>
      <c r="H294" s="125">
        <f t="shared" si="116"/>
        <v>0</v>
      </c>
      <c r="I294" s="125">
        <f t="shared" si="116"/>
        <v>0</v>
      </c>
      <c r="J294" s="125">
        <f t="shared" si="116"/>
        <v>0</v>
      </c>
      <c r="K294" s="125">
        <f t="shared" si="116"/>
        <v>0</v>
      </c>
      <c r="L294" s="125">
        <f t="shared" si="116"/>
        <v>0</v>
      </c>
      <c r="M294" s="125">
        <f t="shared" si="116"/>
        <v>0</v>
      </c>
      <c r="N294" s="125">
        <f t="shared" si="116"/>
        <v>0</v>
      </c>
      <c r="O294" s="125">
        <f t="shared" si="116"/>
        <v>0</v>
      </c>
      <c r="P294" s="122"/>
      <c r="Q294" s="122"/>
      <c r="R294" s="122"/>
      <c r="S294" s="122"/>
      <c r="T294" s="122"/>
      <c r="U294" s="122"/>
      <c r="V294" s="122"/>
      <c r="W294" s="122"/>
      <c r="X294" s="122"/>
      <c r="Y294" s="122"/>
      <c r="Z294" s="122"/>
    </row>
    <row r="295" spans="1:26" ht="12.75" x14ac:dyDescent="0.2">
      <c r="A295" s="122"/>
      <c r="B295" s="180"/>
      <c r="C295" s="155" t="s">
        <v>138</v>
      </c>
      <c r="D295" s="180"/>
      <c r="E295" s="180"/>
      <c r="F295" s="125">
        <f>$F$91/1000</f>
        <v>0</v>
      </c>
      <c r="G295" s="125">
        <f t="shared" ref="G295:O295" si="117">$F$91/1000</f>
        <v>0</v>
      </c>
      <c r="H295" s="125">
        <f t="shared" si="117"/>
        <v>0</v>
      </c>
      <c r="I295" s="125">
        <f t="shared" si="117"/>
        <v>0</v>
      </c>
      <c r="J295" s="125">
        <f t="shared" si="117"/>
        <v>0</v>
      </c>
      <c r="K295" s="125">
        <f t="shared" si="117"/>
        <v>0</v>
      </c>
      <c r="L295" s="125">
        <f t="shared" si="117"/>
        <v>0</v>
      </c>
      <c r="M295" s="125">
        <f t="shared" si="117"/>
        <v>0</v>
      </c>
      <c r="N295" s="125">
        <f t="shared" si="117"/>
        <v>0</v>
      </c>
      <c r="O295" s="125">
        <f t="shared" si="117"/>
        <v>0</v>
      </c>
      <c r="P295" s="122"/>
      <c r="Q295" s="122"/>
      <c r="R295" s="122"/>
      <c r="S295" s="122"/>
      <c r="T295" s="122"/>
      <c r="U295" s="122"/>
      <c r="V295" s="122"/>
      <c r="W295" s="122"/>
      <c r="X295" s="122"/>
      <c r="Y295" s="122"/>
      <c r="Z295" s="122"/>
    </row>
    <row r="296" spans="1:26" ht="12.75" x14ac:dyDescent="0.2">
      <c r="A296" s="122"/>
      <c r="B296" s="180"/>
      <c r="C296" s="198" t="s">
        <v>247</v>
      </c>
      <c r="D296" s="182"/>
      <c r="E296" s="182"/>
      <c r="F296" s="193">
        <f>SUM(F294:F295)</f>
        <v>0</v>
      </c>
      <c r="G296" s="193">
        <f t="shared" ref="G296:O296" si="118">SUM(G294:G295)</f>
        <v>0</v>
      </c>
      <c r="H296" s="193">
        <f t="shared" si="118"/>
        <v>0</v>
      </c>
      <c r="I296" s="193">
        <f t="shared" si="118"/>
        <v>0</v>
      </c>
      <c r="J296" s="193">
        <f t="shared" si="118"/>
        <v>0</v>
      </c>
      <c r="K296" s="193">
        <f t="shared" si="118"/>
        <v>0</v>
      </c>
      <c r="L296" s="193">
        <f t="shared" si="118"/>
        <v>0</v>
      </c>
      <c r="M296" s="193">
        <f t="shared" si="118"/>
        <v>0</v>
      </c>
      <c r="N296" s="193">
        <f t="shared" si="118"/>
        <v>0</v>
      </c>
      <c r="O296" s="193">
        <f t="shared" si="118"/>
        <v>0</v>
      </c>
      <c r="P296" s="122"/>
      <c r="Q296" s="122"/>
      <c r="R296" s="122"/>
      <c r="S296" s="122"/>
      <c r="T296" s="122"/>
      <c r="U296" s="122"/>
      <c r="V296" s="122"/>
      <c r="W296" s="122"/>
      <c r="X296" s="122"/>
      <c r="Y296" s="122"/>
      <c r="Z296" s="122"/>
    </row>
    <row r="297" spans="1:26" ht="12.75" x14ac:dyDescent="0.2">
      <c r="A297" s="122"/>
      <c r="B297" s="180"/>
      <c r="C297" s="152"/>
      <c r="D297" s="180"/>
      <c r="E297" s="180"/>
      <c r="F297" s="194"/>
      <c r="G297" s="194"/>
      <c r="H297" s="194"/>
      <c r="I297" s="194"/>
      <c r="J297" s="194"/>
      <c r="K297" s="194"/>
      <c r="L297" s="194"/>
      <c r="M297" s="194"/>
      <c r="N297" s="194"/>
      <c r="O297" s="194"/>
      <c r="P297" s="122"/>
      <c r="Q297" s="122"/>
      <c r="R297" s="122"/>
      <c r="S297" s="122"/>
      <c r="T297" s="122"/>
      <c r="U297" s="122"/>
      <c r="V297" s="122"/>
      <c r="W297" s="122"/>
      <c r="X297" s="122"/>
      <c r="Y297" s="122"/>
      <c r="Z297" s="122"/>
    </row>
    <row r="298" spans="1:26" ht="12.75" x14ac:dyDescent="0.2">
      <c r="A298" s="122"/>
      <c r="B298" s="180"/>
      <c r="C298" s="203" t="s">
        <v>230</v>
      </c>
      <c r="D298" s="195"/>
      <c r="E298" s="195"/>
      <c r="F298" s="196">
        <f>F291+F296</f>
        <v>80.094792013344104</v>
      </c>
      <c r="G298" s="196">
        <f t="shared" ref="G298:O298" si="119">G291+G296</f>
        <v>82.177256605691042</v>
      </c>
      <c r="H298" s="196">
        <f t="shared" si="119"/>
        <v>84.313865277439007</v>
      </c>
      <c r="I298" s="196">
        <f t="shared" si="119"/>
        <v>86.506025774652443</v>
      </c>
      <c r="J298" s="196">
        <f t="shared" si="119"/>
        <v>88.755182444793419</v>
      </c>
      <c r="K298" s="196">
        <f t="shared" si="119"/>
        <v>91.062817188358039</v>
      </c>
      <c r="L298" s="196">
        <f t="shared" si="119"/>
        <v>93.430450435255381</v>
      </c>
      <c r="M298" s="196">
        <f t="shared" si="119"/>
        <v>95.859642146572014</v>
      </c>
      <c r="N298" s="196">
        <f t="shared" si="119"/>
        <v>98.35199284238287</v>
      </c>
      <c r="O298" s="196">
        <f t="shared" si="119"/>
        <v>100.90914465628484</v>
      </c>
      <c r="P298" s="122"/>
      <c r="Q298" s="122"/>
      <c r="R298" s="122"/>
      <c r="S298" s="122"/>
      <c r="T298" s="122"/>
      <c r="U298" s="122"/>
      <c r="V298" s="122"/>
      <c r="W298" s="122"/>
      <c r="X298" s="122"/>
      <c r="Y298" s="122"/>
      <c r="Z298" s="122"/>
    </row>
    <row r="299" spans="1:26" ht="12.75" x14ac:dyDescent="0.2">
      <c r="A299" s="122"/>
      <c r="B299" s="180"/>
      <c r="C299" s="155"/>
      <c r="D299" s="180"/>
      <c r="E299" s="180"/>
      <c r="F299" s="180"/>
      <c r="G299" s="180"/>
      <c r="H299" s="180"/>
      <c r="I299" s="180"/>
      <c r="J299" s="180"/>
      <c r="K299" s="180"/>
      <c r="L299" s="180"/>
      <c r="M299" s="180"/>
      <c r="N299" s="180"/>
      <c r="O299" s="180"/>
      <c r="P299" s="122"/>
      <c r="Q299" s="122"/>
      <c r="R299" s="122"/>
      <c r="S299" s="122"/>
      <c r="T299" s="122"/>
      <c r="U299" s="122"/>
      <c r="V299" s="122"/>
      <c r="W299" s="122"/>
      <c r="X299" s="122"/>
      <c r="Y299" s="122"/>
      <c r="Z299" s="122"/>
    </row>
    <row r="300" spans="1:26" ht="12.75" x14ac:dyDescent="0.2">
      <c r="A300" s="122"/>
      <c r="C300" s="232" t="s">
        <v>235</v>
      </c>
      <c r="D300" s="180"/>
      <c r="E300" s="180"/>
      <c r="F300" s="180"/>
      <c r="G300" s="180"/>
      <c r="H300" s="180"/>
      <c r="I300" s="180"/>
      <c r="J300" s="180"/>
      <c r="K300" s="180"/>
      <c r="L300" s="180"/>
      <c r="M300" s="180"/>
      <c r="N300" s="180"/>
      <c r="O300" s="180"/>
      <c r="P300" s="122"/>
      <c r="Q300" s="122"/>
      <c r="R300" s="122"/>
      <c r="S300" s="122"/>
      <c r="T300" s="122"/>
      <c r="U300" s="122"/>
      <c r="V300" s="122"/>
      <c r="W300" s="122"/>
      <c r="X300" s="122"/>
      <c r="Y300" s="122"/>
      <c r="Z300" s="122"/>
    </row>
    <row r="301" spans="1:26" ht="12.75" x14ac:dyDescent="0.2">
      <c r="A301" s="122"/>
      <c r="B301" s="192"/>
      <c r="C301" s="188" t="s">
        <v>144</v>
      </c>
      <c r="D301" s="180"/>
      <c r="E301" s="180"/>
      <c r="F301" s="180"/>
      <c r="G301" s="180"/>
      <c r="H301" s="180"/>
      <c r="I301" s="180"/>
      <c r="J301" s="180"/>
      <c r="K301" s="180"/>
      <c r="L301" s="180"/>
      <c r="M301" s="180"/>
      <c r="N301" s="180"/>
      <c r="O301" s="180"/>
      <c r="P301" s="122"/>
      <c r="Q301" s="122"/>
      <c r="R301" s="122"/>
      <c r="S301" s="122"/>
      <c r="T301" s="122"/>
      <c r="U301" s="122"/>
      <c r="V301" s="122"/>
      <c r="W301" s="122"/>
      <c r="X301" s="122"/>
      <c r="Y301" s="122"/>
      <c r="Z301" s="122"/>
    </row>
    <row r="302" spans="1:26" ht="12.75" x14ac:dyDescent="0.2">
      <c r="A302" s="122"/>
      <c r="B302" s="192"/>
      <c r="C302" s="155" t="s">
        <v>245</v>
      </c>
      <c r="D302" s="180"/>
      <c r="E302" s="180"/>
      <c r="F302" s="125">
        <f>$F$95*(1+$F$96)/1000</f>
        <v>0</v>
      </c>
      <c r="G302" s="125">
        <f t="shared" ref="G302:O302" si="120">$F$95*(1+$F$96)/1000</f>
        <v>0</v>
      </c>
      <c r="H302" s="125">
        <f t="shared" si="120"/>
        <v>0</v>
      </c>
      <c r="I302" s="125">
        <f t="shared" si="120"/>
        <v>0</v>
      </c>
      <c r="J302" s="125">
        <f t="shared" si="120"/>
        <v>0</v>
      </c>
      <c r="K302" s="125">
        <f t="shared" si="120"/>
        <v>0</v>
      </c>
      <c r="L302" s="125">
        <f t="shared" si="120"/>
        <v>0</v>
      </c>
      <c r="M302" s="125">
        <f t="shared" si="120"/>
        <v>0</v>
      </c>
      <c r="N302" s="125">
        <f t="shared" si="120"/>
        <v>0</v>
      </c>
      <c r="O302" s="125">
        <f t="shared" si="120"/>
        <v>0</v>
      </c>
      <c r="P302" s="122"/>
      <c r="Q302" s="122"/>
      <c r="R302" s="122"/>
      <c r="S302" s="122"/>
      <c r="T302" s="122"/>
      <c r="U302" s="122"/>
      <c r="V302" s="122"/>
      <c r="W302" s="122"/>
      <c r="X302" s="122"/>
      <c r="Y302" s="122"/>
      <c r="Z302" s="122"/>
    </row>
    <row r="303" spans="1:26" ht="12.75" x14ac:dyDescent="0.2">
      <c r="A303" s="122"/>
      <c r="B303" s="192"/>
      <c r="C303" s="198" t="s">
        <v>245</v>
      </c>
      <c r="D303" s="182"/>
      <c r="E303" s="182"/>
      <c r="F303" s="193">
        <f>F302</f>
        <v>0</v>
      </c>
      <c r="G303" s="193">
        <f t="shared" ref="G303:O303" si="121">G302</f>
        <v>0</v>
      </c>
      <c r="H303" s="193">
        <f t="shared" si="121"/>
        <v>0</v>
      </c>
      <c r="I303" s="193">
        <f t="shared" si="121"/>
        <v>0</v>
      </c>
      <c r="J303" s="193">
        <f t="shared" si="121"/>
        <v>0</v>
      </c>
      <c r="K303" s="193">
        <f t="shared" si="121"/>
        <v>0</v>
      </c>
      <c r="L303" s="193">
        <f t="shared" si="121"/>
        <v>0</v>
      </c>
      <c r="M303" s="193">
        <f t="shared" si="121"/>
        <v>0</v>
      </c>
      <c r="N303" s="193">
        <f t="shared" si="121"/>
        <v>0</v>
      </c>
      <c r="O303" s="193">
        <f t="shared" si="121"/>
        <v>0</v>
      </c>
      <c r="P303" s="122"/>
      <c r="Q303" s="122"/>
      <c r="R303" s="122"/>
      <c r="S303" s="122"/>
      <c r="T303" s="122"/>
      <c r="U303" s="122"/>
      <c r="V303" s="122"/>
      <c r="W303" s="122"/>
      <c r="X303" s="122"/>
      <c r="Y303" s="122"/>
      <c r="Z303" s="122"/>
    </row>
    <row r="304" spans="1:26" ht="12.75" x14ac:dyDescent="0.2">
      <c r="A304" s="122"/>
      <c r="B304" s="192"/>
      <c r="C304" s="232"/>
      <c r="D304" s="180"/>
      <c r="E304" s="180"/>
      <c r="F304" s="180"/>
      <c r="G304" s="180"/>
      <c r="H304" s="180"/>
      <c r="I304" s="180"/>
      <c r="J304" s="180"/>
      <c r="K304" s="180"/>
      <c r="L304" s="180"/>
      <c r="M304" s="180"/>
      <c r="N304" s="180"/>
      <c r="O304" s="180"/>
      <c r="P304" s="122"/>
      <c r="Q304" s="122"/>
      <c r="R304" s="122"/>
      <c r="S304" s="122"/>
      <c r="T304" s="122"/>
      <c r="U304" s="122"/>
      <c r="V304" s="122"/>
      <c r="W304" s="122"/>
      <c r="X304" s="122"/>
      <c r="Y304" s="122"/>
      <c r="Z304" s="122"/>
    </row>
    <row r="305" spans="1:26" ht="12.75" x14ac:dyDescent="0.2">
      <c r="A305" s="122"/>
      <c r="B305" s="180"/>
      <c r="C305" s="188" t="s">
        <v>218</v>
      </c>
      <c r="D305" s="180"/>
      <c r="E305" s="180"/>
      <c r="F305" s="180"/>
      <c r="G305" s="180"/>
      <c r="H305" s="180"/>
      <c r="I305" s="180"/>
      <c r="J305" s="180"/>
      <c r="K305" s="180"/>
      <c r="L305" s="180"/>
      <c r="M305" s="180"/>
      <c r="N305" s="180"/>
      <c r="O305" s="180"/>
      <c r="P305" s="122"/>
      <c r="Q305" s="122"/>
      <c r="R305" s="122"/>
      <c r="S305" s="122"/>
      <c r="T305" s="122"/>
      <c r="U305" s="122"/>
      <c r="V305" s="122"/>
      <c r="W305" s="122"/>
      <c r="X305" s="122"/>
      <c r="Y305" s="122"/>
      <c r="Z305" s="122"/>
    </row>
    <row r="306" spans="1:26" ht="12.75" x14ac:dyDescent="0.2">
      <c r="A306" s="122"/>
      <c r="B306" s="180"/>
      <c r="C306" s="228" t="s">
        <v>272</v>
      </c>
      <c r="D306" s="180"/>
      <c r="E306" s="180"/>
      <c r="F306" s="125">
        <f t="shared" ref="F306:O312" si="122">F190/F$120</f>
        <v>7.5218930769230763</v>
      </c>
      <c r="G306" s="125">
        <f t="shared" si="122"/>
        <v>7.5218930769230772</v>
      </c>
      <c r="H306" s="125">
        <f t="shared" si="122"/>
        <v>7.5218930769230772</v>
      </c>
      <c r="I306" s="125">
        <f t="shared" si="122"/>
        <v>7.5218930769230772</v>
      </c>
      <c r="J306" s="125">
        <f t="shared" si="122"/>
        <v>7.5218930769230763</v>
      </c>
      <c r="K306" s="125">
        <f t="shared" si="122"/>
        <v>7.5218930769230772</v>
      </c>
      <c r="L306" s="125">
        <f t="shared" si="122"/>
        <v>7.5218930769230772</v>
      </c>
      <c r="M306" s="125">
        <f t="shared" si="122"/>
        <v>7.5218930769230763</v>
      </c>
      <c r="N306" s="125">
        <f t="shared" si="122"/>
        <v>7.5218930769230763</v>
      </c>
      <c r="O306" s="125">
        <f t="shared" si="122"/>
        <v>7.5218930769230763</v>
      </c>
      <c r="P306" s="122"/>
      <c r="Q306" s="122"/>
      <c r="R306" s="122"/>
      <c r="S306" s="122"/>
      <c r="T306" s="122"/>
      <c r="U306" s="122"/>
      <c r="V306" s="122"/>
      <c r="W306" s="122"/>
      <c r="X306" s="122"/>
      <c r="Y306" s="122"/>
      <c r="Z306" s="122"/>
    </row>
    <row r="307" spans="1:26" ht="12.75" x14ac:dyDescent="0.2">
      <c r="A307" s="122"/>
      <c r="B307" s="180"/>
      <c r="C307" s="228" t="s">
        <v>273</v>
      </c>
      <c r="D307" s="180"/>
      <c r="E307" s="180"/>
      <c r="F307" s="125">
        <f t="shared" si="122"/>
        <v>4.1604954999999988</v>
      </c>
      <c r="G307" s="125">
        <f t="shared" si="122"/>
        <v>4.1604954999999997</v>
      </c>
      <c r="H307" s="125">
        <f t="shared" si="122"/>
        <v>4.1604954999999997</v>
      </c>
      <c r="I307" s="125">
        <f t="shared" si="122"/>
        <v>4.1604954999999988</v>
      </c>
      <c r="J307" s="125">
        <f t="shared" si="122"/>
        <v>4.1604954999999988</v>
      </c>
      <c r="K307" s="125">
        <f t="shared" si="122"/>
        <v>4.1604954999999988</v>
      </c>
      <c r="L307" s="125">
        <f t="shared" si="122"/>
        <v>4.1604954999999997</v>
      </c>
      <c r="M307" s="125">
        <f t="shared" si="122"/>
        <v>4.1604954999999988</v>
      </c>
      <c r="N307" s="125">
        <f t="shared" si="122"/>
        <v>4.1604954999999997</v>
      </c>
      <c r="O307" s="125">
        <f t="shared" si="122"/>
        <v>4.1604954999999988</v>
      </c>
      <c r="P307" s="122"/>
      <c r="Q307" s="122"/>
      <c r="R307" s="122"/>
      <c r="S307" s="122"/>
      <c r="T307" s="122"/>
      <c r="U307" s="122"/>
      <c r="V307" s="122"/>
      <c r="W307" s="122"/>
      <c r="X307" s="122"/>
      <c r="Y307" s="122"/>
      <c r="Z307" s="122"/>
    </row>
    <row r="308" spans="1:26" ht="12.75" x14ac:dyDescent="0.2">
      <c r="A308" s="122"/>
      <c r="B308" s="180"/>
      <c r="C308" s="228" t="s">
        <v>274</v>
      </c>
      <c r="D308" s="180"/>
      <c r="E308" s="180"/>
      <c r="F308" s="125">
        <f t="shared" si="122"/>
        <v>4.4537594594594596</v>
      </c>
      <c r="G308" s="125">
        <f t="shared" si="122"/>
        <v>4.4537594594594587</v>
      </c>
      <c r="H308" s="125">
        <f t="shared" si="122"/>
        <v>4.4537594594594596</v>
      </c>
      <c r="I308" s="125">
        <f t="shared" si="122"/>
        <v>4.4537594594594587</v>
      </c>
      <c r="J308" s="125">
        <f t="shared" si="122"/>
        <v>4.4537594594594596</v>
      </c>
      <c r="K308" s="125">
        <f t="shared" si="122"/>
        <v>4.4537594594594596</v>
      </c>
      <c r="L308" s="125">
        <f t="shared" si="122"/>
        <v>4.4537594594594596</v>
      </c>
      <c r="M308" s="125">
        <f t="shared" si="122"/>
        <v>4.4537594594594596</v>
      </c>
      <c r="N308" s="125">
        <f t="shared" si="122"/>
        <v>4.4537594594594587</v>
      </c>
      <c r="O308" s="125">
        <f t="shared" si="122"/>
        <v>4.4537594594594596</v>
      </c>
      <c r="P308" s="122"/>
      <c r="Q308" s="122"/>
      <c r="R308" s="122"/>
      <c r="S308" s="122"/>
      <c r="T308" s="122"/>
      <c r="U308" s="122"/>
      <c r="V308" s="122"/>
      <c r="W308" s="122"/>
      <c r="X308" s="122"/>
      <c r="Y308" s="122"/>
      <c r="Z308" s="122"/>
    </row>
    <row r="309" spans="1:26" ht="12.75" x14ac:dyDescent="0.2">
      <c r="A309" s="122"/>
      <c r="B309" s="180"/>
      <c r="C309" s="228" t="s">
        <v>275</v>
      </c>
      <c r="D309" s="180"/>
      <c r="E309" s="180"/>
      <c r="F309" s="125">
        <f t="shared" si="122"/>
        <v>8.2785682151333244</v>
      </c>
      <c r="G309" s="125">
        <f t="shared" si="122"/>
        <v>8.2785682151333244</v>
      </c>
      <c r="H309" s="125">
        <f t="shared" si="122"/>
        <v>8.2785682151333244</v>
      </c>
      <c r="I309" s="125">
        <f t="shared" si="122"/>
        <v>8.2785682151333226</v>
      </c>
      <c r="J309" s="125">
        <f t="shared" si="122"/>
        <v>8.2785682151333244</v>
      </c>
      <c r="K309" s="125">
        <f t="shared" si="122"/>
        <v>8.2785682151333244</v>
      </c>
      <c r="L309" s="125">
        <f t="shared" si="122"/>
        <v>8.2785682151333244</v>
      </c>
      <c r="M309" s="125">
        <f t="shared" si="122"/>
        <v>8.2785682151333244</v>
      </c>
      <c r="N309" s="125">
        <f t="shared" si="122"/>
        <v>8.2785682151333244</v>
      </c>
      <c r="O309" s="125">
        <f t="shared" si="122"/>
        <v>8.2785682151333244</v>
      </c>
      <c r="P309" s="122"/>
      <c r="Q309" s="122"/>
      <c r="R309" s="122"/>
      <c r="S309" s="122"/>
      <c r="T309" s="122"/>
      <c r="U309" s="122"/>
      <c r="V309" s="122"/>
      <c r="W309" s="122"/>
      <c r="X309" s="122"/>
      <c r="Y309" s="122"/>
      <c r="Z309" s="122"/>
    </row>
    <row r="310" spans="1:26" ht="12.75" x14ac:dyDescent="0.2">
      <c r="A310" s="122"/>
      <c r="B310" s="180"/>
      <c r="C310" s="152" t="s">
        <v>293</v>
      </c>
      <c r="D310" s="180"/>
      <c r="E310" s="180"/>
      <c r="F310" s="125">
        <f t="shared" si="122"/>
        <v>7.131086511627907</v>
      </c>
      <c r="G310" s="125">
        <f t="shared" si="122"/>
        <v>7.131086511627907</v>
      </c>
      <c r="H310" s="125">
        <f t="shared" si="122"/>
        <v>7.131086511627907</v>
      </c>
      <c r="I310" s="125">
        <f t="shared" si="122"/>
        <v>7.131086511627907</v>
      </c>
      <c r="J310" s="125">
        <f t="shared" si="122"/>
        <v>7.1310865116279079</v>
      </c>
      <c r="K310" s="125">
        <f t="shared" si="122"/>
        <v>7.1310865116279079</v>
      </c>
      <c r="L310" s="125">
        <f t="shared" si="122"/>
        <v>7.131086511627907</v>
      </c>
      <c r="M310" s="125">
        <f t="shared" si="122"/>
        <v>7.1310865116279079</v>
      </c>
      <c r="N310" s="125">
        <f t="shared" si="122"/>
        <v>7.1310865116279079</v>
      </c>
      <c r="O310" s="125">
        <f t="shared" si="122"/>
        <v>7.131086511627907</v>
      </c>
      <c r="P310" s="122"/>
      <c r="Q310" s="122"/>
      <c r="R310" s="122"/>
      <c r="S310" s="122"/>
      <c r="T310" s="122"/>
      <c r="U310" s="122"/>
      <c r="V310" s="122"/>
      <c r="W310" s="122"/>
      <c r="X310" s="122"/>
      <c r="Y310" s="122"/>
      <c r="Z310" s="122"/>
    </row>
    <row r="311" spans="1:26" ht="12.75" x14ac:dyDescent="0.2">
      <c r="A311" s="122"/>
      <c r="B311" s="180"/>
      <c r="C311" s="228" t="s">
        <v>278</v>
      </c>
      <c r="D311" s="180"/>
      <c r="E311" s="180"/>
      <c r="F311" s="125">
        <f t="shared" si="122"/>
        <v>24.550149391110523</v>
      </c>
      <c r="G311" s="125">
        <f t="shared" si="122"/>
        <v>24.550149391110523</v>
      </c>
      <c r="H311" s="125">
        <f t="shared" si="122"/>
        <v>24.550149391110526</v>
      </c>
      <c r="I311" s="125">
        <f t="shared" si="122"/>
        <v>24.550149391110526</v>
      </c>
      <c r="J311" s="125">
        <f t="shared" si="122"/>
        <v>24.550149391110526</v>
      </c>
      <c r="K311" s="125">
        <f t="shared" si="122"/>
        <v>24.550149391110523</v>
      </c>
      <c r="L311" s="125">
        <f t="shared" si="122"/>
        <v>24.550149391110526</v>
      </c>
      <c r="M311" s="125">
        <f t="shared" si="122"/>
        <v>24.550149391110523</v>
      </c>
      <c r="N311" s="125">
        <f t="shared" si="122"/>
        <v>24.550149391110523</v>
      </c>
      <c r="O311" s="125">
        <f t="shared" si="122"/>
        <v>24.550149391110526</v>
      </c>
      <c r="P311" s="122"/>
      <c r="Q311" s="122"/>
      <c r="R311" s="122"/>
      <c r="S311" s="122"/>
      <c r="T311" s="122"/>
      <c r="U311" s="122"/>
      <c r="V311" s="122"/>
      <c r="W311" s="122"/>
      <c r="X311" s="122"/>
      <c r="Y311" s="122"/>
      <c r="Z311" s="122"/>
    </row>
    <row r="312" spans="1:26" ht="12.75" x14ac:dyDescent="0.2">
      <c r="A312" s="122"/>
      <c r="B312" s="180"/>
      <c r="C312" s="152" t="s">
        <v>85</v>
      </c>
      <c r="D312" s="180"/>
      <c r="E312" s="180"/>
      <c r="F312" s="125">
        <f t="shared" si="122"/>
        <v>0</v>
      </c>
      <c r="G312" s="125">
        <f t="shared" si="122"/>
        <v>0</v>
      </c>
      <c r="H312" s="125">
        <f t="shared" si="122"/>
        <v>0</v>
      </c>
      <c r="I312" s="125">
        <f t="shared" si="122"/>
        <v>0</v>
      </c>
      <c r="J312" s="125">
        <f t="shared" si="122"/>
        <v>0</v>
      </c>
      <c r="K312" s="125">
        <f t="shared" si="122"/>
        <v>0</v>
      </c>
      <c r="L312" s="125">
        <f t="shared" si="122"/>
        <v>0</v>
      </c>
      <c r="M312" s="125">
        <f t="shared" si="122"/>
        <v>0</v>
      </c>
      <c r="N312" s="125">
        <f t="shared" si="122"/>
        <v>0</v>
      </c>
      <c r="O312" s="125">
        <f t="shared" si="122"/>
        <v>0</v>
      </c>
      <c r="P312" s="122"/>
      <c r="Q312" s="122"/>
      <c r="R312" s="122"/>
      <c r="S312" s="122"/>
      <c r="T312" s="122"/>
      <c r="U312" s="122"/>
      <c r="V312" s="122"/>
      <c r="W312" s="122"/>
      <c r="X312" s="122"/>
      <c r="Y312" s="122"/>
      <c r="Z312" s="122"/>
    </row>
    <row r="313" spans="1:26" ht="12.75" x14ac:dyDescent="0.2">
      <c r="A313" s="122"/>
      <c r="B313" s="180"/>
      <c r="C313" s="198" t="s">
        <v>207</v>
      </c>
      <c r="D313" s="182"/>
      <c r="E313" s="182"/>
      <c r="F313" s="193">
        <f>SUM(F306:F312)</f>
        <v>56.095952154254284</v>
      </c>
      <c r="G313" s="193">
        <f t="shared" ref="G313:O313" si="123">SUM(G306:G312)</f>
        <v>56.095952154254292</v>
      </c>
      <c r="H313" s="193">
        <f t="shared" si="123"/>
        <v>56.095952154254292</v>
      </c>
      <c r="I313" s="193">
        <f t="shared" si="123"/>
        <v>56.095952154254292</v>
      </c>
      <c r="J313" s="193">
        <f t="shared" si="123"/>
        <v>56.095952154254292</v>
      </c>
      <c r="K313" s="193">
        <f t="shared" si="123"/>
        <v>56.095952154254292</v>
      </c>
      <c r="L313" s="193">
        <f t="shared" si="123"/>
        <v>56.095952154254292</v>
      </c>
      <c r="M313" s="193">
        <f t="shared" si="123"/>
        <v>56.095952154254284</v>
      </c>
      <c r="N313" s="193">
        <f t="shared" si="123"/>
        <v>56.095952154254292</v>
      </c>
      <c r="O313" s="193">
        <f t="shared" si="123"/>
        <v>56.095952154254292</v>
      </c>
      <c r="P313" s="122"/>
      <c r="Q313" s="122"/>
      <c r="R313" s="122"/>
      <c r="S313" s="122"/>
      <c r="T313" s="122"/>
      <c r="U313" s="122"/>
      <c r="V313" s="122"/>
      <c r="W313" s="122"/>
      <c r="X313" s="122"/>
      <c r="Y313" s="122"/>
      <c r="Z313" s="122"/>
    </row>
    <row r="314" spans="1:26" ht="12.75" x14ac:dyDescent="0.2">
      <c r="A314" s="122"/>
      <c r="B314" s="180"/>
      <c r="C314" s="155"/>
      <c r="D314" s="180"/>
      <c r="E314" s="180"/>
      <c r="F314" s="180"/>
      <c r="G314" s="180"/>
      <c r="H314" s="180"/>
      <c r="I314" s="180"/>
      <c r="J314" s="180"/>
      <c r="K314" s="180"/>
      <c r="L314" s="180"/>
      <c r="M314" s="180"/>
      <c r="N314" s="180"/>
      <c r="O314" s="180"/>
      <c r="P314" s="122"/>
      <c r="Q314" s="122"/>
      <c r="R314" s="122"/>
      <c r="S314" s="122"/>
      <c r="T314" s="122"/>
      <c r="U314" s="122"/>
      <c r="V314" s="122"/>
      <c r="W314" s="122"/>
      <c r="X314" s="122"/>
      <c r="Y314" s="122"/>
      <c r="Z314" s="122"/>
    </row>
    <row r="315" spans="1:26" ht="12.75" x14ac:dyDescent="0.2">
      <c r="A315" s="122"/>
      <c r="B315" s="180"/>
      <c r="C315" s="188" t="s">
        <v>215</v>
      </c>
      <c r="D315" s="180"/>
      <c r="E315" s="180"/>
      <c r="F315" s="183"/>
      <c r="G315" s="183"/>
      <c r="H315" s="183"/>
      <c r="I315" s="183"/>
      <c r="J315" s="183"/>
      <c r="K315" s="183"/>
      <c r="L315" s="183"/>
      <c r="M315" s="183"/>
      <c r="N315" s="183"/>
      <c r="O315" s="183"/>
      <c r="P315" s="122"/>
      <c r="Q315" s="122"/>
      <c r="R315" s="122"/>
      <c r="S315" s="122"/>
      <c r="T315" s="122"/>
      <c r="U315" s="122"/>
      <c r="V315" s="122"/>
      <c r="W315" s="122"/>
      <c r="X315" s="122"/>
      <c r="Y315" s="122"/>
      <c r="Z315" s="122"/>
    </row>
    <row r="316" spans="1:26" ht="12.75" x14ac:dyDescent="0.2">
      <c r="A316" s="122"/>
      <c r="B316" s="180"/>
      <c r="C316" s="155" t="s">
        <v>110</v>
      </c>
      <c r="D316" s="180"/>
      <c r="E316" s="180"/>
      <c r="F316" s="125">
        <f t="shared" ref="F316:O317" si="124">F200/F$120</f>
        <v>6.21936</v>
      </c>
      <c r="G316" s="125">
        <f t="shared" si="124"/>
        <v>6.21936</v>
      </c>
      <c r="H316" s="125">
        <f t="shared" si="124"/>
        <v>6.21936</v>
      </c>
      <c r="I316" s="125">
        <f t="shared" si="124"/>
        <v>6.21936</v>
      </c>
      <c r="J316" s="125">
        <f t="shared" si="124"/>
        <v>6.21936</v>
      </c>
      <c r="K316" s="125">
        <f t="shared" si="124"/>
        <v>6.21936</v>
      </c>
      <c r="L316" s="125">
        <f t="shared" si="124"/>
        <v>6.2193599999999991</v>
      </c>
      <c r="M316" s="125">
        <f t="shared" si="124"/>
        <v>6.2193599999999991</v>
      </c>
      <c r="N316" s="125">
        <f t="shared" si="124"/>
        <v>6.2193599999999991</v>
      </c>
      <c r="O316" s="125">
        <f t="shared" si="124"/>
        <v>6.2193599999999991</v>
      </c>
      <c r="P316" s="122"/>
      <c r="Q316" s="122"/>
      <c r="R316" s="122"/>
      <c r="S316" s="122"/>
      <c r="T316" s="122"/>
      <c r="U316" s="122"/>
      <c r="V316" s="122"/>
      <c r="W316" s="122"/>
      <c r="X316" s="122"/>
      <c r="Y316" s="122"/>
      <c r="Z316" s="122"/>
    </row>
    <row r="317" spans="1:26" ht="12.75" x14ac:dyDescent="0.2">
      <c r="A317" s="122"/>
      <c r="B317" s="155"/>
      <c r="C317" s="184" t="s">
        <v>283</v>
      </c>
      <c r="D317" s="184"/>
      <c r="E317" s="184"/>
      <c r="F317" s="125">
        <f t="shared" si="124"/>
        <v>3.74369</v>
      </c>
      <c r="G317" s="125">
        <f t="shared" si="124"/>
        <v>3.74369</v>
      </c>
      <c r="H317" s="125">
        <f t="shared" si="124"/>
        <v>3.74369</v>
      </c>
      <c r="I317" s="125">
        <f t="shared" si="124"/>
        <v>3.7436899999999995</v>
      </c>
      <c r="J317" s="125">
        <f t="shared" si="124"/>
        <v>3.74369</v>
      </c>
      <c r="K317" s="125">
        <f t="shared" si="124"/>
        <v>3.74369</v>
      </c>
      <c r="L317" s="125">
        <f t="shared" si="124"/>
        <v>3.74369</v>
      </c>
      <c r="M317" s="125">
        <f t="shared" si="124"/>
        <v>3.74369</v>
      </c>
      <c r="N317" s="125">
        <f t="shared" si="124"/>
        <v>3.74369</v>
      </c>
      <c r="O317" s="125">
        <f t="shared" si="124"/>
        <v>3.74369</v>
      </c>
      <c r="P317" s="122"/>
      <c r="Q317" s="122"/>
      <c r="R317" s="122"/>
      <c r="S317" s="122"/>
      <c r="T317" s="122"/>
      <c r="U317" s="122"/>
      <c r="V317" s="122"/>
      <c r="W317" s="122"/>
      <c r="X317" s="122"/>
      <c r="Y317" s="122"/>
      <c r="Z317" s="122"/>
    </row>
    <row r="318" spans="1:26" ht="12.75" x14ac:dyDescent="0.2">
      <c r="A318" s="122"/>
      <c r="B318" s="180"/>
      <c r="C318" s="199" t="s">
        <v>216</v>
      </c>
      <c r="D318" s="182"/>
      <c r="E318" s="182"/>
      <c r="F318" s="127">
        <f>SUM(F316:F317)</f>
        <v>9.9630499999999991</v>
      </c>
      <c r="G318" s="127">
        <f t="shared" ref="G318:O318" si="125">SUM(G316:G317)</f>
        <v>9.9630499999999991</v>
      </c>
      <c r="H318" s="127">
        <f t="shared" si="125"/>
        <v>9.9630499999999991</v>
      </c>
      <c r="I318" s="127">
        <f t="shared" si="125"/>
        <v>9.9630499999999991</v>
      </c>
      <c r="J318" s="127">
        <f t="shared" si="125"/>
        <v>9.9630499999999991</v>
      </c>
      <c r="K318" s="127">
        <f t="shared" si="125"/>
        <v>9.9630499999999991</v>
      </c>
      <c r="L318" s="127">
        <f t="shared" si="125"/>
        <v>9.9630499999999991</v>
      </c>
      <c r="M318" s="127">
        <f t="shared" si="125"/>
        <v>9.9630499999999991</v>
      </c>
      <c r="N318" s="127">
        <f t="shared" si="125"/>
        <v>9.9630499999999991</v>
      </c>
      <c r="O318" s="127">
        <f t="shared" si="125"/>
        <v>9.9630499999999991</v>
      </c>
      <c r="P318" s="122"/>
      <c r="Q318" s="122"/>
      <c r="R318" s="122"/>
      <c r="S318" s="122"/>
      <c r="T318" s="122"/>
      <c r="U318" s="122"/>
      <c r="V318" s="122"/>
      <c r="W318" s="122"/>
      <c r="X318" s="122"/>
      <c r="Y318" s="122"/>
      <c r="Z318" s="122"/>
    </row>
    <row r="319" spans="1:26" ht="12.75" x14ac:dyDescent="0.2">
      <c r="A319" s="122"/>
      <c r="B319" s="180"/>
      <c r="C319" s="155"/>
      <c r="D319" s="180"/>
      <c r="E319" s="180"/>
      <c r="F319" s="183"/>
      <c r="G319" s="183"/>
      <c r="H319" s="183"/>
      <c r="I319" s="183"/>
      <c r="J319" s="183"/>
      <c r="K319" s="183"/>
      <c r="L319" s="183"/>
      <c r="M319" s="183"/>
      <c r="N319" s="183"/>
      <c r="O319" s="183"/>
      <c r="P319" s="122"/>
      <c r="Q319" s="122"/>
      <c r="R319" s="122"/>
      <c r="S319" s="122"/>
      <c r="T319" s="122"/>
      <c r="U319" s="122"/>
      <c r="V319" s="122"/>
      <c r="W319" s="122"/>
      <c r="X319" s="122"/>
      <c r="Y319" s="122"/>
      <c r="Z319" s="122"/>
    </row>
    <row r="320" spans="1:26" ht="12.75" x14ac:dyDescent="0.2">
      <c r="A320" s="122"/>
      <c r="B320" s="180"/>
      <c r="C320" s="188" t="s">
        <v>219</v>
      </c>
      <c r="D320" s="180"/>
      <c r="E320" s="180"/>
      <c r="F320" s="183"/>
      <c r="G320" s="183"/>
      <c r="H320" s="183"/>
      <c r="I320" s="183"/>
      <c r="J320" s="183"/>
      <c r="K320" s="183"/>
      <c r="L320" s="183"/>
      <c r="M320" s="183"/>
      <c r="N320" s="183"/>
      <c r="O320" s="183"/>
      <c r="P320" s="122"/>
      <c r="Q320" s="122"/>
      <c r="R320" s="122"/>
      <c r="S320" s="122"/>
      <c r="T320" s="122"/>
      <c r="U320" s="122"/>
      <c r="V320" s="122"/>
      <c r="W320" s="122"/>
      <c r="X320" s="122"/>
      <c r="Y320" s="122"/>
      <c r="Z320" s="122"/>
    </row>
    <row r="321" spans="1:26" ht="12.75" x14ac:dyDescent="0.2">
      <c r="A321" s="122"/>
      <c r="B321" s="180"/>
      <c r="C321" s="152" t="s">
        <v>92</v>
      </c>
      <c r="D321" s="180"/>
      <c r="E321" s="180"/>
      <c r="F321" s="125">
        <f t="shared" ref="F321:O326" si="126">F205/F$120</f>
        <v>3.2289777066455998</v>
      </c>
      <c r="G321" s="125">
        <f t="shared" si="126"/>
        <v>3.2289777066455998</v>
      </c>
      <c r="H321" s="125">
        <f t="shared" si="126"/>
        <v>3.2289777066455998</v>
      </c>
      <c r="I321" s="125">
        <f t="shared" si="126"/>
        <v>3.2289777066455998</v>
      </c>
      <c r="J321" s="125">
        <f t="shared" si="126"/>
        <v>3.2289777066455998</v>
      </c>
      <c r="K321" s="125">
        <f t="shared" si="126"/>
        <v>3.2289777066455998</v>
      </c>
      <c r="L321" s="125">
        <f t="shared" si="126"/>
        <v>3.2289777066455998</v>
      </c>
      <c r="M321" s="125">
        <f t="shared" si="126"/>
        <v>3.2289777066455998</v>
      </c>
      <c r="N321" s="125">
        <f t="shared" si="126"/>
        <v>3.2289777066455998</v>
      </c>
      <c r="O321" s="125">
        <f t="shared" si="126"/>
        <v>3.2289777066455998</v>
      </c>
      <c r="P321" s="122"/>
      <c r="Q321" s="122"/>
      <c r="R321" s="122"/>
      <c r="S321" s="122"/>
      <c r="T321" s="122"/>
      <c r="U321" s="122"/>
      <c r="V321" s="122"/>
      <c r="W321" s="122"/>
      <c r="X321" s="122"/>
      <c r="Y321" s="122"/>
      <c r="Z321" s="122"/>
    </row>
    <row r="322" spans="1:26" ht="12.75" x14ac:dyDescent="0.2">
      <c r="A322" s="122"/>
      <c r="B322" s="180"/>
      <c r="C322" s="152" t="s">
        <v>96</v>
      </c>
      <c r="D322" s="180"/>
      <c r="E322" s="180"/>
      <c r="F322" s="125">
        <f t="shared" si="126"/>
        <v>3.15</v>
      </c>
      <c r="G322" s="125">
        <f t="shared" si="126"/>
        <v>3.15</v>
      </c>
      <c r="H322" s="125">
        <f t="shared" si="126"/>
        <v>3.15</v>
      </c>
      <c r="I322" s="125">
        <f t="shared" si="126"/>
        <v>3.15</v>
      </c>
      <c r="J322" s="125">
        <f t="shared" si="126"/>
        <v>3.15</v>
      </c>
      <c r="K322" s="125">
        <f t="shared" si="126"/>
        <v>3.1500000000000004</v>
      </c>
      <c r="L322" s="125">
        <f t="shared" si="126"/>
        <v>3.1500000000000004</v>
      </c>
      <c r="M322" s="125">
        <f t="shared" si="126"/>
        <v>3.15</v>
      </c>
      <c r="N322" s="125">
        <f t="shared" si="126"/>
        <v>3.15</v>
      </c>
      <c r="O322" s="125">
        <f t="shared" si="126"/>
        <v>3.15</v>
      </c>
      <c r="P322" s="122"/>
      <c r="Q322" s="122"/>
      <c r="R322" s="122"/>
      <c r="S322" s="122"/>
      <c r="T322" s="122"/>
      <c r="U322" s="122"/>
      <c r="V322" s="122"/>
      <c r="W322" s="122"/>
      <c r="X322" s="122"/>
      <c r="Y322" s="122"/>
      <c r="Z322" s="122"/>
    </row>
    <row r="323" spans="1:26" ht="12.75" x14ac:dyDescent="0.2">
      <c r="A323" s="122"/>
      <c r="B323" s="180"/>
      <c r="C323" s="152" t="s">
        <v>99</v>
      </c>
      <c r="D323" s="180"/>
      <c r="E323" s="180"/>
      <c r="F323" s="125">
        <f t="shared" si="126"/>
        <v>3.1452969702599995</v>
      </c>
      <c r="G323" s="125">
        <f t="shared" si="126"/>
        <v>3.1452969702599991</v>
      </c>
      <c r="H323" s="125">
        <f t="shared" si="126"/>
        <v>3.1452969702599995</v>
      </c>
      <c r="I323" s="125">
        <f t="shared" si="126"/>
        <v>3.1452969702599995</v>
      </c>
      <c r="J323" s="125">
        <f t="shared" si="126"/>
        <v>3.1452969702599995</v>
      </c>
      <c r="K323" s="125">
        <f t="shared" si="126"/>
        <v>3.14529697026</v>
      </c>
      <c r="L323" s="125">
        <f t="shared" si="126"/>
        <v>3.1452969702599995</v>
      </c>
      <c r="M323" s="125">
        <f t="shared" si="126"/>
        <v>3.14529697026</v>
      </c>
      <c r="N323" s="125">
        <f t="shared" si="126"/>
        <v>3.1452969702599995</v>
      </c>
      <c r="O323" s="125">
        <f t="shared" si="126"/>
        <v>3.1452969702599991</v>
      </c>
      <c r="P323" s="122"/>
      <c r="Q323" s="122"/>
      <c r="R323" s="122"/>
      <c r="S323" s="122"/>
      <c r="T323" s="122"/>
      <c r="U323" s="122"/>
      <c r="V323" s="122"/>
      <c r="W323" s="122"/>
      <c r="X323" s="122"/>
      <c r="Y323" s="122"/>
      <c r="Z323" s="122"/>
    </row>
    <row r="324" spans="1:26" ht="12.75" x14ac:dyDescent="0.2">
      <c r="A324" s="122"/>
      <c r="B324" s="180"/>
      <c r="C324" s="152" t="s">
        <v>102</v>
      </c>
      <c r="D324" s="180"/>
      <c r="E324" s="180"/>
      <c r="F324" s="125">
        <f t="shared" si="126"/>
        <v>9.3082792571999988</v>
      </c>
      <c r="G324" s="125">
        <f t="shared" si="126"/>
        <v>9.308279257199997</v>
      </c>
      <c r="H324" s="125">
        <f t="shared" si="126"/>
        <v>9.3082792571999988</v>
      </c>
      <c r="I324" s="125">
        <f t="shared" si="126"/>
        <v>9.3082792571999988</v>
      </c>
      <c r="J324" s="125">
        <f t="shared" si="126"/>
        <v>9.3082792571999988</v>
      </c>
      <c r="K324" s="125">
        <f t="shared" si="126"/>
        <v>9.308279257199997</v>
      </c>
      <c r="L324" s="125">
        <f t="shared" si="126"/>
        <v>9.3082792571999988</v>
      </c>
      <c r="M324" s="125">
        <f t="shared" si="126"/>
        <v>9.3082792572000006</v>
      </c>
      <c r="N324" s="125">
        <f t="shared" si="126"/>
        <v>9.3082792572000006</v>
      </c>
      <c r="O324" s="125">
        <f t="shared" si="126"/>
        <v>9.308279257199997</v>
      </c>
      <c r="P324" s="122"/>
      <c r="Q324" s="122"/>
      <c r="R324" s="122"/>
      <c r="S324" s="122"/>
      <c r="T324" s="122"/>
      <c r="U324" s="122"/>
      <c r="V324" s="122"/>
      <c r="W324" s="122"/>
      <c r="X324" s="122"/>
      <c r="Y324" s="122"/>
      <c r="Z324" s="122"/>
    </row>
    <row r="325" spans="1:26" ht="12.75" x14ac:dyDescent="0.2">
      <c r="A325" s="122"/>
      <c r="B325" s="180"/>
      <c r="C325" s="152" t="s">
        <v>105</v>
      </c>
      <c r="D325" s="180"/>
      <c r="E325" s="180"/>
      <c r="F325" s="125">
        <f t="shared" si="126"/>
        <v>0.51393176470588231</v>
      </c>
      <c r="G325" s="125">
        <f t="shared" si="126"/>
        <v>0.51393176470588231</v>
      </c>
      <c r="H325" s="125">
        <f t="shared" si="126"/>
        <v>0.51393176470588231</v>
      </c>
      <c r="I325" s="125">
        <f t="shared" si="126"/>
        <v>0.51393176470588231</v>
      </c>
      <c r="J325" s="125">
        <f t="shared" si="126"/>
        <v>0.51393176470588231</v>
      </c>
      <c r="K325" s="125">
        <f t="shared" si="126"/>
        <v>0.51393176470588231</v>
      </c>
      <c r="L325" s="125">
        <f t="shared" si="126"/>
        <v>0.51393176470588231</v>
      </c>
      <c r="M325" s="125">
        <f t="shared" si="126"/>
        <v>0.51393176470588242</v>
      </c>
      <c r="N325" s="125">
        <f t="shared" si="126"/>
        <v>0.51393176470588242</v>
      </c>
      <c r="O325" s="125">
        <f t="shared" si="126"/>
        <v>0.51393176470588231</v>
      </c>
      <c r="P325" s="122"/>
      <c r="Q325" s="122"/>
      <c r="R325" s="122"/>
      <c r="S325" s="122"/>
      <c r="T325" s="122"/>
      <c r="U325" s="122"/>
      <c r="V325" s="122"/>
      <c r="W325" s="122"/>
      <c r="X325" s="122"/>
      <c r="Y325" s="122"/>
      <c r="Z325" s="122"/>
    </row>
    <row r="326" spans="1:26" ht="12.75" x14ac:dyDescent="0.2">
      <c r="A326" s="122"/>
      <c r="B326" s="180"/>
      <c r="C326" s="152" t="s">
        <v>108</v>
      </c>
      <c r="D326" s="180"/>
      <c r="E326" s="180"/>
      <c r="F326" s="125">
        <f t="shared" si="126"/>
        <v>1.7</v>
      </c>
      <c r="G326" s="125">
        <f t="shared" si="126"/>
        <v>1.7</v>
      </c>
      <c r="H326" s="125">
        <f t="shared" si="126"/>
        <v>1.8</v>
      </c>
      <c r="I326" s="125">
        <f t="shared" si="126"/>
        <v>1.9</v>
      </c>
      <c r="J326" s="125">
        <f t="shared" si="126"/>
        <v>1.9000000000000001</v>
      </c>
      <c r="K326" s="125">
        <f t="shared" si="126"/>
        <v>2</v>
      </c>
      <c r="L326" s="125">
        <f t="shared" si="126"/>
        <v>2.1</v>
      </c>
      <c r="M326" s="125">
        <f t="shared" si="126"/>
        <v>2.2000000000000002</v>
      </c>
      <c r="N326" s="125">
        <f t="shared" si="126"/>
        <v>2.2000000000000002</v>
      </c>
      <c r="O326" s="125">
        <f t="shared" si="126"/>
        <v>2.2999999999999998</v>
      </c>
      <c r="P326" s="122"/>
      <c r="Q326" s="122"/>
      <c r="R326" s="122"/>
      <c r="S326" s="122"/>
      <c r="T326" s="122"/>
      <c r="U326" s="122"/>
      <c r="V326" s="122"/>
      <c r="W326" s="122"/>
      <c r="X326" s="122"/>
      <c r="Y326" s="122"/>
      <c r="Z326" s="122"/>
    </row>
    <row r="327" spans="1:26" ht="12.75" x14ac:dyDescent="0.2">
      <c r="A327" s="122"/>
      <c r="B327" s="155"/>
      <c r="C327" s="198" t="s">
        <v>217</v>
      </c>
      <c r="D327" s="198"/>
      <c r="E327" s="198"/>
      <c r="F327" s="200">
        <f t="shared" ref="F327:O327" si="127">SUM(F321:F326)</f>
        <v>21.04648569881148</v>
      </c>
      <c r="G327" s="200">
        <f t="shared" si="127"/>
        <v>21.04648569881148</v>
      </c>
      <c r="H327" s="200">
        <f t="shared" si="127"/>
        <v>21.146485698811482</v>
      </c>
      <c r="I327" s="200">
        <f t="shared" si="127"/>
        <v>21.24648569881148</v>
      </c>
      <c r="J327" s="200">
        <f t="shared" si="127"/>
        <v>21.24648569881148</v>
      </c>
      <c r="K327" s="200">
        <f t="shared" si="127"/>
        <v>21.346485698811481</v>
      </c>
      <c r="L327" s="200">
        <f t="shared" si="127"/>
        <v>21.446485698811482</v>
      </c>
      <c r="M327" s="200">
        <f t="shared" si="127"/>
        <v>21.546485698811484</v>
      </c>
      <c r="N327" s="200">
        <f t="shared" si="127"/>
        <v>21.54648569881148</v>
      </c>
      <c r="O327" s="200">
        <f t="shared" si="127"/>
        <v>21.646485698811482</v>
      </c>
      <c r="P327" s="122"/>
      <c r="Q327" s="122"/>
      <c r="R327" s="122"/>
      <c r="S327" s="122"/>
      <c r="T327" s="122"/>
      <c r="U327" s="122"/>
      <c r="V327" s="122"/>
      <c r="W327" s="122"/>
      <c r="X327" s="122"/>
      <c r="Y327" s="122"/>
      <c r="Z327" s="122"/>
    </row>
    <row r="328" spans="1:26" ht="12.75" x14ac:dyDescent="0.2">
      <c r="A328" s="122"/>
      <c r="B328" s="155"/>
      <c r="C328" s="155"/>
      <c r="D328" s="155"/>
      <c r="E328" s="155"/>
      <c r="F328" s="155"/>
      <c r="G328" s="155"/>
      <c r="H328" s="155"/>
      <c r="I328" s="155"/>
      <c r="J328" s="155"/>
      <c r="K328" s="155"/>
      <c r="L328" s="155"/>
      <c r="M328" s="155"/>
      <c r="N328" s="155"/>
      <c r="O328" s="155"/>
      <c r="P328" s="122"/>
      <c r="Q328" s="122"/>
      <c r="R328" s="122"/>
      <c r="S328" s="122"/>
      <c r="T328" s="122"/>
      <c r="U328" s="122"/>
      <c r="V328" s="122"/>
      <c r="W328" s="122"/>
      <c r="X328" s="122"/>
      <c r="Y328" s="122"/>
      <c r="Z328" s="122"/>
    </row>
    <row r="329" spans="1:26" ht="12.75" x14ac:dyDescent="0.2">
      <c r="A329" s="122"/>
      <c r="B329" s="155"/>
      <c r="C329" s="155" t="s">
        <v>287</v>
      </c>
      <c r="D329" s="155"/>
      <c r="E329" s="155"/>
      <c r="F329" s="155"/>
      <c r="G329" s="155"/>
      <c r="H329" s="155"/>
      <c r="I329" s="155"/>
      <c r="J329" s="155"/>
      <c r="K329" s="155"/>
      <c r="L329" s="155"/>
      <c r="M329" s="155"/>
      <c r="N329" s="155"/>
      <c r="O329" s="155"/>
      <c r="P329" s="122"/>
      <c r="Q329" s="122"/>
      <c r="R329" s="122"/>
      <c r="S329" s="122"/>
      <c r="T329" s="122"/>
      <c r="U329" s="122"/>
      <c r="V329" s="122"/>
      <c r="W329" s="122"/>
      <c r="X329" s="122"/>
      <c r="Y329" s="122"/>
      <c r="Z329" s="122"/>
    </row>
    <row r="330" spans="1:26" ht="12.75" x14ac:dyDescent="0.2">
      <c r="A330" s="122"/>
      <c r="B330" s="155"/>
      <c r="C330" s="155" t="s">
        <v>375</v>
      </c>
      <c r="D330" s="155"/>
      <c r="E330" s="155"/>
      <c r="F330" s="125">
        <f t="shared" ref="F330:O331" si="128">F214/F$120</f>
        <v>2.1501421963636362</v>
      </c>
      <c r="G330" s="233">
        <f t="shared" si="128"/>
        <v>2.2366631909236365</v>
      </c>
      <c r="H330" s="233">
        <f t="shared" si="128"/>
        <v>2.325433731342196</v>
      </c>
      <c r="I330" s="233">
        <f t="shared" si="128"/>
        <v>2.4165123058116391</v>
      </c>
      <c r="J330" s="233">
        <f t="shared" si="128"/>
        <v>2.5099589232172876</v>
      </c>
      <c r="K330" s="233">
        <f t="shared" si="128"/>
        <v>2.6058351526754824</v>
      </c>
      <c r="L330" s="233">
        <f t="shared" si="128"/>
        <v>2.7042041640995902</v>
      </c>
      <c r="M330" s="233">
        <f t="shared" si="128"/>
        <v>2.805130769820726</v>
      </c>
      <c r="N330" s="233">
        <f t="shared" si="128"/>
        <v>2.9086814672906103</v>
      </c>
      <c r="O330" s="233">
        <f t="shared" si="128"/>
        <v>3.014924482894711</v>
      </c>
      <c r="P330" s="122"/>
      <c r="Q330" s="122"/>
      <c r="R330" s="122"/>
      <c r="S330" s="122"/>
      <c r="T330" s="122"/>
      <c r="U330" s="122"/>
      <c r="V330" s="122"/>
      <c r="W330" s="122"/>
      <c r="X330" s="122"/>
      <c r="Y330" s="122"/>
      <c r="Z330" s="122"/>
    </row>
    <row r="331" spans="1:26" ht="12.75" x14ac:dyDescent="0.2">
      <c r="A331" s="122"/>
      <c r="B331" s="155"/>
      <c r="C331" s="184" t="s">
        <v>284</v>
      </c>
      <c r="D331" s="184"/>
      <c r="E331" s="184"/>
      <c r="F331" s="234">
        <f t="shared" si="128"/>
        <v>1.0842400800000001</v>
      </c>
      <c r="G331" s="234">
        <f t="shared" si="128"/>
        <v>1.11243032208</v>
      </c>
      <c r="H331" s="234">
        <f t="shared" si="128"/>
        <v>1.14135351045408</v>
      </c>
      <c r="I331" s="234">
        <f t="shared" si="128"/>
        <v>1.1710287017258862</v>
      </c>
      <c r="J331" s="234">
        <f t="shared" si="128"/>
        <v>1.2014754479707592</v>
      </c>
      <c r="K331" s="234">
        <f t="shared" si="128"/>
        <v>1.232713809617999</v>
      </c>
      <c r="L331" s="234">
        <f t="shared" si="128"/>
        <v>1.2647643686680672</v>
      </c>
      <c r="M331" s="234">
        <f t="shared" si="128"/>
        <v>1.2976482422534372</v>
      </c>
      <c r="N331" s="234">
        <f t="shared" si="128"/>
        <v>1.3313870965520265</v>
      </c>
      <c r="O331" s="234">
        <f t="shared" si="128"/>
        <v>1.3660031610623793</v>
      </c>
      <c r="P331" s="122"/>
      <c r="Q331" s="122"/>
      <c r="R331" s="122"/>
      <c r="S331" s="122"/>
      <c r="T331" s="122"/>
      <c r="U331" s="122"/>
      <c r="V331" s="122"/>
      <c r="W331" s="122"/>
      <c r="X331" s="122"/>
      <c r="Y331" s="122"/>
      <c r="Z331" s="122"/>
    </row>
    <row r="332" spans="1:26" ht="12.75" x14ac:dyDescent="0.2">
      <c r="A332" s="122"/>
      <c r="B332" s="155"/>
      <c r="C332" s="155" t="s">
        <v>289</v>
      </c>
      <c r="D332" s="155"/>
      <c r="E332" s="155"/>
      <c r="F332" s="190">
        <f t="shared" ref="F332:O332" si="129">SUM(F330:F331)</f>
        <v>3.2343822763636361</v>
      </c>
      <c r="G332" s="190">
        <f t="shared" si="129"/>
        <v>3.3490935130036368</v>
      </c>
      <c r="H332" s="190">
        <f t="shared" si="129"/>
        <v>3.466787241796276</v>
      </c>
      <c r="I332" s="190">
        <f t="shared" si="129"/>
        <v>3.5875410075375251</v>
      </c>
      <c r="J332" s="190">
        <f t="shared" si="129"/>
        <v>3.7114343711880471</v>
      </c>
      <c r="K332" s="190">
        <f t="shared" si="129"/>
        <v>3.8385489622934816</v>
      </c>
      <c r="L332" s="190">
        <f t="shared" si="129"/>
        <v>3.9689685327676574</v>
      </c>
      <c r="M332" s="190">
        <f t="shared" si="129"/>
        <v>4.102779012074163</v>
      </c>
      <c r="N332" s="190">
        <f t="shared" si="129"/>
        <v>4.2400685638426365</v>
      </c>
      <c r="O332" s="190">
        <f t="shared" si="129"/>
        <v>4.3809276439570901</v>
      </c>
      <c r="P332" s="122"/>
      <c r="Q332" s="122"/>
      <c r="R332" s="122"/>
      <c r="S332" s="122"/>
      <c r="T332" s="122"/>
      <c r="U332" s="122"/>
      <c r="V332" s="122"/>
      <c r="W332" s="122"/>
      <c r="X332" s="122"/>
      <c r="Y332" s="122"/>
      <c r="Z332" s="122"/>
    </row>
    <row r="333" spans="1:26" ht="12.75" x14ac:dyDescent="0.2">
      <c r="A333" s="122"/>
      <c r="B333" s="155"/>
      <c r="C333" s="155"/>
      <c r="D333" s="155"/>
      <c r="E333" s="155"/>
      <c r="F333" s="155"/>
      <c r="G333" s="155"/>
      <c r="H333" s="155"/>
      <c r="I333" s="155"/>
      <c r="J333" s="155"/>
      <c r="K333" s="155"/>
      <c r="L333" s="155"/>
      <c r="M333" s="155"/>
      <c r="N333" s="155"/>
      <c r="O333" s="155"/>
      <c r="P333" s="122"/>
      <c r="Q333" s="122"/>
      <c r="R333" s="122"/>
      <c r="S333" s="122"/>
      <c r="T333" s="122"/>
      <c r="U333" s="122"/>
      <c r="V333" s="122"/>
      <c r="W333" s="122"/>
      <c r="X333" s="122"/>
      <c r="Y333" s="122"/>
      <c r="Z333" s="122"/>
    </row>
    <row r="334" spans="1:26" ht="12.75" x14ac:dyDescent="0.2">
      <c r="A334" s="122"/>
      <c r="B334" s="155"/>
      <c r="C334" s="203" t="s">
        <v>236</v>
      </c>
      <c r="D334" s="203"/>
      <c r="E334" s="203"/>
      <c r="F334" s="204">
        <f>F303+F313+F318+F327+F332</f>
        <v>90.3398701294294</v>
      </c>
      <c r="G334" s="204">
        <f t="shared" ref="G334:O334" si="130">G303+G313+G318+G327+G332</f>
        <v>90.454581366069405</v>
      </c>
      <c r="H334" s="204">
        <f>H303+H313+H318+H327+H332</f>
        <v>90.672275094862044</v>
      </c>
      <c r="I334" s="204">
        <f t="shared" si="130"/>
        <v>90.893028860603295</v>
      </c>
      <c r="J334" s="204">
        <f t="shared" si="130"/>
        <v>91.016922224253818</v>
      </c>
      <c r="K334" s="204">
        <f t="shared" si="130"/>
        <v>91.244036815359252</v>
      </c>
      <c r="L334" s="204">
        <f t="shared" si="130"/>
        <v>91.474456385833435</v>
      </c>
      <c r="M334" s="204">
        <f t="shared" si="130"/>
        <v>91.708266865139933</v>
      </c>
      <c r="N334" s="204">
        <f t="shared" si="130"/>
        <v>91.845556416908408</v>
      </c>
      <c r="O334" s="204">
        <f t="shared" si="130"/>
        <v>92.086415497022855</v>
      </c>
      <c r="P334" s="122"/>
      <c r="Q334" s="122"/>
      <c r="R334" s="122"/>
      <c r="S334" s="122"/>
      <c r="T334" s="122"/>
      <c r="U334" s="122"/>
      <c r="V334" s="122"/>
      <c r="W334" s="122"/>
      <c r="X334" s="122"/>
      <c r="Y334" s="122"/>
      <c r="Z334" s="122"/>
    </row>
    <row r="335" spans="1:26" ht="12.75" x14ac:dyDescent="0.2">
      <c r="A335" s="122"/>
      <c r="B335" s="155"/>
      <c r="C335" s="155"/>
      <c r="D335" s="155"/>
      <c r="E335" s="155"/>
      <c r="F335" s="155"/>
      <c r="G335" s="155"/>
      <c r="H335" s="155"/>
      <c r="I335" s="155"/>
      <c r="J335" s="155"/>
      <c r="K335" s="155"/>
      <c r="L335" s="155"/>
      <c r="M335" s="155"/>
      <c r="N335" s="155"/>
      <c r="O335" s="155"/>
      <c r="P335" s="122"/>
      <c r="Q335" s="122"/>
      <c r="R335" s="122"/>
      <c r="S335" s="122"/>
      <c r="T335" s="122"/>
      <c r="U335" s="122"/>
      <c r="V335" s="122"/>
      <c r="W335" s="122"/>
      <c r="X335" s="122"/>
      <c r="Y335" s="122"/>
      <c r="Z335" s="122"/>
    </row>
    <row r="336" spans="1:26" ht="12.75" x14ac:dyDescent="0.2">
      <c r="A336" s="122"/>
      <c r="C336" s="206" t="s">
        <v>238</v>
      </c>
      <c r="D336" s="203"/>
      <c r="E336" s="203"/>
      <c r="F336" s="208">
        <f>F298-F334</f>
        <v>-10.245078116085296</v>
      </c>
      <c r="G336" s="208">
        <f t="shared" ref="G336:O336" si="131">G298-G334</f>
        <v>-8.2773247603783631</v>
      </c>
      <c r="H336" s="208">
        <f t="shared" si="131"/>
        <v>-6.3584098174230377</v>
      </c>
      <c r="I336" s="208">
        <f t="shared" si="131"/>
        <v>-4.3870030859508518</v>
      </c>
      <c r="J336" s="208">
        <f t="shared" si="131"/>
        <v>-2.2617397794603988</v>
      </c>
      <c r="K336" s="208">
        <f t="shared" si="131"/>
        <v>-0.1812196270012123</v>
      </c>
      <c r="L336" s="208">
        <f t="shared" si="131"/>
        <v>1.9559940494219461</v>
      </c>
      <c r="M336" s="208">
        <f t="shared" si="131"/>
        <v>4.151375281432081</v>
      </c>
      <c r="N336" s="208">
        <f t="shared" si="131"/>
        <v>6.5064364254744618</v>
      </c>
      <c r="O336" s="208">
        <f t="shared" si="131"/>
        <v>8.8227291592619821</v>
      </c>
      <c r="P336" s="122"/>
      <c r="Q336" s="122"/>
      <c r="R336" s="122"/>
      <c r="S336" s="122"/>
      <c r="T336" s="122"/>
      <c r="U336" s="122"/>
      <c r="V336" s="122"/>
      <c r="W336" s="122"/>
      <c r="X336" s="122"/>
      <c r="Y336" s="122"/>
      <c r="Z336" s="122"/>
    </row>
    <row r="337" spans="1:26" ht="12.75" x14ac:dyDescent="0.2">
      <c r="A337" s="122"/>
      <c r="B337" s="122"/>
      <c r="C337" s="173"/>
      <c r="D337" s="122"/>
      <c r="E337" s="122"/>
      <c r="F337" s="882"/>
      <c r="G337" s="122"/>
      <c r="H337" s="122"/>
      <c r="I337" s="122"/>
      <c r="J337" s="122"/>
      <c r="K337" s="122"/>
      <c r="L337" s="122"/>
      <c r="M337" s="122"/>
      <c r="N337" s="122"/>
      <c r="O337" s="122"/>
      <c r="P337" s="122"/>
      <c r="Q337" s="122"/>
      <c r="R337" s="122"/>
      <c r="S337" s="122"/>
      <c r="T337" s="122"/>
      <c r="U337" s="122"/>
      <c r="V337" s="122"/>
      <c r="W337" s="122"/>
      <c r="X337" s="122"/>
      <c r="Y337" s="122"/>
      <c r="Z337" s="122"/>
    </row>
    <row r="338" spans="1:26" ht="12.75" x14ac:dyDescent="0.2">
      <c r="A338" s="122"/>
      <c r="B338" s="179" t="s">
        <v>237</v>
      </c>
      <c r="C338" s="155"/>
      <c r="D338" s="180"/>
      <c r="E338" s="180"/>
      <c r="F338" s="183"/>
      <c r="G338" s="180"/>
      <c r="H338" s="180"/>
      <c r="I338" s="180"/>
      <c r="J338" s="180"/>
      <c r="K338" s="180"/>
      <c r="L338" s="180"/>
      <c r="M338" s="180"/>
      <c r="N338" s="180"/>
      <c r="O338" s="180"/>
      <c r="P338" s="122"/>
      <c r="Q338" s="122"/>
      <c r="R338" s="122"/>
      <c r="S338" s="122"/>
      <c r="T338" s="122"/>
      <c r="U338" s="122"/>
      <c r="V338" s="122"/>
      <c r="W338" s="122"/>
      <c r="X338" s="122"/>
      <c r="Y338" s="122"/>
      <c r="Z338" s="122"/>
    </row>
    <row r="339" spans="1:26" ht="12.75" x14ac:dyDescent="0.2">
      <c r="A339" s="122"/>
      <c r="C339" s="232" t="s">
        <v>222</v>
      </c>
      <c r="D339" s="180"/>
      <c r="E339" s="180"/>
      <c r="F339" s="180"/>
      <c r="G339" s="180"/>
      <c r="H339" s="180"/>
      <c r="I339" s="180"/>
      <c r="J339" s="180"/>
      <c r="K339" s="180"/>
      <c r="L339" s="180"/>
      <c r="M339" s="180"/>
      <c r="N339" s="180"/>
      <c r="O339" s="180"/>
      <c r="P339" s="122"/>
      <c r="Q339" s="122"/>
      <c r="R339" s="122"/>
      <c r="S339" s="122"/>
      <c r="T339" s="122"/>
      <c r="U339" s="122"/>
      <c r="V339" s="122"/>
      <c r="W339" s="122"/>
      <c r="X339" s="122"/>
      <c r="Y339" s="122"/>
      <c r="Z339" s="122"/>
    </row>
    <row r="340" spans="1:26" ht="12.75" x14ac:dyDescent="0.2">
      <c r="A340" s="122"/>
      <c r="B340" s="180"/>
      <c r="C340" s="152" t="s">
        <v>384</v>
      </c>
      <c r="D340" s="180"/>
      <c r="E340" s="180"/>
      <c r="F340" s="125">
        <f t="shared" ref="F340:O341" si="132">F174/F$120</f>
        <v>201.81110666534997</v>
      </c>
      <c r="G340" s="125">
        <f t="shared" si="132"/>
        <v>209.88355093196395</v>
      </c>
      <c r="H340" s="125">
        <f t="shared" si="132"/>
        <v>218.27889296924255</v>
      </c>
      <c r="I340" s="125">
        <f t="shared" si="132"/>
        <v>227.0100486880122</v>
      </c>
      <c r="J340" s="125">
        <f t="shared" si="132"/>
        <v>236.09045063553273</v>
      </c>
      <c r="K340" s="125">
        <f t="shared" si="132"/>
        <v>245.53406866095406</v>
      </c>
      <c r="L340" s="125">
        <f t="shared" si="132"/>
        <v>255.35543140739225</v>
      </c>
      <c r="M340" s="125">
        <f t="shared" si="132"/>
        <v>265.56964866368799</v>
      </c>
      <c r="N340" s="125">
        <f t="shared" si="132"/>
        <v>276.19243461023552</v>
      </c>
      <c r="O340" s="125">
        <f t="shared" si="132"/>
        <v>287.24013199464497</v>
      </c>
      <c r="P340" s="122"/>
      <c r="Q340" s="122"/>
      <c r="R340" s="122"/>
      <c r="S340" s="122"/>
      <c r="T340" s="122"/>
      <c r="U340" s="122"/>
      <c r="V340" s="122"/>
      <c r="W340" s="122"/>
      <c r="X340" s="122"/>
      <c r="Y340" s="122"/>
      <c r="Z340" s="122"/>
    </row>
    <row r="341" spans="1:26" ht="12.75" x14ac:dyDescent="0.2">
      <c r="A341" s="122"/>
      <c r="B341" s="180"/>
      <c r="C341" s="152" t="s">
        <v>231</v>
      </c>
      <c r="D341" s="180"/>
      <c r="E341" s="180"/>
      <c r="F341" s="125">
        <f t="shared" si="132"/>
        <v>19.777488453204299</v>
      </c>
      <c r="G341" s="125">
        <f t="shared" si="132"/>
        <v>20.568587991332471</v>
      </c>
      <c r="H341" s="125">
        <f t="shared" si="132"/>
        <v>21.391331510985772</v>
      </c>
      <c r="I341" s="125">
        <f t="shared" si="132"/>
        <v>22.2469847714252</v>
      </c>
      <c r="J341" s="125">
        <f t="shared" si="132"/>
        <v>23.136864162282215</v>
      </c>
      <c r="K341" s="125">
        <f t="shared" si="132"/>
        <v>24.062338728773504</v>
      </c>
      <c r="L341" s="125">
        <f t="shared" si="132"/>
        <v>25.024832277924439</v>
      </c>
      <c r="M341" s="125">
        <f t="shared" si="132"/>
        <v>26.025825569041423</v>
      </c>
      <c r="N341" s="125">
        <f t="shared" si="132"/>
        <v>27.066858591803079</v>
      </c>
      <c r="O341" s="125">
        <f t="shared" si="132"/>
        <v>28.149532935475207</v>
      </c>
      <c r="P341" s="122"/>
      <c r="Q341" s="122"/>
      <c r="R341" s="122"/>
      <c r="S341" s="122"/>
      <c r="T341" s="122"/>
      <c r="U341" s="122"/>
      <c r="V341" s="122"/>
      <c r="W341" s="122"/>
      <c r="X341" s="122"/>
      <c r="Y341" s="122"/>
      <c r="Z341" s="122"/>
    </row>
    <row r="342" spans="1:26" ht="12.75" x14ac:dyDescent="0.2">
      <c r="A342" s="122"/>
      <c r="B342" s="180"/>
      <c r="C342" s="198" t="s">
        <v>389</v>
      </c>
      <c r="D342" s="182"/>
      <c r="E342" s="182"/>
      <c r="F342" s="193">
        <f>F340-F341</f>
        <v>182.03361821214565</v>
      </c>
      <c r="G342" s="193">
        <f t="shared" ref="G342:O342" si="133">G340-G341</f>
        <v>189.31496294063149</v>
      </c>
      <c r="H342" s="193">
        <f t="shared" si="133"/>
        <v>196.88756145825678</v>
      </c>
      <c r="I342" s="193">
        <f t="shared" si="133"/>
        <v>204.76306391658702</v>
      </c>
      <c r="J342" s="193">
        <f t="shared" si="133"/>
        <v>212.95358647325051</v>
      </c>
      <c r="K342" s="193">
        <f t="shared" si="133"/>
        <v>221.47172993218055</v>
      </c>
      <c r="L342" s="193">
        <f t="shared" si="133"/>
        <v>230.3305991294678</v>
      </c>
      <c r="M342" s="193">
        <f t="shared" si="133"/>
        <v>239.54382309464657</v>
      </c>
      <c r="N342" s="193">
        <f t="shared" si="133"/>
        <v>249.12557601843244</v>
      </c>
      <c r="O342" s="193">
        <f t="shared" si="133"/>
        <v>259.09059905916979</v>
      </c>
      <c r="P342" s="122"/>
      <c r="Q342" s="122"/>
      <c r="R342" s="122"/>
      <c r="S342" s="122"/>
      <c r="T342" s="122"/>
      <c r="U342" s="122"/>
      <c r="V342" s="122"/>
      <c r="W342" s="122"/>
      <c r="X342" s="122"/>
      <c r="Y342" s="122"/>
      <c r="Z342" s="122"/>
    </row>
    <row r="343" spans="1:26" ht="12.75" x14ac:dyDescent="0.2">
      <c r="A343" s="122"/>
      <c r="B343" s="180"/>
      <c r="C343" s="152"/>
      <c r="D343" s="180"/>
      <c r="E343" s="180"/>
      <c r="F343" s="194"/>
      <c r="G343" s="194"/>
      <c r="H343" s="194"/>
      <c r="I343" s="194"/>
      <c r="J343" s="194"/>
      <c r="K343" s="194"/>
      <c r="L343" s="194"/>
      <c r="M343" s="194"/>
      <c r="N343" s="194"/>
      <c r="O343" s="194"/>
      <c r="P343" s="122"/>
      <c r="Q343" s="122"/>
      <c r="R343" s="122"/>
      <c r="S343" s="122"/>
      <c r="T343" s="122"/>
      <c r="U343" s="122"/>
      <c r="V343" s="122"/>
      <c r="W343" s="122"/>
      <c r="X343" s="122"/>
      <c r="Y343" s="122"/>
      <c r="Z343" s="122"/>
    </row>
    <row r="344" spans="1:26" ht="12.75" x14ac:dyDescent="0.2">
      <c r="A344" s="122"/>
      <c r="B344" s="180"/>
      <c r="C344" s="188" t="s">
        <v>266</v>
      </c>
      <c r="D344" s="180"/>
      <c r="E344" s="180"/>
      <c r="F344" s="194"/>
      <c r="G344" s="194"/>
      <c r="H344" s="194"/>
      <c r="I344" s="194"/>
      <c r="J344" s="194"/>
      <c r="K344" s="194"/>
      <c r="L344" s="194"/>
      <c r="M344" s="194"/>
      <c r="N344" s="194"/>
      <c r="O344" s="194"/>
      <c r="P344" s="122"/>
      <c r="Q344" s="122"/>
      <c r="R344" s="122"/>
      <c r="S344" s="122"/>
      <c r="T344" s="122"/>
      <c r="U344" s="122"/>
      <c r="V344" s="122"/>
      <c r="W344" s="122"/>
      <c r="X344" s="122"/>
      <c r="Y344" s="122"/>
      <c r="Z344" s="122"/>
    </row>
    <row r="345" spans="1:26" ht="12.75" x14ac:dyDescent="0.2">
      <c r="A345" s="122"/>
      <c r="B345" s="180"/>
      <c r="C345" s="155" t="s">
        <v>267</v>
      </c>
      <c r="D345" s="180"/>
      <c r="E345" s="180"/>
      <c r="F345" s="125">
        <f>$I$95/1000</f>
        <v>0</v>
      </c>
      <c r="G345" s="125">
        <f t="shared" ref="G345:O345" si="134">$I$95/1000</f>
        <v>0</v>
      </c>
      <c r="H345" s="125">
        <f t="shared" si="134"/>
        <v>0</v>
      </c>
      <c r="I345" s="125">
        <f t="shared" si="134"/>
        <v>0</v>
      </c>
      <c r="J345" s="125">
        <f t="shared" si="134"/>
        <v>0</v>
      </c>
      <c r="K345" s="125">
        <f t="shared" si="134"/>
        <v>0</v>
      </c>
      <c r="L345" s="125">
        <f t="shared" si="134"/>
        <v>0</v>
      </c>
      <c r="M345" s="125">
        <f t="shared" si="134"/>
        <v>0</v>
      </c>
      <c r="N345" s="125">
        <f t="shared" si="134"/>
        <v>0</v>
      </c>
      <c r="O345" s="125">
        <f t="shared" si="134"/>
        <v>0</v>
      </c>
      <c r="P345" s="122"/>
      <c r="Q345" s="122"/>
      <c r="R345" s="122"/>
      <c r="S345" s="122"/>
      <c r="T345" s="122"/>
      <c r="U345" s="122"/>
      <c r="V345" s="122"/>
      <c r="W345" s="122"/>
      <c r="X345" s="122"/>
      <c r="Y345" s="122"/>
      <c r="Z345" s="122"/>
    </row>
    <row r="346" spans="1:26" ht="12.75" x14ac:dyDescent="0.2">
      <c r="A346" s="122"/>
      <c r="B346" s="180"/>
      <c r="C346" s="155" t="s">
        <v>138</v>
      </c>
      <c r="D346" s="180"/>
      <c r="E346" s="180"/>
      <c r="F346" s="125">
        <f>$I$91/1000</f>
        <v>0</v>
      </c>
      <c r="G346" s="125">
        <f t="shared" ref="G346:O346" si="135">$I$91/1000</f>
        <v>0</v>
      </c>
      <c r="H346" s="125">
        <f t="shared" si="135"/>
        <v>0</v>
      </c>
      <c r="I346" s="125">
        <f t="shared" si="135"/>
        <v>0</v>
      </c>
      <c r="J346" s="125">
        <f t="shared" si="135"/>
        <v>0</v>
      </c>
      <c r="K346" s="125">
        <f t="shared" si="135"/>
        <v>0</v>
      </c>
      <c r="L346" s="125">
        <f t="shared" si="135"/>
        <v>0</v>
      </c>
      <c r="M346" s="125">
        <f t="shared" si="135"/>
        <v>0</v>
      </c>
      <c r="N346" s="125">
        <f t="shared" si="135"/>
        <v>0</v>
      </c>
      <c r="O346" s="125">
        <f t="shared" si="135"/>
        <v>0</v>
      </c>
      <c r="P346" s="122"/>
      <c r="Q346" s="122"/>
      <c r="R346" s="122"/>
      <c r="S346" s="122"/>
      <c r="T346" s="122"/>
      <c r="U346" s="122"/>
      <c r="V346" s="122"/>
      <c r="W346" s="122"/>
      <c r="X346" s="122"/>
      <c r="Y346" s="122"/>
      <c r="Z346" s="122"/>
    </row>
    <row r="347" spans="1:26" ht="12.75" x14ac:dyDescent="0.2">
      <c r="A347" s="122"/>
      <c r="B347" s="180"/>
      <c r="C347" s="198" t="s">
        <v>247</v>
      </c>
      <c r="D347" s="182"/>
      <c r="E347" s="182"/>
      <c r="F347" s="127">
        <f>SUM(F345:F346)</f>
        <v>0</v>
      </c>
      <c r="G347" s="127">
        <f t="shared" ref="G347:O347" si="136">SUM(G345:G346)</f>
        <v>0</v>
      </c>
      <c r="H347" s="127">
        <f t="shared" si="136"/>
        <v>0</v>
      </c>
      <c r="I347" s="127">
        <f t="shared" si="136"/>
        <v>0</v>
      </c>
      <c r="J347" s="127">
        <f t="shared" si="136"/>
        <v>0</v>
      </c>
      <c r="K347" s="127">
        <f t="shared" si="136"/>
        <v>0</v>
      </c>
      <c r="L347" s="127">
        <f t="shared" si="136"/>
        <v>0</v>
      </c>
      <c r="M347" s="127">
        <f t="shared" si="136"/>
        <v>0</v>
      </c>
      <c r="N347" s="127">
        <f t="shared" si="136"/>
        <v>0</v>
      </c>
      <c r="O347" s="127">
        <f t="shared" si="136"/>
        <v>0</v>
      </c>
      <c r="P347" s="122"/>
      <c r="Q347" s="122"/>
      <c r="R347" s="122"/>
      <c r="S347" s="122"/>
      <c r="T347" s="122"/>
      <c r="U347" s="122"/>
      <c r="V347" s="122"/>
      <c r="W347" s="122"/>
      <c r="X347" s="122"/>
      <c r="Y347" s="122"/>
      <c r="Z347" s="122"/>
    </row>
    <row r="348" spans="1:26" ht="12.75" x14ac:dyDescent="0.2">
      <c r="A348" s="122"/>
      <c r="B348" s="180"/>
      <c r="C348" s="152"/>
      <c r="D348" s="180"/>
      <c r="E348" s="180"/>
      <c r="F348" s="194"/>
      <c r="G348" s="194"/>
      <c r="H348" s="194"/>
      <c r="I348" s="194"/>
      <c r="J348" s="194"/>
      <c r="K348" s="194"/>
      <c r="L348" s="194"/>
      <c r="M348" s="194"/>
      <c r="N348" s="194"/>
      <c r="O348" s="194"/>
      <c r="P348" s="122"/>
      <c r="Q348" s="122"/>
      <c r="R348" s="122"/>
      <c r="S348" s="122"/>
      <c r="T348" s="122"/>
      <c r="U348" s="122"/>
      <c r="V348" s="122"/>
      <c r="W348" s="122"/>
      <c r="X348" s="122"/>
      <c r="Y348" s="122"/>
      <c r="Z348" s="122"/>
    </row>
    <row r="349" spans="1:26" ht="12.75" x14ac:dyDescent="0.2">
      <c r="A349" s="122"/>
      <c r="B349" s="180"/>
      <c r="C349" s="203" t="s">
        <v>230</v>
      </c>
      <c r="D349" s="195"/>
      <c r="E349" s="195"/>
      <c r="F349" s="196">
        <f>F342+F347</f>
        <v>182.03361821214565</v>
      </c>
      <c r="G349" s="196">
        <f t="shared" ref="G349:O349" si="137">G342+G347</f>
        <v>189.31496294063149</v>
      </c>
      <c r="H349" s="196">
        <f>H342+H347</f>
        <v>196.88756145825678</v>
      </c>
      <c r="I349" s="196">
        <f>I342+I347</f>
        <v>204.76306391658702</v>
      </c>
      <c r="J349" s="196">
        <f t="shared" si="137"/>
        <v>212.95358647325051</v>
      </c>
      <c r="K349" s="196">
        <f t="shared" si="137"/>
        <v>221.47172993218055</v>
      </c>
      <c r="L349" s="196">
        <f t="shared" si="137"/>
        <v>230.3305991294678</v>
      </c>
      <c r="M349" s="196">
        <f t="shared" si="137"/>
        <v>239.54382309464657</v>
      </c>
      <c r="N349" s="196">
        <f t="shared" si="137"/>
        <v>249.12557601843244</v>
      </c>
      <c r="O349" s="196">
        <f t="shared" si="137"/>
        <v>259.09059905916979</v>
      </c>
      <c r="P349" s="122"/>
      <c r="Q349" s="122"/>
      <c r="R349" s="122"/>
      <c r="S349" s="122"/>
      <c r="T349" s="122"/>
      <c r="U349" s="122"/>
      <c r="V349" s="122"/>
      <c r="W349" s="122"/>
      <c r="X349" s="122"/>
      <c r="Y349" s="122"/>
      <c r="Z349" s="122"/>
    </row>
    <row r="350" spans="1:26" ht="12.75" x14ac:dyDescent="0.2">
      <c r="A350" s="122"/>
      <c r="B350" s="180"/>
      <c r="C350" s="155"/>
      <c r="D350" s="180"/>
      <c r="E350" s="180"/>
      <c r="F350" s="180"/>
      <c r="G350" s="180"/>
      <c r="H350" s="180"/>
      <c r="I350" s="180"/>
      <c r="J350" s="180"/>
      <c r="K350" s="180"/>
      <c r="L350" s="180"/>
      <c r="M350" s="180"/>
      <c r="N350" s="180"/>
      <c r="O350" s="180"/>
      <c r="P350" s="122"/>
      <c r="Q350" s="122"/>
      <c r="R350" s="122"/>
      <c r="S350" s="122"/>
      <c r="T350" s="122"/>
      <c r="U350" s="122"/>
      <c r="V350" s="122"/>
      <c r="W350" s="122"/>
      <c r="X350" s="122"/>
      <c r="Y350" s="122"/>
      <c r="Z350" s="122"/>
    </row>
    <row r="351" spans="1:26" ht="12.75" x14ac:dyDescent="0.2">
      <c r="A351" s="122"/>
      <c r="C351" s="232" t="s">
        <v>235</v>
      </c>
      <c r="D351" s="180"/>
      <c r="E351" s="180"/>
      <c r="F351" s="180"/>
      <c r="G351" s="180"/>
      <c r="H351" s="180"/>
      <c r="I351" s="180"/>
      <c r="J351" s="180"/>
      <c r="K351" s="180"/>
      <c r="L351" s="180"/>
      <c r="M351" s="180"/>
      <c r="N351" s="180"/>
      <c r="O351" s="180"/>
      <c r="P351" s="122"/>
      <c r="Q351" s="122"/>
      <c r="R351" s="122"/>
      <c r="S351" s="122"/>
      <c r="T351" s="122"/>
      <c r="U351" s="122"/>
      <c r="V351" s="122"/>
      <c r="W351" s="122"/>
      <c r="X351" s="122"/>
      <c r="Y351" s="122"/>
      <c r="Z351" s="122"/>
    </row>
    <row r="352" spans="1:26" ht="12.75" x14ac:dyDescent="0.2">
      <c r="A352" s="122"/>
      <c r="B352" s="192"/>
      <c r="C352" s="188" t="s">
        <v>144</v>
      </c>
      <c r="D352" s="180"/>
      <c r="E352" s="180"/>
      <c r="F352" s="180"/>
      <c r="G352" s="180"/>
      <c r="H352" s="180"/>
      <c r="I352" s="180"/>
      <c r="J352" s="180"/>
      <c r="K352" s="180"/>
      <c r="L352" s="180"/>
      <c r="M352" s="180"/>
      <c r="N352" s="180"/>
      <c r="O352" s="180"/>
      <c r="P352" s="122"/>
      <c r="Q352" s="122"/>
      <c r="R352" s="122"/>
      <c r="S352" s="122"/>
      <c r="T352" s="122"/>
      <c r="U352" s="122"/>
      <c r="V352" s="122"/>
      <c r="W352" s="122"/>
      <c r="X352" s="122"/>
      <c r="Y352" s="122"/>
      <c r="Z352" s="122"/>
    </row>
    <row r="353" spans="1:26" ht="12.75" x14ac:dyDescent="0.2">
      <c r="A353" s="122"/>
      <c r="B353" s="192"/>
      <c r="C353" s="155" t="s">
        <v>245</v>
      </c>
      <c r="D353" s="180"/>
      <c r="E353" s="180"/>
      <c r="F353" s="125">
        <f>$I$95*(1+$I$96)/1000</f>
        <v>0</v>
      </c>
      <c r="G353" s="125">
        <f t="shared" ref="G353:O353" si="138">$I$95*(1+$I$96)/1000</f>
        <v>0</v>
      </c>
      <c r="H353" s="125">
        <f t="shared" si="138"/>
        <v>0</v>
      </c>
      <c r="I353" s="125">
        <f t="shared" si="138"/>
        <v>0</v>
      </c>
      <c r="J353" s="125">
        <f t="shared" si="138"/>
        <v>0</v>
      </c>
      <c r="K353" s="125">
        <f t="shared" si="138"/>
        <v>0</v>
      </c>
      <c r="L353" s="125">
        <f t="shared" si="138"/>
        <v>0</v>
      </c>
      <c r="M353" s="125">
        <f t="shared" si="138"/>
        <v>0</v>
      </c>
      <c r="N353" s="125">
        <f t="shared" si="138"/>
        <v>0</v>
      </c>
      <c r="O353" s="125">
        <f t="shared" si="138"/>
        <v>0</v>
      </c>
      <c r="P353" s="122"/>
      <c r="Q353" s="197"/>
      <c r="R353" s="122"/>
      <c r="S353" s="122"/>
      <c r="T353" s="122"/>
      <c r="U353" s="122"/>
      <c r="V353" s="122"/>
      <c r="W353" s="122"/>
      <c r="X353" s="122"/>
      <c r="Y353" s="122"/>
      <c r="Z353" s="122"/>
    </row>
    <row r="354" spans="1:26" ht="12.75" x14ac:dyDescent="0.2">
      <c r="A354" s="122"/>
      <c r="B354" s="192"/>
      <c r="C354" s="198" t="s">
        <v>245</v>
      </c>
      <c r="D354" s="182"/>
      <c r="E354" s="182"/>
      <c r="F354" s="129">
        <f>F353</f>
        <v>0</v>
      </c>
      <c r="G354" s="129">
        <f t="shared" ref="G354:O354" si="139">G353</f>
        <v>0</v>
      </c>
      <c r="H354" s="129">
        <f t="shared" si="139"/>
        <v>0</v>
      </c>
      <c r="I354" s="129">
        <f t="shared" si="139"/>
        <v>0</v>
      </c>
      <c r="J354" s="129">
        <f t="shared" si="139"/>
        <v>0</v>
      </c>
      <c r="K354" s="129">
        <f t="shared" si="139"/>
        <v>0</v>
      </c>
      <c r="L354" s="129">
        <f t="shared" si="139"/>
        <v>0</v>
      </c>
      <c r="M354" s="129">
        <f t="shared" si="139"/>
        <v>0</v>
      </c>
      <c r="N354" s="129">
        <f t="shared" si="139"/>
        <v>0</v>
      </c>
      <c r="O354" s="129">
        <f t="shared" si="139"/>
        <v>0</v>
      </c>
      <c r="P354" s="122"/>
      <c r="Q354" s="197"/>
      <c r="R354" s="122"/>
      <c r="S354" s="122"/>
      <c r="T354" s="122"/>
      <c r="U354" s="122"/>
      <c r="V354" s="122"/>
      <c r="W354" s="122"/>
      <c r="X354" s="122"/>
      <c r="Y354" s="122"/>
      <c r="Z354" s="122"/>
    </row>
    <row r="355" spans="1:26" ht="12.75" x14ac:dyDescent="0.2">
      <c r="A355" s="122"/>
      <c r="B355" s="192"/>
      <c r="C355" s="232"/>
      <c r="D355" s="180"/>
      <c r="E355" s="180"/>
      <c r="F355" s="180"/>
      <c r="G355" s="180"/>
      <c r="H355" s="180"/>
      <c r="I355" s="180"/>
      <c r="J355" s="180"/>
      <c r="K355" s="180"/>
      <c r="L355" s="180"/>
      <c r="M355" s="180"/>
      <c r="N355" s="180"/>
      <c r="O355" s="180"/>
      <c r="P355" s="122"/>
      <c r="Q355" s="122"/>
      <c r="R355" s="122"/>
      <c r="S355" s="122"/>
      <c r="T355" s="122"/>
      <c r="U355" s="122"/>
      <c r="V355" s="122"/>
      <c r="W355" s="122"/>
      <c r="X355" s="122"/>
      <c r="Y355" s="122"/>
      <c r="Z355" s="122"/>
    </row>
    <row r="356" spans="1:26" ht="12.75" x14ac:dyDescent="0.2">
      <c r="A356" s="122"/>
      <c r="B356" s="180"/>
      <c r="C356" s="188" t="s">
        <v>218</v>
      </c>
      <c r="D356" s="180"/>
      <c r="E356" s="180"/>
      <c r="F356" s="180"/>
      <c r="G356" s="180"/>
      <c r="H356" s="180"/>
      <c r="I356" s="180"/>
      <c r="J356" s="180"/>
      <c r="K356" s="180"/>
      <c r="L356" s="180"/>
      <c r="M356" s="180"/>
      <c r="N356" s="180"/>
      <c r="O356" s="180"/>
      <c r="P356" s="122"/>
      <c r="Q356" s="122"/>
      <c r="R356" s="122"/>
      <c r="S356" s="122"/>
      <c r="T356" s="122"/>
      <c r="U356" s="122"/>
      <c r="V356" s="122"/>
      <c r="W356" s="122"/>
      <c r="X356" s="122"/>
      <c r="Y356" s="122"/>
      <c r="Z356" s="122"/>
    </row>
    <row r="357" spans="1:26" ht="12.75" x14ac:dyDescent="0.2">
      <c r="A357" s="122"/>
      <c r="B357" s="180"/>
      <c r="C357" s="228" t="s">
        <v>272</v>
      </c>
      <c r="D357" s="180"/>
      <c r="E357" s="180"/>
      <c r="F357" s="125">
        <f t="shared" ref="F357:O363" si="140">F220/F$120</f>
        <v>11.282839615384615</v>
      </c>
      <c r="G357" s="125">
        <f t="shared" si="140"/>
        <v>11.282839615384615</v>
      </c>
      <c r="H357" s="125">
        <f t="shared" si="140"/>
        <v>11.282839615384615</v>
      </c>
      <c r="I357" s="125">
        <f t="shared" si="140"/>
        <v>11.282839615384615</v>
      </c>
      <c r="J357" s="125">
        <f t="shared" si="140"/>
        <v>11.282839615384615</v>
      </c>
      <c r="K357" s="125">
        <f t="shared" si="140"/>
        <v>11.282839615384614</v>
      </c>
      <c r="L357" s="125">
        <f t="shared" si="140"/>
        <v>11.282839615384617</v>
      </c>
      <c r="M357" s="125">
        <f t="shared" si="140"/>
        <v>11.282839615384615</v>
      </c>
      <c r="N357" s="125">
        <f t="shared" si="140"/>
        <v>11.282839615384614</v>
      </c>
      <c r="O357" s="125">
        <f t="shared" si="140"/>
        <v>11.282839615384615</v>
      </c>
      <c r="P357" s="122"/>
      <c r="Q357" s="122"/>
      <c r="R357" s="122"/>
      <c r="S357" s="122"/>
      <c r="T357" s="122"/>
      <c r="U357" s="122"/>
      <c r="V357" s="122"/>
      <c r="W357" s="122"/>
      <c r="X357" s="122"/>
      <c r="Y357" s="122"/>
      <c r="Z357" s="122"/>
    </row>
    <row r="358" spans="1:26" ht="12.75" x14ac:dyDescent="0.2">
      <c r="A358" s="122"/>
      <c r="B358" s="180"/>
      <c r="C358" s="228" t="s">
        <v>273</v>
      </c>
      <c r="D358" s="180"/>
      <c r="E358" s="180"/>
      <c r="F358" s="125">
        <f t="shared" si="140"/>
        <v>8.3209909999999976</v>
      </c>
      <c r="G358" s="125">
        <f t="shared" si="140"/>
        <v>8.3209909999999994</v>
      </c>
      <c r="H358" s="125">
        <f t="shared" si="140"/>
        <v>8.3209909999999994</v>
      </c>
      <c r="I358" s="125">
        <f t="shared" si="140"/>
        <v>8.3209909999999976</v>
      </c>
      <c r="J358" s="125">
        <f t="shared" si="140"/>
        <v>8.3209909999999976</v>
      </c>
      <c r="K358" s="125">
        <f t="shared" si="140"/>
        <v>8.3209909999999976</v>
      </c>
      <c r="L358" s="125">
        <f t="shared" si="140"/>
        <v>8.3209909999999994</v>
      </c>
      <c r="M358" s="125">
        <f t="shared" si="140"/>
        <v>8.3209909999999976</v>
      </c>
      <c r="N358" s="125">
        <f t="shared" si="140"/>
        <v>8.3209909999999994</v>
      </c>
      <c r="O358" s="125">
        <f t="shared" si="140"/>
        <v>8.3209909999999976</v>
      </c>
      <c r="P358" s="122"/>
      <c r="Q358" s="122"/>
      <c r="R358" s="122"/>
      <c r="S358" s="122"/>
      <c r="T358" s="122"/>
      <c r="U358" s="122"/>
      <c r="V358" s="122"/>
      <c r="W358" s="122"/>
      <c r="X358" s="122"/>
      <c r="Y358" s="122"/>
      <c r="Z358" s="122"/>
    </row>
    <row r="359" spans="1:26" ht="12.75" x14ac:dyDescent="0.2">
      <c r="A359" s="122"/>
      <c r="B359" s="180"/>
      <c r="C359" s="228" t="s">
        <v>274</v>
      </c>
      <c r="D359" s="180"/>
      <c r="E359" s="180"/>
      <c r="F359" s="125">
        <f t="shared" si="140"/>
        <v>4.4537594594594596</v>
      </c>
      <c r="G359" s="125">
        <f t="shared" si="140"/>
        <v>4.4537594594594587</v>
      </c>
      <c r="H359" s="125">
        <f t="shared" si="140"/>
        <v>4.4537594594594596</v>
      </c>
      <c r="I359" s="125">
        <f t="shared" si="140"/>
        <v>4.4537594594594587</v>
      </c>
      <c r="J359" s="125">
        <f t="shared" si="140"/>
        <v>4.4537594594594596</v>
      </c>
      <c r="K359" s="125">
        <f t="shared" si="140"/>
        <v>4.4537594594594596</v>
      </c>
      <c r="L359" s="125">
        <f t="shared" si="140"/>
        <v>4.4537594594594596</v>
      </c>
      <c r="M359" s="125">
        <f t="shared" si="140"/>
        <v>4.4537594594594596</v>
      </c>
      <c r="N359" s="125">
        <f t="shared" si="140"/>
        <v>4.4537594594594587</v>
      </c>
      <c r="O359" s="125">
        <f t="shared" si="140"/>
        <v>4.4537594594594596</v>
      </c>
      <c r="P359" s="122"/>
      <c r="Q359" s="122"/>
      <c r="R359" s="122"/>
      <c r="S359" s="122"/>
      <c r="T359" s="122"/>
      <c r="U359" s="122"/>
      <c r="V359" s="122"/>
      <c r="W359" s="122"/>
      <c r="X359" s="122"/>
      <c r="Y359" s="122"/>
      <c r="Z359" s="122"/>
    </row>
    <row r="360" spans="1:26" ht="12.75" x14ac:dyDescent="0.2">
      <c r="A360" s="122"/>
      <c r="B360" s="180"/>
      <c r="C360" s="228" t="s">
        <v>275</v>
      </c>
      <c r="D360" s="180"/>
      <c r="E360" s="180"/>
      <c r="F360" s="125">
        <f t="shared" si="140"/>
        <v>18.814927761666642</v>
      </c>
      <c r="G360" s="125">
        <f t="shared" si="140"/>
        <v>18.814927761666642</v>
      </c>
      <c r="H360" s="125">
        <f t="shared" si="140"/>
        <v>18.814927761666642</v>
      </c>
      <c r="I360" s="125">
        <f t="shared" si="140"/>
        <v>18.814927761666642</v>
      </c>
      <c r="J360" s="125">
        <f t="shared" si="140"/>
        <v>18.814927761666638</v>
      </c>
      <c r="K360" s="125">
        <f t="shared" si="140"/>
        <v>18.814927761666642</v>
      </c>
      <c r="L360" s="125">
        <f t="shared" si="140"/>
        <v>18.814927761666642</v>
      </c>
      <c r="M360" s="125">
        <f t="shared" si="140"/>
        <v>18.814927761666642</v>
      </c>
      <c r="N360" s="125">
        <f t="shared" si="140"/>
        <v>18.814927761666642</v>
      </c>
      <c r="O360" s="125">
        <f t="shared" si="140"/>
        <v>18.814927761666638</v>
      </c>
      <c r="P360" s="122"/>
      <c r="Q360" s="122"/>
      <c r="R360" s="122"/>
      <c r="S360" s="122"/>
      <c r="T360" s="122"/>
      <c r="U360" s="122"/>
      <c r="V360" s="122"/>
      <c r="W360" s="122"/>
      <c r="X360" s="122"/>
      <c r="Y360" s="122"/>
      <c r="Z360" s="122"/>
    </row>
    <row r="361" spans="1:26" ht="12.75" x14ac:dyDescent="0.2">
      <c r="A361" s="122"/>
      <c r="B361" s="180"/>
      <c r="C361" s="152" t="s">
        <v>293</v>
      </c>
      <c r="D361" s="180"/>
      <c r="E361" s="180"/>
      <c r="F361" s="125">
        <f t="shared" si="140"/>
        <v>10.696629767441863</v>
      </c>
      <c r="G361" s="125">
        <f t="shared" si="140"/>
        <v>10.696629767441861</v>
      </c>
      <c r="H361" s="125">
        <f t="shared" si="140"/>
        <v>10.696629767441863</v>
      </c>
      <c r="I361" s="125">
        <f t="shared" si="140"/>
        <v>10.696629767441861</v>
      </c>
      <c r="J361" s="125">
        <f t="shared" si="140"/>
        <v>10.696629767441863</v>
      </c>
      <c r="K361" s="125">
        <f t="shared" si="140"/>
        <v>10.696629767441863</v>
      </c>
      <c r="L361" s="125">
        <f t="shared" si="140"/>
        <v>10.696629767441863</v>
      </c>
      <c r="M361" s="125">
        <f t="shared" si="140"/>
        <v>10.696629767441861</v>
      </c>
      <c r="N361" s="125">
        <f t="shared" si="140"/>
        <v>10.696629767441863</v>
      </c>
      <c r="O361" s="125">
        <f t="shared" si="140"/>
        <v>10.696629767441861</v>
      </c>
      <c r="P361" s="122"/>
      <c r="Q361" s="122"/>
      <c r="R361" s="122"/>
      <c r="S361" s="122"/>
      <c r="T361" s="122"/>
      <c r="U361" s="122"/>
      <c r="V361" s="122"/>
      <c r="W361" s="122"/>
      <c r="X361" s="122"/>
      <c r="Y361" s="122"/>
      <c r="Z361" s="122"/>
    </row>
    <row r="362" spans="1:26" ht="12.75" x14ac:dyDescent="0.2">
      <c r="A362" s="122"/>
      <c r="B362" s="180"/>
      <c r="C362" s="228" t="s">
        <v>278</v>
      </c>
      <c r="D362" s="180"/>
      <c r="E362" s="180"/>
      <c r="F362" s="125">
        <f t="shared" si="140"/>
        <v>24.550149391110523</v>
      </c>
      <c r="G362" s="125">
        <f t="shared" si="140"/>
        <v>24.550149391110523</v>
      </c>
      <c r="H362" s="125">
        <f t="shared" si="140"/>
        <v>24.550149391110526</v>
      </c>
      <c r="I362" s="125">
        <f t="shared" si="140"/>
        <v>24.550149391110526</v>
      </c>
      <c r="J362" s="125">
        <f t="shared" si="140"/>
        <v>24.550149391110526</v>
      </c>
      <c r="K362" s="125">
        <f t="shared" si="140"/>
        <v>24.550149391110523</v>
      </c>
      <c r="L362" s="125">
        <f t="shared" si="140"/>
        <v>24.550149391110526</v>
      </c>
      <c r="M362" s="125">
        <f t="shared" si="140"/>
        <v>24.550149391110523</v>
      </c>
      <c r="N362" s="125">
        <f t="shared" si="140"/>
        <v>24.550149391110523</v>
      </c>
      <c r="O362" s="125">
        <f t="shared" si="140"/>
        <v>24.550149391110526</v>
      </c>
      <c r="P362" s="122"/>
      <c r="Q362" s="122"/>
      <c r="R362" s="122"/>
      <c r="S362" s="122"/>
      <c r="T362" s="122"/>
      <c r="U362" s="122"/>
      <c r="V362" s="122"/>
      <c r="W362" s="122"/>
      <c r="X362" s="122"/>
      <c r="Y362" s="122"/>
      <c r="Z362" s="122"/>
    </row>
    <row r="363" spans="1:26" ht="12.75" x14ac:dyDescent="0.2">
      <c r="A363" s="122"/>
      <c r="B363" s="180"/>
      <c r="C363" s="152" t="s">
        <v>85</v>
      </c>
      <c r="D363" s="180"/>
      <c r="E363" s="180"/>
      <c r="F363" s="125">
        <f t="shared" si="140"/>
        <v>11.844526169301163</v>
      </c>
      <c r="G363" s="125">
        <f t="shared" si="140"/>
        <v>11.844526169301163</v>
      </c>
      <c r="H363" s="125">
        <f t="shared" si="140"/>
        <v>11.844526169301163</v>
      </c>
      <c r="I363" s="125">
        <f t="shared" si="140"/>
        <v>11.844526169301163</v>
      </c>
      <c r="J363" s="125">
        <f t="shared" si="140"/>
        <v>0</v>
      </c>
      <c r="K363" s="125">
        <f t="shared" si="140"/>
        <v>0</v>
      </c>
      <c r="L363" s="125">
        <f t="shared" si="140"/>
        <v>0</v>
      </c>
      <c r="M363" s="125">
        <f t="shared" si="140"/>
        <v>0</v>
      </c>
      <c r="N363" s="125">
        <f t="shared" si="140"/>
        <v>0</v>
      </c>
      <c r="O363" s="125">
        <f t="shared" si="140"/>
        <v>0</v>
      </c>
      <c r="P363" s="122"/>
      <c r="Q363" s="122"/>
      <c r="R363" s="122"/>
      <c r="S363" s="122"/>
      <c r="T363" s="122"/>
      <c r="U363" s="122"/>
      <c r="V363" s="122"/>
      <c r="W363" s="122"/>
      <c r="X363" s="122"/>
      <c r="Y363" s="122"/>
      <c r="Z363" s="122"/>
    </row>
    <row r="364" spans="1:26" ht="12.75" x14ac:dyDescent="0.2">
      <c r="A364" s="122"/>
      <c r="B364" s="180"/>
      <c r="C364" s="198" t="s">
        <v>207</v>
      </c>
      <c r="D364" s="182"/>
      <c r="E364" s="182"/>
      <c r="F364" s="193">
        <f>SUM(F357:F363)</f>
        <v>89.963823164364257</v>
      </c>
      <c r="G364" s="193">
        <f t="shared" ref="G364:O364" si="141">SUM(G357:G363)</f>
        <v>89.963823164364271</v>
      </c>
      <c r="H364" s="193">
        <f t="shared" si="141"/>
        <v>89.963823164364271</v>
      </c>
      <c r="I364" s="193">
        <f t="shared" si="141"/>
        <v>89.963823164364257</v>
      </c>
      <c r="J364" s="193">
        <f t="shared" si="141"/>
        <v>78.119296995063095</v>
      </c>
      <c r="K364" s="193">
        <f t="shared" si="141"/>
        <v>78.119296995063095</v>
      </c>
      <c r="L364" s="193">
        <f t="shared" si="141"/>
        <v>78.11929699506311</v>
      </c>
      <c r="M364" s="193">
        <f t="shared" si="141"/>
        <v>78.119296995063095</v>
      </c>
      <c r="N364" s="193">
        <f t="shared" si="141"/>
        <v>78.119296995063095</v>
      </c>
      <c r="O364" s="193">
        <f t="shared" si="141"/>
        <v>78.119296995063095</v>
      </c>
      <c r="P364" s="122"/>
      <c r="Q364" s="122"/>
      <c r="R364" s="122"/>
      <c r="S364" s="122"/>
      <c r="T364" s="122"/>
      <c r="U364" s="122"/>
      <c r="V364" s="122"/>
      <c r="W364" s="122"/>
      <c r="X364" s="122"/>
      <c r="Y364" s="122"/>
      <c r="Z364" s="122"/>
    </row>
    <row r="365" spans="1:26" ht="12.75" x14ac:dyDescent="0.2">
      <c r="A365" s="122"/>
      <c r="B365" s="180"/>
      <c r="C365" s="155"/>
      <c r="D365" s="180"/>
      <c r="E365" s="180"/>
      <c r="F365" s="180"/>
      <c r="G365" s="180"/>
      <c r="H365" s="180"/>
      <c r="I365" s="180"/>
      <c r="J365" s="180"/>
      <c r="K365" s="180"/>
      <c r="L365" s="180"/>
      <c r="M365" s="180"/>
      <c r="N365" s="180"/>
      <c r="O365" s="180"/>
      <c r="P365" s="122"/>
      <c r="Q365" s="122"/>
      <c r="R365" s="122"/>
      <c r="S365" s="122"/>
      <c r="T365" s="122"/>
      <c r="U365" s="122"/>
      <c r="V365" s="122"/>
      <c r="W365" s="122"/>
      <c r="X365" s="122"/>
      <c r="Y365" s="122"/>
      <c r="Z365" s="122"/>
    </row>
    <row r="366" spans="1:26" ht="12.75" x14ac:dyDescent="0.2">
      <c r="A366" s="122"/>
      <c r="B366" s="180"/>
      <c r="C366" s="188" t="s">
        <v>215</v>
      </c>
      <c r="D366" s="180"/>
      <c r="E366" s="180"/>
      <c r="F366" s="183"/>
      <c r="G366" s="183"/>
      <c r="H366" s="183"/>
      <c r="I366" s="183"/>
      <c r="J366" s="183"/>
      <c r="K366" s="183"/>
      <c r="L366" s="183"/>
      <c r="M366" s="183"/>
      <c r="N366" s="183"/>
      <c r="O366" s="183"/>
      <c r="P366" s="122"/>
      <c r="Q366" s="122"/>
      <c r="R366" s="122"/>
      <c r="S366" s="122"/>
      <c r="T366" s="122"/>
      <c r="U366" s="122"/>
      <c r="V366" s="122"/>
      <c r="W366" s="122"/>
      <c r="X366" s="122"/>
      <c r="Y366" s="122"/>
      <c r="Z366" s="122"/>
    </row>
    <row r="367" spans="1:26" ht="12.75" x14ac:dyDescent="0.2">
      <c r="A367" s="122"/>
      <c r="B367" s="180"/>
      <c r="C367" s="155" t="s">
        <v>110</v>
      </c>
      <c r="D367" s="180"/>
      <c r="E367" s="180"/>
      <c r="F367" s="125">
        <f t="shared" ref="F367:O368" si="142">F230/F$120</f>
        <v>6.21936</v>
      </c>
      <c r="G367" s="125">
        <f t="shared" si="142"/>
        <v>6.21936</v>
      </c>
      <c r="H367" s="125">
        <f t="shared" si="142"/>
        <v>6.21936</v>
      </c>
      <c r="I367" s="125">
        <f t="shared" si="142"/>
        <v>6.21936</v>
      </c>
      <c r="J367" s="125">
        <f t="shared" si="142"/>
        <v>6.21936</v>
      </c>
      <c r="K367" s="125">
        <f t="shared" si="142"/>
        <v>6.21936</v>
      </c>
      <c r="L367" s="125">
        <f t="shared" si="142"/>
        <v>6.2193599999999991</v>
      </c>
      <c r="M367" s="125">
        <f t="shared" si="142"/>
        <v>6.2193599999999991</v>
      </c>
      <c r="N367" s="125">
        <f t="shared" si="142"/>
        <v>6.2193599999999991</v>
      </c>
      <c r="O367" s="125">
        <f t="shared" si="142"/>
        <v>6.2193599999999991</v>
      </c>
      <c r="P367" s="122"/>
      <c r="Q367" s="122"/>
      <c r="R367" s="122"/>
      <c r="S367" s="122"/>
      <c r="T367" s="122"/>
      <c r="U367" s="122"/>
      <c r="V367" s="122"/>
      <c r="W367" s="122"/>
      <c r="X367" s="122"/>
      <c r="Y367" s="122"/>
      <c r="Z367" s="122"/>
    </row>
    <row r="368" spans="1:26" ht="12.75" x14ac:dyDescent="0.2">
      <c r="A368" s="122"/>
      <c r="B368" s="180"/>
      <c r="C368" s="184" t="s">
        <v>283</v>
      </c>
      <c r="D368" s="185"/>
      <c r="E368" s="185"/>
      <c r="F368" s="236">
        <f t="shared" si="142"/>
        <v>3.74369</v>
      </c>
      <c r="G368" s="236">
        <f t="shared" si="142"/>
        <v>3.74369</v>
      </c>
      <c r="H368" s="236">
        <f t="shared" si="142"/>
        <v>3.74369</v>
      </c>
      <c r="I368" s="236">
        <f t="shared" si="142"/>
        <v>3.7436899999999995</v>
      </c>
      <c r="J368" s="236">
        <f t="shared" si="142"/>
        <v>3.74369</v>
      </c>
      <c r="K368" s="236">
        <f t="shared" si="142"/>
        <v>3.74369</v>
      </c>
      <c r="L368" s="236">
        <f t="shared" si="142"/>
        <v>3.74369</v>
      </c>
      <c r="M368" s="236">
        <f t="shared" si="142"/>
        <v>3.74369</v>
      </c>
      <c r="N368" s="236">
        <f t="shared" si="142"/>
        <v>3.74369</v>
      </c>
      <c r="O368" s="236">
        <f t="shared" si="142"/>
        <v>3.74369</v>
      </c>
      <c r="P368" s="122"/>
      <c r="Q368" s="122"/>
      <c r="R368" s="122"/>
      <c r="S368" s="122"/>
      <c r="T368" s="122"/>
      <c r="U368" s="122"/>
      <c r="V368" s="122"/>
      <c r="W368" s="122"/>
      <c r="X368" s="122"/>
      <c r="Y368" s="122"/>
      <c r="Z368" s="122"/>
    </row>
    <row r="369" spans="1:26" ht="12.75" x14ac:dyDescent="0.2">
      <c r="A369" s="122"/>
      <c r="B369" s="180"/>
      <c r="C369" s="199" t="s">
        <v>216</v>
      </c>
      <c r="D369" s="182"/>
      <c r="E369" s="182"/>
      <c r="F369" s="127">
        <f>SUM(F367:F368)</f>
        <v>9.9630499999999991</v>
      </c>
      <c r="G369" s="127">
        <f t="shared" ref="G369:O369" si="143">SUM(G367:G368)</f>
        <v>9.9630499999999991</v>
      </c>
      <c r="H369" s="127">
        <f t="shared" si="143"/>
        <v>9.9630499999999991</v>
      </c>
      <c r="I369" s="127">
        <f t="shared" si="143"/>
        <v>9.9630499999999991</v>
      </c>
      <c r="J369" s="127">
        <f t="shared" si="143"/>
        <v>9.9630499999999991</v>
      </c>
      <c r="K369" s="127">
        <f t="shared" si="143"/>
        <v>9.9630499999999991</v>
      </c>
      <c r="L369" s="127">
        <f t="shared" si="143"/>
        <v>9.9630499999999991</v>
      </c>
      <c r="M369" s="127">
        <f t="shared" si="143"/>
        <v>9.9630499999999991</v>
      </c>
      <c r="N369" s="127">
        <f t="shared" si="143"/>
        <v>9.9630499999999991</v>
      </c>
      <c r="O369" s="127">
        <f t="shared" si="143"/>
        <v>9.9630499999999991</v>
      </c>
      <c r="P369" s="122"/>
      <c r="Q369" s="122"/>
      <c r="R369" s="122"/>
      <c r="S369" s="122"/>
      <c r="T369" s="122"/>
      <c r="U369" s="122"/>
      <c r="V369" s="122"/>
      <c r="W369" s="122"/>
      <c r="X369" s="122"/>
      <c r="Y369" s="122"/>
      <c r="Z369" s="122"/>
    </row>
    <row r="370" spans="1:26" ht="12.75" x14ac:dyDescent="0.2">
      <c r="A370" s="122"/>
      <c r="B370" s="180"/>
      <c r="C370" s="155"/>
      <c r="D370" s="180"/>
      <c r="E370" s="180"/>
      <c r="F370" s="183"/>
      <c r="G370" s="183"/>
      <c r="H370" s="183"/>
      <c r="I370" s="183"/>
      <c r="J370" s="183"/>
      <c r="K370" s="183"/>
      <c r="L370" s="183"/>
      <c r="M370" s="183"/>
      <c r="N370" s="183"/>
      <c r="O370" s="183"/>
      <c r="P370" s="122"/>
      <c r="Q370" s="122"/>
      <c r="R370" s="122"/>
      <c r="S370" s="122"/>
      <c r="T370" s="122"/>
      <c r="U370" s="122"/>
      <c r="V370" s="122"/>
      <c r="W370" s="122"/>
      <c r="X370" s="122"/>
      <c r="Y370" s="122"/>
      <c r="Z370" s="122"/>
    </row>
    <row r="371" spans="1:26" ht="12.75" x14ac:dyDescent="0.2">
      <c r="A371" s="122"/>
      <c r="B371" s="180"/>
      <c r="C371" s="188" t="s">
        <v>219</v>
      </c>
      <c r="D371" s="180"/>
      <c r="E371" s="180"/>
      <c r="F371" s="183"/>
      <c r="G371" s="183"/>
      <c r="H371" s="183"/>
      <c r="I371" s="183"/>
      <c r="J371" s="183"/>
      <c r="K371" s="183"/>
      <c r="L371" s="183"/>
      <c r="M371" s="183"/>
      <c r="N371" s="183"/>
      <c r="O371" s="183"/>
      <c r="P371" s="122"/>
      <c r="Q371" s="122"/>
      <c r="R371" s="122"/>
      <c r="S371" s="122"/>
      <c r="T371" s="122"/>
      <c r="U371" s="122"/>
      <c r="V371" s="122"/>
      <c r="W371" s="122"/>
      <c r="X371" s="122"/>
      <c r="Y371" s="122"/>
      <c r="Z371" s="122"/>
    </row>
    <row r="372" spans="1:26" ht="12.75" x14ac:dyDescent="0.2">
      <c r="A372" s="122"/>
      <c r="B372" s="180"/>
      <c r="C372" s="152" t="s">
        <v>92</v>
      </c>
      <c r="D372" s="180"/>
      <c r="E372" s="180"/>
      <c r="F372" s="125">
        <f t="shared" ref="F372:O377" si="144">F235/F$120</f>
        <v>0.40362221333069997</v>
      </c>
      <c r="G372" s="125">
        <f t="shared" si="144"/>
        <v>0.40362221333069997</v>
      </c>
      <c r="H372" s="125">
        <f t="shared" si="144"/>
        <v>0.40362221333069997</v>
      </c>
      <c r="I372" s="125">
        <f t="shared" si="144"/>
        <v>0.40362221333069997</v>
      </c>
      <c r="J372" s="125">
        <f t="shared" si="144"/>
        <v>0.40362221333069997</v>
      </c>
      <c r="K372" s="125">
        <f t="shared" si="144"/>
        <v>0.40362221333069997</v>
      </c>
      <c r="L372" s="125">
        <f t="shared" si="144"/>
        <v>0.40362221333069997</v>
      </c>
      <c r="M372" s="125">
        <f t="shared" si="144"/>
        <v>0.40362221333069997</v>
      </c>
      <c r="N372" s="125">
        <f t="shared" si="144"/>
        <v>0.40362221333069997</v>
      </c>
      <c r="O372" s="125">
        <f t="shared" si="144"/>
        <v>0.40362221333069997</v>
      </c>
      <c r="P372" s="122"/>
      <c r="Q372" s="122"/>
      <c r="R372" s="122"/>
      <c r="S372" s="122"/>
      <c r="T372" s="122"/>
      <c r="U372" s="122"/>
      <c r="V372" s="122"/>
      <c r="W372" s="122"/>
      <c r="X372" s="122"/>
      <c r="Y372" s="122"/>
      <c r="Z372" s="122"/>
    </row>
    <row r="373" spans="1:26" ht="12.75" x14ac:dyDescent="0.2">
      <c r="A373" s="122"/>
      <c r="B373" s="180"/>
      <c r="C373" s="152" t="s">
        <v>96</v>
      </c>
      <c r="D373" s="180"/>
      <c r="E373" s="180"/>
      <c r="F373" s="125">
        <f t="shared" si="144"/>
        <v>7.875</v>
      </c>
      <c r="G373" s="125">
        <f t="shared" si="144"/>
        <v>7.8750000000000009</v>
      </c>
      <c r="H373" s="125">
        <f t="shared" si="144"/>
        <v>7.8749999999999991</v>
      </c>
      <c r="I373" s="125">
        <f t="shared" si="144"/>
        <v>7.8750000000000009</v>
      </c>
      <c r="J373" s="125">
        <f t="shared" si="144"/>
        <v>7.8749999999999991</v>
      </c>
      <c r="K373" s="125">
        <f t="shared" si="144"/>
        <v>7.875</v>
      </c>
      <c r="L373" s="125">
        <f t="shared" si="144"/>
        <v>7.875</v>
      </c>
      <c r="M373" s="125">
        <f t="shared" si="144"/>
        <v>7.8749999999999991</v>
      </c>
      <c r="N373" s="125">
        <f t="shared" si="144"/>
        <v>7.875</v>
      </c>
      <c r="O373" s="125">
        <f t="shared" si="144"/>
        <v>7.875</v>
      </c>
      <c r="P373" s="122"/>
      <c r="Q373" s="122"/>
      <c r="R373" s="122"/>
      <c r="S373" s="122"/>
      <c r="T373" s="122"/>
      <c r="U373" s="122"/>
      <c r="V373" s="122"/>
      <c r="W373" s="122"/>
      <c r="X373" s="122"/>
      <c r="Y373" s="122"/>
      <c r="Z373" s="122"/>
    </row>
    <row r="374" spans="1:26" ht="12.75" x14ac:dyDescent="0.2">
      <c r="A374" s="122"/>
      <c r="B374" s="180"/>
      <c r="C374" s="152" t="s">
        <v>99</v>
      </c>
      <c r="D374" s="180"/>
      <c r="E374" s="180"/>
      <c r="F374" s="125">
        <f t="shared" si="144"/>
        <v>35.968272479999996</v>
      </c>
      <c r="G374" s="125">
        <f t="shared" si="144"/>
        <v>35.968272479999989</v>
      </c>
      <c r="H374" s="125">
        <f t="shared" si="144"/>
        <v>35.968272479999996</v>
      </c>
      <c r="I374" s="125">
        <f t="shared" si="144"/>
        <v>35.968272479999996</v>
      </c>
      <c r="J374" s="125">
        <f t="shared" si="144"/>
        <v>35.968272479999996</v>
      </c>
      <c r="K374" s="125">
        <f t="shared" si="144"/>
        <v>35.968272479999996</v>
      </c>
      <c r="L374" s="125">
        <f t="shared" si="144"/>
        <v>35.968272479999996</v>
      </c>
      <c r="M374" s="125">
        <f t="shared" si="144"/>
        <v>35.968272480000003</v>
      </c>
      <c r="N374" s="125">
        <f t="shared" si="144"/>
        <v>35.968272479999996</v>
      </c>
      <c r="O374" s="125">
        <f t="shared" si="144"/>
        <v>35.968272479999996</v>
      </c>
      <c r="P374" s="122"/>
      <c r="Q374" s="122"/>
      <c r="R374" s="122"/>
      <c r="S374" s="122"/>
      <c r="T374" s="122"/>
      <c r="U374" s="122"/>
      <c r="V374" s="122"/>
      <c r="W374" s="122"/>
      <c r="X374" s="122"/>
      <c r="Y374" s="122"/>
      <c r="Z374" s="122"/>
    </row>
    <row r="375" spans="1:26" ht="12.75" x14ac:dyDescent="0.2">
      <c r="A375" s="122"/>
      <c r="B375" s="180"/>
      <c r="C375" s="152" t="s">
        <v>102</v>
      </c>
      <c r="D375" s="180"/>
      <c r="E375" s="180"/>
      <c r="F375" s="125">
        <f t="shared" si="144"/>
        <v>12.088674359999999</v>
      </c>
      <c r="G375" s="125">
        <f t="shared" si="144"/>
        <v>12.088674359999999</v>
      </c>
      <c r="H375" s="125">
        <f t="shared" si="144"/>
        <v>12.088674359999997</v>
      </c>
      <c r="I375" s="125">
        <f t="shared" si="144"/>
        <v>12.088674359999999</v>
      </c>
      <c r="J375" s="125">
        <f t="shared" si="144"/>
        <v>12.088674360000001</v>
      </c>
      <c r="K375" s="125">
        <f t="shared" si="144"/>
        <v>12.088674359999999</v>
      </c>
      <c r="L375" s="125">
        <f t="shared" si="144"/>
        <v>12.088674359999999</v>
      </c>
      <c r="M375" s="125">
        <f t="shared" si="144"/>
        <v>12.088674359999999</v>
      </c>
      <c r="N375" s="125">
        <f t="shared" si="144"/>
        <v>12.088674359999999</v>
      </c>
      <c r="O375" s="125">
        <f t="shared" si="144"/>
        <v>12.088674359999999</v>
      </c>
      <c r="P375" s="122"/>
      <c r="Q375" s="122"/>
      <c r="R375" s="122"/>
      <c r="S375" s="122"/>
      <c r="T375" s="122"/>
      <c r="U375" s="122"/>
      <c r="V375" s="122"/>
      <c r="W375" s="122"/>
      <c r="X375" s="122"/>
      <c r="Y375" s="122"/>
      <c r="Z375" s="122"/>
    </row>
    <row r="376" spans="1:26" ht="12.75" x14ac:dyDescent="0.2">
      <c r="A376" s="122"/>
      <c r="B376" s="180"/>
      <c r="C376" s="152" t="s">
        <v>105</v>
      </c>
      <c r="D376" s="180"/>
      <c r="E376" s="180"/>
      <c r="F376" s="125">
        <f t="shared" si="144"/>
        <v>5.1393176470588244</v>
      </c>
      <c r="G376" s="125">
        <f t="shared" si="144"/>
        <v>5.1393176470588244</v>
      </c>
      <c r="H376" s="125">
        <f t="shared" si="144"/>
        <v>5.1393176470588244</v>
      </c>
      <c r="I376" s="125">
        <f t="shared" si="144"/>
        <v>5.1393176470588253</v>
      </c>
      <c r="J376" s="125">
        <f t="shared" si="144"/>
        <v>5.1393176470588244</v>
      </c>
      <c r="K376" s="125">
        <f t="shared" si="144"/>
        <v>5.1393176470588244</v>
      </c>
      <c r="L376" s="125">
        <f t="shared" si="144"/>
        <v>5.1393176470588235</v>
      </c>
      <c r="M376" s="125">
        <f t="shared" si="144"/>
        <v>5.1393176470588244</v>
      </c>
      <c r="N376" s="125">
        <f t="shared" si="144"/>
        <v>5.1393176470588244</v>
      </c>
      <c r="O376" s="125">
        <f t="shared" si="144"/>
        <v>5.1393176470588244</v>
      </c>
      <c r="P376" s="122"/>
      <c r="Q376" s="122"/>
      <c r="R376" s="122"/>
      <c r="S376" s="122"/>
      <c r="T376" s="122"/>
      <c r="U376" s="122"/>
      <c r="V376" s="122"/>
      <c r="W376" s="122"/>
      <c r="X376" s="122"/>
      <c r="Y376" s="122"/>
      <c r="Z376" s="122"/>
    </row>
    <row r="377" spans="1:26" ht="12.75" x14ac:dyDescent="0.2">
      <c r="A377" s="122"/>
      <c r="B377" s="180"/>
      <c r="C377" s="152" t="s">
        <v>108</v>
      </c>
      <c r="D377" s="180"/>
      <c r="E377" s="180"/>
      <c r="F377" s="125">
        <f t="shared" si="144"/>
        <v>4.8</v>
      </c>
      <c r="G377" s="125">
        <f t="shared" si="144"/>
        <v>5</v>
      </c>
      <c r="H377" s="125">
        <f t="shared" si="144"/>
        <v>5.2</v>
      </c>
      <c r="I377" s="125">
        <f t="shared" si="144"/>
        <v>5.5</v>
      </c>
      <c r="J377" s="125">
        <f t="shared" si="144"/>
        <v>5.7</v>
      </c>
      <c r="K377" s="125">
        <f t="shared" si="144"/>
        <v>6</v>
      </c>
      <c r="L377" s="125">
        <f t="shared" si="144"/>
        <v>6.3000000000000007</v>
      </c>
      <c r="M377" s="125">
        <f t="shared" si="144"/>
        <v>6.6</v>
      </c>
      <c r="N377" s="125">
        <f t="shared" si="144"/>
        <v>6.9</v>
      </c>
      <c r="O377" s="125">
        <f t="shared" si="144"/>
        <v>7.2</v>
      </c>
      <c r="P377" s="122"/>
      <c r="Q377" s="122"/>
      <c r="R377" s="122"/>
      <c r="S377" s="122"/>
      <c r="T377" s="122"/>
      <c r="U377" s="122"/>
      <c r="V377" s="122"/>
      <c r="W377" s="122"/>
      <c r="X377" s="122"/>
      <c r="Y377" s="122"/>
      <c r="Z377" s="122"/>
    </row>
    <row r="378" spans="1:26" ht="12.75" x14ac:dyDescent="0.2">
      <c r="A378" s="122"/>
      <c r="B378" s="155"/>
      <c r="C378" s="198" t="s">
        <v>217</v>
      </c>
      <c r="D378" s="198"/>
      <c r="E378" s="198"/>
      <c r="F378" s="200">
        <f t="shared" ref="F378:O378" si="145">SUM(F372:F377)</f>
        <v>66.274886700389516</v>
      </c>
      <c r="G378" s="200">
        <f t="shared" si="145"/>
        <v>66.474886700389504</v>
      </c>
      <c r="H378" s="200">
        <f t="shared" si="145"/>
        <v>66.674886700389521</v>
      </c>
      <c r="I378" s="200">
        <f t="shared" si="145"/>
        <v>66.974886700389519</v>
      </c>
      <c r="J378" s="200">
        <f t="shared" si="145"/>
        <v>67.174886700389521</v>
      </c>
      <c r="K378" s="200">
        <f t="shared" si="145"/>
        <v>67.474886700389519</v>
      </c>
      <c r="L378" s="200">
        <f t="shared" si="145"/>
        <v>67.774886700389516</v>
      </c>
      <c r="M378" s="200">
        <f t="shared" si="145"/>
        <v>68.074886700389527</v>
      </c>
      <c r="N378" s="200">
        <f t="shared" si="145"/>
        <v>68.374886700389524</v>
      </c>
      <c r="O378" s="200">
        <f t="shared" si="145"/>
        <v>68.674886700389521</v>
      </c>
      <c r="P378" s="122"/>
      <c r="Q378" s="122"/>
      <c r="R378" s="122"/>
      <c r="S378" s="122"/>
      <c r="T378" s="122"/>
      <c r="U378" s="122"/>
      <c r="V378" s="122"/>
      <c r="W378" s="122"/>
      <c r="X378" s="122"/>
      <c r="Y378" s="122"/>
      <c r="Z378" s="122"/>
    </row>
    <row r="379" spans="1:26" ht="12.75" x14ac:dyDescent="0.2">
      <c r="A379" s="122"/>
      <c r="B379" s="155"/>
      <c r="C379" s="155"/>
      <c r="D379" s="155"/>
      <c r="E379" s="155"/>
      <c r="F379" s="155"/>
      <c r="G379" s="155"/>
      <c r="H379" s="155"/>
      <c r="I379" s="155"/>
      <c r="J379" s="155"/>
      <c r="K379" s="155"/>
      <c r="L379" s="155"/>
      <c r="M379" s="155"/>
      <c r="N379" s="155"/>
      <c r="O379" s="155"/>
      <c r="P379" s="122"/>
      <c r="Q379" s="122"/>
      <c r="R379" s="122"/>
      <c r="S379" s="122"/>
      <c r="T379" s="122"/>
      <c r="U379" s="122"/>
      <c r="V379" s="122"/>
      <c r="W379" s="122"/>
      <c r="X379" s="122"/>
      <c r="Y379" s="122"/>
      <c r="Z379" s="122"/>
    </row>
    <row r="380" spans="1:26" ht="12.75" x14ac:dyDescent="0.2">
      <c r="A380" s="122"/>
      <c r="B380" s="180"/>
      <c r="C380" s="188" t="s">
        <v>287</v>
      </c>
      <c r="D380" s="201"/>
      <c r="E380" s="201"/>
      <c r="F380" s="202"/>
      <c r="G380" s="202"/>
      <c r="H380" s="202"/>
      <c r="I380" s="202"/>
      <c r="J380" s="202"/>
      <c r="K380" s="202"/>
      <c r="L380" s="202"/>
      <c r="M380" s="202"/>
      <c r="N380" s="202"/>
      <c r="O380" s="202"/>
      <c r="P380" s="122"/>
      <c r="Q380" s="122"/>
      <c r="R380" s="122"/>
      <c r="S380" s="122"/>
      <c r="T380" s="122"/>
      <c r="U380" s="122"/>
      <c r="V380" s="122"/>
      <c r="W380" s="122"/>
      <c r="X380" s="122"/>
      <c r="Y380" s="122"/>
      <c r="Z380" s="122"/>
    </row>
    <row r="381" spans="1:26" ht="12.75" x14ac:dyDescent="0.2">
      <c r="A381" s="122"/>
      <c r="B381" s="180"/>
      <c r="C381" s="155" t="s">
        <v>375</v>
      </c>
      <c r="D381" s="201"/>
      <c r="E381" s="201"/>
      <c r="F381" s="125">
        <f t="shared" ref="F381:O382" si="146">F244/F$120</f>
        <v>6.2941352727272717</v>
      </c>
      <c r="G381" s="183">
        <f t="shared" si="146"/>
        <v>6.5966562327272706</v>
      </c>
      <c r="H381" s="183">
        <f t="shared" si="146"/>
        <v>6.9112780311272726</v>
      </c>
      <c r="I381" s="183">
        <f t="shared" si="146"/>
        <v>7.2384847014632712</v>
      </c>
      <c r="J381" s="183">
        <f t="shared" si="146"/>
        <v>7.5787796386127129</v>
      </c>
      <c r="K381" s="183">
        <f t="shared" si="146"/>
        <v>7.9326863732481314</v>
      </c>
      <c r="L381" s="183">
        <f t="shared" si="146"/>
        <v>8.3007493772689642</v>
      </c>
      <c r="M381" s="183">
        <f t="shared" si="146"/>
        <v>8.6835349014506349</v>
      </c>
      <c r="N381" s="183">
        <f t="shared" si="146"/>
        <v>9.0816318465995689</v>
      </c>
      <c r="O381" s="183">
        <f t="shared" si="146"/>
        <v>9.4956526695544614</v>
      </c>
      <c r="P381" s="122"/>
      <c r="Q381" s="122"/>
      <c r="R381" s="122"/>
      <c r="S381" s="122"/>
      <c r="T381" s="122"/>
      <c r="U381" s="122"/>
      <c r="V381" s="122"/>
      <c r="W381" s="122"/>
      <c r="X381" s="122"/>
      <c r="Y381" s="122"/>
      <c r="Z381" s="122"/>
    </row>
    <row r="382" spans="1:26" ht="12.75" x14ac:dyDescent="0.2">
      <c r="A382" s="122"/>
      <c r="B382" s="180"/>
      <c r="C382" s="184" t="s">
        <v>284</v>
      </c>
      <c r="D382" s="185"/>
      <c r="E382" s="185"/>
      <c r="F382" s="236">
        <f t="shared" si="146"/>
        <v>2.4641820000000001</v>
      </c>
      <c r="G382" s="236">
        <f t="shared" si="146"/>
        <v>2.5627492799999998</v>
      </c>
      <c r="H382" s="236">
        <f t="shared" si="146"/>
        <v>2.6652592512000002</v>
      </c>
      <c r="I382" s="236">
        <f t="shared" si="146"/>
        <v>2.7718696212479998</v>
      </c>
      <c r="J382" s="236">
        <f t="shared" si="146"/>
        <v>2.8827444060979204</v>
      </c>
      <c r="K382" s="236">
        <f t="shared" si="146"/>
        <v>2.998054182341837</v>
      </c>
      <c r="L382" s="236">
        <f t="shared" si="146"/>
        <v>3.1179763496355108</v>
      </c>
      <c r="M382" s="236">
        <f t="shared" si="146"/>
        <v>3.2426954036209317</v>
      </c>
      <c r="N382" s="236">
        <f t="shared" si="146"/>
        <v>3.3724032197657694</v>
      </c>
      <c r="O382" s="236">
        <f t="shared" si="146"/>
        <v>3.5072993485564004</v>
      </c>
      <c r="P382" s="122"/>
      <c r="Q382" s="122"/>
      <c r="R382" s="122"/>
      <c r="S382" s="122"/>
      <c r="T382" s="122"/>
      <c r="U382" s="122"/>
      <c r="V382" s="122"/>
      <c r="W382" s="122"/>
      <c r="X382" s="122"/>
      <c r="Y382" s="122"/>
      <c r="Z382" s="122"/>
    </row>
    <row r="383" spans="1:26" ht="12.75" x14ac:dyDescent="0.2">
      <c r="A383" s="122"/>
      <c r="B383" s="180"/>
      <c r="C383" s="189" t="s">
        <v>289</v>
      </c>
      <c r="D383" s="201"/>
      <c r="E383" s="201"/>
      <c r="F383" s="202">
        <f t="shared" ref="F383:O383" si="147">SUM(F381:F382)</f>
        <v>8.7583172727272718</v>
      </c>
      <c r="G383" s="202">
        <f t="shared" si="147"/>
        <v>9.15940551272727</v>
      </c>
      <c r="H383" s="202">
        <f t="shared" si="147"/>
        <v>9.5765372823272727</v>
      </c>
      <c r="I383" s="202">
        <f t="shared" si="147"/>
        <v>10.010354322711271</v>
      </c>
      <c r="J383" s="202">
        <f t="shared" si="147"/>
        <v>10.461524044710632</v>
      </c>
      <c r="K383" s="202">
        <f t="shared" si="147"/>
        <v>10.930740555589969</v>
      </c>
      <c r="L383" s="202">
        <f t="shared" si="147"/>
        <v>11.418725726904475</v>
      </c>
      <c r="M383" s="202">
        <f t="shared" si="147"/>
        <v>11.926230305071567</v>
      </c>
      <c r="N383" s="202">
        <f t="shared" si="147"/>
        <v>12.454035066365339</v>
      </c>
      <c r="O383" s="202">
        <f t="shared" si="147"/>
        <v>13.002952018110861</v>
      </c>
      <c r="P383" s="122"/>
      <c r="Q383" s="122"/>
      <c r="R383" s="122"/>
      <c r="S383" s="122"/>
      <c r="T383" s="122"/>
      <c r="U383" s="122"/>
      <c r="V383" s="122"/>
      <c r="W383" s="122"/>
      <c r="X383" s="122"/>
      <c r="Y383" s="122"/>
      <c r="Z383" s="122"/>
    </row>
    <row r="384" spans="1:26" ht="12.75" x14ac:dyDescent="0.2">
      <c r="A384" s="122"/>
      <c r="B384" s="155"/>
      <c r="C384" s="155"/>
      <c r="D384" s="155"/>
      <c r="E384" s="155"/>
      <c r="F384" s="155"/>
      <c r="G384" s="155"/>
      <c r="H384" s="155"/>
      <c r="I384" s="155"/>
      <c r="J384" s="155"/>
      <c r="K384" s="155"/>
      <c r="L384" s="155"/>
      <c r="M384" s="155"/>
      <c r="N384" s="155"/>
      <c r="O384" s="155"/>
      <c r="P384" s="122"/>
      <c r="Q384" s="122"/>
      <c r="R384" s="122"/>
      <c r="S384" s="122"/>
      <c r="T384" s="122"/>
      <c r="U384" s="122"/>
      <c r="V384" s="122"/>
      <c r="W384" s="122"/>
      <c r="X384" s="122"/>
      <c r="Y384" s="122"/>
      <c r="Z384" s="122"/>
    </row>
    <row r="385" spans="1:26" ht="12.75" x14ac:dyDescent="0.2">
      <c r="A385" s="122"/>
      <c r="B385" s="155"/>
      <c r="C385" s="203" t="s">
        <v>236</v>
      </c>
      <c r="D385" s="203"/>
      <c r="E385" s="203"/>
      <c r="F385" s="204">
        <f t="shared" ref="F385:O385" si="148">F354+F364+F369+F378+F383</f>
        <v>174.96007713748105</v>
      </c>
      <c r="G385" s="204">
        <f t="shared" si="148"/>
        <v>175.56116537748105</v>
      </c>
      <c r="H385" s="204">
        <f t="shared" si="148"/>
        <v>176.17829714708105</v>
      </c>
      <c r="I385" s="204">
        <f t="shared" si="148"/>
        <v>176.91211418746505</v>
      </c>
      <c r="J385" s="204">
        <f t="shared" si="148"/>
        <v>165.71875774016326</v>
      </c>
      <c r="K385" s="204">
        <f t="shared" si="148"/>
        <v>166.4879742510426</v>
      </c>
      <c r="L385" s="204">
        <f t="shared" si="148"/>
        <v>167.27595942235712</v>
      </c>
      <c r="M385" s="204">
        <f t="shared" si="148"/>
        <v>168.08346400052417</v>
      </c>
      <c r="N385" s="204">
        <f t="shared" si="148"/>
        <v>168.91126876181795</v>
      </c>
      <c r="O385" s="204">
        <f t="shared" si="148"/>
        <v>169.76018571356349</v>
      </c>
      <c r="P385" s="122"/>
      <c r="Q385" s="122"/>
      <c r="R385" s="122"/>
      <c r="S385" s="122"/>
      <c r="T385" s="122"/>
      <c r="U385" s="122"/>
      <c r="V385" s="122"/>
      <c r="W385" s="122"/>
      <c r="X385" s="122"/>
      <c r="Y385" s="122"/>
      <c r="Z385" s="122"/>
    </row>
    <row r="386" spans="1:26" ht="12.75" x14ac:dyDescent="0.2">
      <c r="A386" s="122"/>
      <c r="B386" s="155"/>
      <c r="C386" s="155"/>
      <c r="D386" s="155"/>
      <c r="E386" s="155"/>
      <c r="F386" s="155"/>
      <c r="G386" s="155"/>
      <c r="H386" s="155"/>
      <c r="I386" s="155"/>
      <c r="J386" s="155"/>
      <c r="K386" s="155"/>
      <c r="L386" s="155"/>
      <c r="M386" s="155"/>
      <c r="N386" s="155"/>
      <c r="O386" s="155"/>
      <c r="P386" s="122"/>
      <c r="Q386" s="122"/>
      <c r="R386" s="122"/>
      <c r="S386" s="122"/>
      <c r="T386" s="122"/>
      <c r="U386" s="122"/>
      <c r="V386" s="122"/>
      <c r="W386" s="122"/>
      <c r="X386" s="122"/>
      <c r="Y386" s="122"/>
      <c r="Z386" s="122"/>
    </row>
    <row r="387" spans="1:26" ht="12.75" x14ac:dyDescent="0.2">
      <c r="A387" s="122"/>
      <c r="C387" s="206" t="s">
        <v>239</v>
      </c>
      <c r="D387" s="203"/>
      <c r="E387" s="203"/>
      <c r="F387" s="208">
        <f t="shared" ref="F387:O387" si="149">F349-F385</f>
        <v>7.0735410746646039</v>
      </c>
      <c r="G387" s="208">
        <f t="shared" si="149"/>
        <v>13.753797563150442</v>
      </c>
      <c r="H387" s="208">
        <f t="shared" si="149"/>
        <v>20.70926431117573</v>
      </c>
      <c r="I387" s="208">
        <f t="shared" si="149"/>
        <v>27.850949729121965</v>
      </c>
      <c r="J387" s="208">
        <f t="shared" si="149"/>
        <v>47.234828733087255</v>
      </c>
      <c r="K387" s="208">
        <f t="shared" si="149"/>
        <v>54.98375568113795</v>
      </c>
      <c r="L387" s="208">
        <f t="shared" si="149"/>
        <v>63.054639707110681</v>
      </c>
      <c r="M387" s="208">
        <f t="shared" si="149"/>
        <v>71.460359094122396</v>
      </c>
      <c r="N387" s="208">
        <f t="shared" si="149"/>
        <v>80.214307256614489</v>
      </c>
      <c r="O387" s="208">
        <f t="shared" si="149"/>
        <v>89.330413345606303</v>
      </c>
      <c r="P387" s="122"/>
      <c r="Q387" s="122"/>
      <c r="R387" s="122"/>
      <c r="S387" s="122"/>
      <c r="T387" s="122"/>
      <c r="U387" s="122"/>
      <c r="V387" s="122"/>
      <c r="W387" s="122"/>
      <c r="X387" s="122"/>
      <c r="Y387" s="122"/>
      <c r="Z387" s="122"/>
    </row>
    <row r="388" spans="1:26" ht="12.75" x14ac:dyDescent="0.2">
      <c r="A388" s="122"/>
      <c r="B388" s="122"/>
      <c r="C388" s="122"/>
      <c r="D388" s="122"/>
      <c r="E388" s="122"/>
      <c r="F388" s="122"/>
      <c r="G388" s="122"/>
      <c r="H388" s="122"/>
      <c r="I388" s="122"/>
      <c r="J388" s="122"/>
      <c r="K388" s="122"/>
      <c r="L388" s="122"/>
      <c r="M388" s="122"/>
      <c r="N388" s="122"/>
      <c r="O388" s="122"/>
      <c r="P388" s="122"/>
      <c r="Q388" s="122"/>
      <c r="R388" s="122"/>
      <c r="S388" s="122"/>
      <c r="T388" s="122"/>
      <c r="U388" s="122"/>
      <c r="V388" s="122"/>
      <c r="W388" s="122"/>
      <c r="X388" s="122"/>
      <c r="Y388" s="122"/>
      <c r="Z388" s="122"/>
    </row>
    <row r="389" spans="1:26" ht="12.75" x14ac:dyDescent="0.2">
      <c r="A389" s="145" t="s">
        <v>680</v>
      </c>
      <c r="B389" s="119"/>
      <c r="C389" s="119"/>
      <c r="D389" s="161" t="s">
        <v>174</v>
      </c>
      <c r="E389" s="161"/>
      <c r="F389" s="162">
        <v>0</v>
      </c>
      <c r="G389" s="162">
        <v>1</v>
      </c>
      <c r="H389" s="162">
        <v>2</v>
      </c>
      <c r="I389" s="162">
        <v>3</v>
      </c>
      <c r="J389" s="162">
        <v>4</v>
      </c>
      <c r="K389" s="162">
        <v>5</v>
      </c>
      <c r="L389" s="162">
        <v>6</v>
      </c>
      <c r="M389" s="162">
        <v>7</v>
      </c>
      <c r="N389" s="162">
        <v>8</v>
      </c>
      <c r="O389" s="162">
        <v>9</v>
      </c>
      <c r="P389" s="119"/>
      <c r="Q389" s="119"/>
      <c r="R389" s="119"/>
      <c r="S389" s="119"/>
      <c r="T389" s="119"/>
      <c r="U389" s="119"/>
      <c r="V389" s="119"/>
      <c r="W389" s="119"/>
      <c r="X389" s="119"/>
      <c r="Y389" s="119"/>
      <c r="Z389" s="119"/>
    </row>
    <row r="390" spans="1:26" ht="12.75" x14ac:dyDescent="0.2">
      <c r="A390" s="122"/>
      <c r="B390" s="154" t="s">
        <v>279</v>
      </c>
      <c r="C390" s="155"/>
      <c r="D390" s="155"/>
      <c r="E390" s="155"/>
      <c r="F390" s="155"/>
      <c r="G390" s="155"/>
      <c r="H390" s="155"/>
      <c r="I390" s="155"/>
      <c r="J390" s="155"/>
      <c r="K390" s="155"/>
      <c r="L390" s="155"/>
      <c r="M390" s="155"/>
      <c r="N390" s="155"/>
      <c r="O390" s="155"/>
      <c r="P390" s="122"/>
      <c r="Q390" s="122"/>
      <c r="R390" s="122"/>
      <c r="S390" s="122"/>
      <c r="T390" s="122"/>
      <c r="U390" s="122"/>
      <c r="V390" s="122"/>
      <c r="W390" s="122"/>
      <c r="X390" s="122"/>
      <c r="Y390" s="122"/>
      <c r="Z390" s="122"/>
    </row>
    <row r="391" spans="1:26" ht="12.75" x14ac:dyDescent="0.2">
      <c r="A391" s="122"/>
      <c r="B391" s="155"/>
      <c r="C391" s="155" t="s">
        <v>241</v>
      </c>
      <c r="D391" s="155"/>
      <c r="E391" s="155"/>
      <c r="F391" s="125">
        <f>F349-F298</f>
        <v>101.93882619880155</v>
      </c>
      <c r="G391" s="125">
        <f>G349-G298</f>
        <v>107.13770633494045</v>
      </c>
      <c r="H391" s="125">
        <f>H349-H298</f>
        <v>112.57369618081778</v>
      </c>
      <c r="I391" s="125">
        <f>I349-I298</f>
        <v>118.25703814193457</v>
      </c>
      <c r="J391" s="125">
        <f>J349-J298</f>
        <v>124.19840402845709</v>
      </c>
      <c r="K391" s="125">
        <f>K349-K298</f>
        <v>130.4089127438225</v>
      </c>
      <c r="L391" s="125">
        <f>L349-L298</f>
        <v>136.90014869421242</v>
      </c>
      <c r="M391" s="125">
        <f>M349-M298</f>
        <v>143.68418094807456</v>
      </c>
      <c r="N391" s="125">
        <f>N349-N298</f>
        <v>150.77358317604956</v>
      </c>
      <c r="O391" s="125">
        <f>O349-O298</f>
        <v>158.18145440288495</v>
      </c>
      <c r="P391" s="122"/>
      <c r="Q391" s="122"/>
      <c r="R391" s="122"/>
      <c r="S391" s="122"/>
      <c r="T391" s="122"/>
      <c r="U391" s="122"/>
      <c r="V391" s="122"/>
      <c r="W391" s="122"/>
      <c r="X391" s="122"/>
      <c r="Y391" s="122"/>
      <c r="Z391" s="122"/>
    </row>
    <row r="392" spans="1:26" ht="12.75" x14ac:dyDescent="0.2">
      <c r="A392" s="122"/>
      <c r="B392" s="155"/>
      <c r="C392" s="155" t="s">
        <v>242</v>
      </c>
      <c r="D392" s="155"/>
      <c r="E392" s="155"/>
      <c r="F392" s="125">
        <f>F385-F334</f>
        <v>84.620207008051651</v>
      </c>
      <c r="G392" s="125">
        <f>G385-G334</f>
        <v>85.106584011411641</v>
      </c>
      <c r="H392" s="125">
        <f>H385-H334</f>
        <v>85.506022052219009</v>
      </c>
      <c r="I392" s="125">
        <f>I385-I334</f>
        <v>86.019085326861756</v>
      </c>
      <c r="J392" s="125">
        <f>J385-J334</f>
        <v>74.701835515909437</v>
      </c>
      <c r="K392" s="125">
        <f>K385-K334</f>
        <v>75.24393743568335</v>
      </c>
      <c r="L392" s="125">
        <f>L385-L334</f>
        <v>75.801503036523684</v>
      </c>
      <c r="M392" s="125">
        <f>M385-M334</f>
        <v>76.375197135384241</v>
      </c>
      <c r="N392" s="125">
        <f>N385-N334</f>
        <v>77.065712344909542</v>
      </c>
      <c r="O392" s="125">
        <f>O385-O334</f>
        <v>77.673770216540632</v>
      </c>
      <c r="P392" s="122"/>
      <c r="Q392" s="122"/>
      <c r="R392" s="122"/>
      <c r="S392" s="122"/>
      <c r="T392" s="122"/>
      <c r="U392" s="122"/>
      <c r="V392" s="122"/>
      <c r="W392" s="122"/>
      <c r="X392" s="122"/>
      <c r="Y392" s="122"/>
      <c r="Z392" s="122"/>
    </row>
    <row r="393" spans="1:26" ht="12.75" x14ac:dyDescent="0.2">
      <c r="A393" s="122"/>
      <c r="B393" s="155"/>
      <c r="C393" s="155" t="s">
        <v>243</v>
      </c>
      <c r="D393" s="155"/>
      <c r="E393" s="155"/>
      <c r="F393" s="125">
        <f>F391-F392</f>
        <v>17.318619190749899</v>
      </c>
      <c r="G393" s="125">
        <f>G391-G392</f>
        <v>22.031122323528805</v>
      </c>
      <c r="H393" s="125">
        <f t="shared" ref="H393:O393" si="150">H391-H392</f>
        <v>27.067674128598767</v>
      </c>
      <c r="I393" s="125">
        <f t="shared" si="150"/>
        <v>32.237952815072816</v>
      </c>
      <c r="J393" s="125">
        <f t="shared" si="150"/>
        <v>49.496568512547654</v>
      </c>
      <c r="K393" s="125">
        <f t="shared" si="150"/>
        <v>55.164975308139148</v>
      </c>
      <c r="L393" s="125">
        <f t="shared" si="150"/>
        <v>61.098645657688735</v>
      </c>
      <c r="M393" s="125">
        <f t="shared" si="150"/>
        <v>67.308983812690315</v>
      </c>
      <c r="N393" s="125">
        <f t="shared" si="150"/>
        <v>73.707870831140013</v>
      </c>
      <c r="O393" s="125">
        <f t="shared" si="150"/>
        <v>80.507684186344321</v>
      </c>
      <c r="P393" s="122"/>
      <c r="Q393" s="122"/>
      <c r="R393" s="122"/>
      <c r="S393" s="122"/>
      <c r="T393" s="122"/>
      <c r="U393" s="122"/>
      <c r="V393" s="122"/>
      <c r="W393" s="122"/>
      <c r="X393" s="122"/>
      <c r="Y393" s="122"/>
      <c r="Z393" s="122"/>
    </row>
    <row r="394" spans="1:26" ht="13.5" thickBot="1" x14ac:dyDescent="0.25">
      <c r="A394" s="122"/>
      <c r="B394" s="155"/>
      <c r="C394" s="155"/>
      <c r="D394" s="155"/>
      <c r="E394" s="155"/>
      <c r="F394" s="155"/>
      <c r="G394" s="122"/>
      <c r="H394" s="122"/>
      <c r="I394" s="122"/>
      <c r="J394" s="122"/>
      <c r="K394" s="122"/>
      <c r="L394" s="122"/>
      <c r="M394" s="122"/>
      <c r="N394" s="122"/>
      <c r="O394" s="122"/>
      <c r="P394" s="122"/>
      <c r="Q394" s="122"/>
      <c r="R394" s="122"/>
      <c r="S394" s="122"/>
      <c r="T394" s="122"/>
      <c r="U394" s="122"/>
      <c r="V394" s="122"/>
      <c r="W394" s="122"/>
      <c r="X394" s="122"/>
      <c r="Y394" s="122"/>
      <c r="Z394" s="122"/>
    </row>
    <row r="395" spans="1:26" ht="13.5" thickTop="1" x14ac:dyDescent="0.2">
      <c r="A395" s="122"/>
      <c r="B395" s="155"/>
      <c r="C395" s="212" t="s">
        <v>249</v>
      </c>
      <c r="D395" s="212"/>
      <c r="E395" s="212"/>
      <c r="F395" s="130">
        <f>NPV($F$19,G393:O393)+F393</f>
        <v>216.16824515216629</v>
      </c>
      <c r="G395" s="122"/>
      <c r="H395" s="122"/>
      <c r="I395" s="122"/>
      <c r="J395" s="122"/>
      <c r="K395" s="122"/>
      <c r="L395" s="122"/>
      <c r="M395" s="122"/>
      <c r="N395" s="122"/>
      <c r="O395" s="122"/>
      <c r="P395" s="122"/>
      <c r="Q395" s="122"/>
      <c r="R395" s="122"/>
      <c r="S395" s="122"/>
      <c r="T395" s="122"/>
      <c r="U395" s="122"/>
      <c r="V395" s="122"/>
      <c r="W395" s="122"/>
      <c r="X395" s="122"/>
      <c r="Y395" s="122"/>
      <c r="Z395" s="122"/>
    </row>
    <row r="396" spans="1:26" ht="13.5" thickBot="1" x14ac:dyDescent="0.25">
      <c r="A396" s="122"/>
      <c r="B396" s="155"/>
      <c r="C396" s="211" t="s">
        <v>390</v>
      </c>
      <c r="D396" s="211"/>
      <c r="E396" s="211"/>
      <c r="F396" s="131">
        <f>F395/$F$10*1000</f>
        <v>1372.1483125058162</v>
      </c>
      <c r="G396" s="122"/>
      <c r="H396" s="122"/>
      <c r="I396" s="122"/>
      <c r="J396" s="122"/>
      <c r="K396" s="122"/>
      <c r="L396" s="122"/>
      <c r="M396" s="122"/>
      <c r="N396" s="122"/>
      <c r="O396" s="122"/>
      <c r="P396" s="122"/>
      <c r="Q396" s="122"/>
      <c r="R396" s="122"/>
      <c r="S396" s="122"/>
      <c r="T396" s="122"/>
      <c r="U396" s="122"/>
      <c r="V396" s="122"/>
      <c r="W396" s="122"/>
      <c r="X396" s="122"/>
      <c r="Y396" s="122"/>
      <c r="Z396" s="122"/>
    </row>
    <row r="397" spans="1:26" ht="13.5" thickTop="1" x14ac:dyDescent="0.2">
      <c r="A397" s="122"/>
      <c r="B397" s="122"/>
      <c r="C397" s="122"/>
      <c r="D397" s="122"/>
      <c r="E397" s="122"/>
      <c r="F397" s="122"/>
      <c r="G397" s="122"/>
      <c r="H397" s="122"/>
      <c r="I397" s="122"/>
      <c r="J397" s="122"/>
      <c r="K397" s="122"/>
      <c r="L397" s="122"/>
      <c r="M397" s="122"/>
      <c r="N397" s="122"/>
      <c r="O397" s="122"/>
      <c r="P397" s="122"/>
      <c r="Q397" s="122"/>
      <c r="R397" s="122"/>
      <c r="S397" s="122"/>
      <c r="T397" s="122"/>
      <c r="U397" s="122"/>
      <c r="V397" s="122"/>
      <c r="W397" s="122"/>
      <c r="X397" s="122"/>
      <c r="Y397" s="122"/>
      <c r="Z397" s="122"/>
    </row>
    <row r="398" spans="1:26" ht="12.75" x14ac:dyDescent="0.2">
      <c r="A398" s="340" t="s">
        <v>705</v>
      </c>
      <c r="B398" s="119"/>
      <c r="C398" s="150"/>
      <c r="D398" s="161" t="s">
        <v>174</v>
      </c>
      <c r="E398" s="161"/>
      <c r="F398" s="162">
        <v>0</v>
      </c>
      <c r="G398" s="162">
        <v>1</v>
      </c>
      <c r="H398" s="162">
        <v>2</v>
      </c>
      <c r="I398" s="162">
        <v>3</v>
      </c>
      <c r="J398" s="162">
        <v>4</v>
      </c>
      <c r="K398" s="162">
        <v>5</v>
      </c>
      <c r="L398" s="162">
        <v>6</v>
      </c>
      <c r="M398" s="162">
        <v>7</v>
      </c>
      <c r="N398" s="162">
        <v>8</v>
      </c>
      <c r="O398" s="162">
        <v>9</v>
      </c>
      <c r="P398" s="119"/>
      <c r="Q398" s="119"/>
      <c r="R398" s="119"/>
      <c r="S398" s="119"/>
      <c r="T398" s="119"/>
      <c r="U398" s="119"/>
      <c r="V398" s="119"/>
      <c r="W398" s="119"/>
      <c r="X398" s="119"/>
      <c r="Y398" s="119"/>
      <c r="Z398" s="119"/>
    </row>
    <row r="399" spans="1:26" ht="12.75" x14ac:dyDescent="0.2">
      <c r="A399" s="122"/>
      <c r="B399" s="154" t="s">
        <v>244</v>
      </c>
      <c r="C399" s="155"/>
      <c r="D399" s="155"/>
      <c r="E399" s="155"/>
      <c r="F399" s="155"/>
      <c r="G399" s="155"/>
      <c r="H399" s="155"/>
      <c r="I399" s="155"/>
      <c r="J399" s="155"/>
      <c r="K399" s="155"/>
      <c r="L399" s="155"/>
      <c r="M399" s="155"/>
      <c r="N399" s="155"/>
      <c r="O399" s="155"/>
      <c r="P399" s="122"/>
      <c r="Q399" s="122"/>
      <c r="R399" s="122"/>
      <c r="S399" s="122"/>
      <c r="T399" s="122"/>
      <c r="U399" s="122"/>
      <c r="V399" s="122"/>
      <c r="W399" s="122"/>
      <c r="X399" s="122"/>
      <c r="Y399" s="122"/>
      <c r="Z399" s="122"/>
    </row>
    <row r="400" spans="1:26" ht="12.75" x14ac:dyDescent="0.2">
      <c r="A400" s="122"/>
      <c r="B400" s="122"/>
      <c r="C400" s="173"/>
      <c r="D400" s="122"/>
      <c r="E400" s="122"/>
      <c r="F400" s="122"/>
      <c r="G400" s="122"/>
      <c r="H400" s="122"/>
      <c r="I400" s="122"/>
      <c r="J400" s="122"/>
      <c r="K400" s="122"/>
      <c r="L400" s="122"/>
      <c r="M400" s="122"/>
      <c r="N400" s="122"/>
      <c r="O400" s="122"/>
      <c r="P400" s="122"/>
      <c r="Q400" s="122"/>
      <c r="R400" s="122"/>
      <c r="S400" s="122"/>
      <c r="T400" s="122"/>
      <c r="U400" s="122"/>
      <c r="V400" s="122"/>
      <c r="W400" s="122"/>
      <c r="X400" s="122"/>
      <c r="Y400" s="122"/>
      <c r="Z400" s="122"/>
    </row>
    <row r="401" spans="1:26" ht="12.75" x14ac:dyDescent="0.2">
      <c r="A401" s="122"/>
      <c r="B401" s="179" t="s">
        <v>708</v>
      </c>
      <c r="C401" s="155"/>
      <c r="D401" s="180"/>
      <c r="E401" s="180"/>
      <c r="F401" s="180"/>
      <c r="G401" s="180"/>
      <c r="H401" s="180"/>
      <c r="I401" s="180"/>
      <c r="J401" s="180"/>
      <c r="K401" s="180"/>
      <c r="L401" s="180"/>
      <c r="M401" s="180"/>
      <c r="N401" s="180"/>
      <c r="O401" s="180"/>
      <c r="P401" s="122"/>
      <c r="Q401" s="122"/>
      <c r="R401" s="122"/>
      <c r="S401" s="122"/>
      <c r="T401" s="122"/>
      <c r="U401" s="122"/>
      <c r="V401" s="122"/>
      <c r="W401" s="122"/>
      <c r="X401" s="122"/>
      <c r="Y401" s="122"/>
      <c r="Z401" s="122"/>
    </row>
    <row r="402" spans="1:26" ht="12.75" x14ac:dyDescent="0.2">
      <c r="A402" s="122"/>
      <c r="C402" s="232" t="s">
        <v>671</v>
      </c>
      <c r="D402" s="180"/>
      <c r="E402" s="307" t="s">
        <v>666</v>
      </c>
      <c r="F402" s="180"/>
      <c r="G402" s="180"/>
      <c r="H402" s="180"/>
      <c r="I402" s="180"/>
      <c r="J402" s="180"/>
      <c r="K402" s="180"/>
      <c r="L402" s="180"/>
      <c r="M402" s="180"/>
      <c r="N402" s="180"/>
      <c r="O402" s="180"/>
      <c r="P402" s="122"/>
      <c r="Q402" s="122"/>
      <c r="R402" s="122"/>
      <c r="S402" s="122"/>
      <c r="T402" s="122"/>
      <c r="U402" s="122"/>
      <c r="V402" s="122"/>
      <c r="W402" s="122"/>
      <c r="X402" s="122"/>
      <c r="Y402" s="122"/>
      <c r="Z402" s="122"/>
    </row>
    <row r="403" spans="1:26" ht="12.75" x14ac:dyDescent="0.2">
      <c r="A403" s="122"/>
      <c r="B403" s="192"/>
      <c r="C403" s="188" t="s">
        <v>388</v>
      </c>
      <c r="D403" s="180"/>
      <c r="E403" s="180"/>
      <c r="F403" s="180"/>
      <c r="G403" s="180"/>
      <c r="H403" s="180"/>
      <c r="I403" s="180"/>
      <c r="J403" s="180"/>
      <c r="K403" s="180"/>
      <c r="L403" s="180"/>
      <c r="M403" s="180"/>
      <c r="N403" s="180"/>
      <c r="O403" s="180"/>
      <c r="P403" s="122"/>
      <c r="Q403" s="122"/>
      <c r="R403" s="122"/>
      <c r="S403" s="122"/>
      <c r="T403" s="122"/>
      <c r="U403" s="122"/>
      <c r="V403" s="122"/>
      <c r="W403" s="122"/>
      <c r="X403" s="122"/>
      <c r="Y403" s="122"/>
      <c r="Z403" s="122"/>
    </row>
    <row r="404" spans="1:26" ht="12.75" x14ac:dyDescent="0.2">
      <c r="A404" s="122"/>
      <c r="B404" s="180"/>
      <c r="C404" s="152" t="s">
        <v>384</v>
      </c>
      <c r="D404" s="180"/>
      <c r="E404" s="338">
        <f>CFs!$C$107</f>
        <v>1.0441440424464918</v>
      </c>
      <c r="F404" s="125">
        <f>F289*$E404</f>
        <v>92.716740478629816</v>
      </c>
      <c r="G404" s="125">
        <f>G289*$E404</f>
        <v>95.127375731074196</v>
      </c>
      <c r="H404" s="125">
        <f>H289*$E404</f>
        <v>97.600687500082117</v>
      </c>
      <c r="I404" s="125">
        <f>I289*$E404</f>
        <v>100.13830537508427</v>
      </c>
      <c r="J404" s="125">
        <f>J289*$E404</f>
        <v>102.74190131483648</v>
      </c>
      <c r="K404" s="125">
        <f>K289*$E404</f>
        <v>105.41319074902222</v>
      </c>
      <c r="L404" s="125">
        <f>L289*$E404</f>
        <v>108.15393370849682</v>
      </c>
      <c r="M404" s="125">
        <f>M289*$E404</f>
        <v>110.96593598491775</v>
      </c>
      <c r="N404" s="125">
        <f>N289*$E404</f>
        <v>113.85105032052559</v>
      </c>
      <c r="O404" s="125">
        <f>O289*$E404</f>
        <v>116.81117762885927</v>
      </c>
      <c r="P404" s="122"/>
      <c r="Q404" s="122"/>
      <c r="R404" s="122"/>
      <c r="S404" s="122"/>
      <c r="T404" s="122"/>
      <c r="U404" s="122"/>
      <c r="V404" s="122"/>
      <c r="W404" s="122"/>
      <c r="X404" s="122"/>
      <c r="Y404" s="122"/>
      <c r="Z404" s="122"/>
    </row>
    <row r="405" spans="1:26" ht="12.75" x14ac:dyDescent="0.2">
      <c r="A405" s="122"/>
      <c r="B405" s="180"/>
      <c r="C405" s="152" t="s">
        <v>231</v>
      </c>
      <c r="D405" s="180"/>
      <c r="E405" s="338">
        <f>CFs!$C$107</f>
        <v>1.0441440424464918</v>
      </c>
      <c r="F405" s="125">
        <f>F290*$E405</f>
        <v>9.0862405669057225</v>
      </c>
      <c r="G405" s="125">
        <f>G290*$E405</f>
        <v>9.3224828216452718</v>
      </c>
      <c r="H405" s="125">
        <f>H290*$E405</f>
        <v>9.5648673750080491</v>
      </c>
      <c r="I405" s="125">
        <f>I290*$E405</f>
        <v>9.8135539267582601</v>
      </c>
      <c r="J405" s="125">
        <f>J290*$E405</f>
        <v>10.068706328853974</v>
      </c>
      <c r="K405" s="125">
        <f>K290*$E405</f>
        <v>10.33049269340418</v>
      </c>
      <c r="L405" s="125">
        <f>L290*$E405</f>
        <v>10.599085503432688</v>
      </c>
      <c r="M405" s="125">
        <f>M290*$E405</f>
        <v>10.874661726521939</v>
      </c>
      <c r="N405" s="125">
        <f>N290*$E405</f>
        <v>11.157402931411509</v>
      </c>
      <c r="O405" s="125">
        <f>O290*$E405</f>
        <v>11.447495407628208</v>
      </c>
      <c r="P405" s="122"/>
      <c r="Q405" s="122"/>
      <c r="R405" s="122"/>
      <c r="S405" s="122"/>
      <c r="T405" s="122"/>
      <c r="U405" s="122"/>
      <c r="V405" s="122"/>
      <c r="W405" s="122"/>
      <c r="X405" s="122"/>
      <c r="Y405" s="122"/>
      <c r="Z405" s="122"/>
    </row>
    <row r="406" spans="1:26" ht="12.75" x14ac:dyDescent="0.2">
      <c r="A406" s="122"/>
      <c r="B406" s="180"/>
      <c r="C406" s="198" t="s">
        <v>389</v>
      </c>
      <c r="D406" s="182"/>
      <c r="E406" s="182"/>
      <c r="F406" s="193">
        <f t="shared" ref="F406:O406" si="151">F404-F405</f>
        <v>83.630499911724087</v>
      </c>
      <c r="G406" s="193">
        <f t="shared" si="151"/>
        <v>85.804892909428929</v>
      </c>
      <c r="H406" s="193">
        <f t="shared" si="151"/>
        <v>88.035820125074068</v>
      </c>
      <c r="I406" s="193">
        <f t="shared" si="151"/>
        <v>90.324751448326012</v>
      </c>
      <c r="J406" s="193">
        <f t="shared" si="151"/>
        <v>92.673194985982505</v>
      </c>
      <c r="K406" s="193">
        <f t="shared" si="151"/>
        <v>95.082698055618039</v>
      </c>
      <c r="L406" s="193">
        <f t="shared" si="151"/>
        <v>97.554848205064133</v>
      </c>
      <c r="M406" s="193">
        <f t="shared" si="151"/>
        <v>100.09127425839581</v>
      </c>
      <c r="N406" s="193">
        <f t="shared" si="151"/>
        <v>102.69364738911408</v>
      </c>
      <c r="O406" s="193">
        <f t="shared" si="151"/>
        <v>105.36368222123106</v>
      </c>
      <c r="P406" s="122"/>
      <c r="Q406" s="122"/>
      <c r="R406" s="122"/>
      <c r="S406" s="122"/>
      <c r="T406" s="122"/>
      <c r="U406" s="122"/>
      <c r="V406" s="122"/>
      <c r="W406" s="122"/>
      <c r="X406" s="122"/>
      <c r="Y406" s="122"/>
      <c r="Z406" s="122"/>
    </row>
    <row r="407" spans="1:26" ht="12.75" x14ac:dyDescent="0.2">
      <c r="A407" s="122"/>
      <c r="B407" s="180"/>
      <c r="C407" s="152"/>
      <c r="D407" s="180"/>
      <c r="E407" s="180"/>
      <c r="F407" s="194"/>
      <c r="G407" s="194"/>
      <c r="H407" s="194"/>
      <c r="I407" s="194"/>
      <c r="J407" s="194"/>
      <c r="K407" s="194"/>
      <c r="L407" s="194"/>
      <c r="M407" s="194"/>
      <c r="N407" s="194"/>
      <c r="O407" s="194"/>
      <c r="P407" s="122"/>
      <c r="Q407" s="122"/>
      <c r="R407" s="122"/>
      <c r="S407" s="122"/>
      <c r="T407" s="122"/>
      <c r="U407" s="122"/>
      <c r="V407" s="122"/>
      <c r="W407" s="122"/>
      <c r="X407" s="122"/>
      <c r="Y407" s="122"/>
      <c r="Z407" s="122"/>
    </row>
    <row r="408" spans="1:26" ht="12.75" x14ac:dyDescent="0.2">
      <c r="A408" s="122"/>
      <c r="B408" s="180"/>
      <c r="C408" s="188" t="s">
        <v>266</v>
      </c>
      <c r="D408" s="180"/>
      <c r="E408" s="180"/>
      <c r="F408" s="194"/>
      <c r="G408" s="194"/>
      <c r="H408" s="194"/>
      <c r="I408" s="194"/>
      <c r="J408" s="194"/>
      <c r="K408" s="194"/>
      <c r="L408" s="194"/>
      <c r="M408" s="194"/>
      <c r="N408" s="194"/>
      <c r="O408" s="194"/>
      <c r="P408" s="122"/>
      <c r="Q408" s="122"/>
      <c r="R408" s="122"/>
      <c r="S408" s="122"/>
      <c r="T408" s="122"/>
      <c r="U408" s="122"/>
      <c r="V408" s="122"/>
      <c r="W408" s="122"/>
      <c r="X408" s="122"/>
      <c r="Y408" s="122"/>
      <c r="Z408" s="122"/>
    </row>
    <row r="409" spans="1:26" ht="12.75" x14ac:dyDescent="0.2">
      <c r="A409" s="122"/>
      <c r="B409" s="180"/>
      <c r="C409" s="155" t="s">
        <v>267</v>
      </c>
      <c r="D409" s="180"/>
      <c r="E409" s="338">
        <v>0</v>
      </c>
      <c r="F409" s="125">
        <f>F294*$E409</f>
        <v>0</v>
      </c>
      <c r="G409" s="125">
        <f>G294*$E409</f>
        <v>0</v>
      </c>
      <c r="H409" s="125">
        <f>H294*$E409</f>
        <v>0</v>
      </c>
      <c r="I409" s="125">
        <f>I294*$E409</f>
        <v>0</v>
      </c>
      <c r="J409" s="125">
        <f>J294*$E409</f>
        <v>0</v>
      </c>
      <c r="K409" s="125">
        <f>K294*$E409</f>
        <v>0</v>
      </c>
      <c r="L409" s="125">
        <f>L294*$E409</f>
        <v>0</v>
      </c>
      <c r="M409" s="125">
        <f>M294*$E409</f>
        <v>0</v>
      </c>
      <c r="N409" s="125">
        <f>N294*$E409</f>
        <v>0</v>
      </c>
      <c r="O409" s="125">
        <f>O294*$E409</f>
        <v>0</v>
      </c>
      <c r="P409" s="122"/>
      <c r="Q409" s="122"/>
      <c r="R409" s="122"/>
      <c r="S409" s="122"/>
      <c r="T409" s="122"/>
      <c r="U409" s="122"/>
      <c r="V409" s="122"/>
      <c r="W409" s="122"/>
      <c r="X409" s="122"/>
      <c r="Y409" s="122"/>
      <c r="Z409" s="122"/>
    </row>
    <row r="410" spans="1:26" ht="12.75" x14ac:dyDescent="0.2">
      <c r="A410" s="122"/>
      <c r="B410" s="180"/>
      <c r="C410" s="155" t="s">
        <v>138</v>
      </c>
      <c r="D410" s="180"/>
      <c r="E410" s="338">
        <v>0</v>
      </c>
      <c r="F410" s="125">
        <f>F295*$E410</f>
        <v>0</v>
      </c>
      <c r="G410" s="125">
        <f>G295*$E410</f>
        <v>0</v>
      </c>
      <c r="H410" s="125">
        <f>H295*$E410</f>
        <v>0</v>
      </c>
      <c r="I410" s="125">
        <f>I295*$E410</f>
        <v>0</v>
      </c>
      <c r="J410" s="125">
        <f>J295*$E410</f>
        <v>0</v>
      </c>
      <c r="K410" s="125">
        <f>K295*$E410</f>
        <v>0</v>
      </c>
      <c r="L410" s="125">
        <f>L295*$E410</f>
        <v>0</v>
      </c>
      <c r="M410" s="125">
        <f>M295*$E410</f>
        <v>0</v>
      </c>
      <c r="N410" s="125">
        <f>N295*$E410</f>
        <v>0</v>
      </c>
      <c r="O410" s="125">
        <f>O295*$E410</f>
        <v>0</v>
      </c>
      <c r="P410" s="122"/>
      <c r="Q410" s="122"/>
      <c r="R410" s="122"/>
      <c r="S410" s="122"/>
      <c r="T410" s="122"/>
      <c r="U410" s="122"/>
      <c r="V410" s="122"/>
      <c r="W410" s="122"/>
      <c r="X410" s="122"/>
      <c r="Y410" s="122"/>
      <c r="Z410" s="122"/>
    </row>
    <row r="411" spans="1:26" ht="12.75" x14ac:dyDescent="0.2">
      <c r="A411" s="122"/>
      <c r="B411" s="180"/>
      <c r="C411" s="198" t="s">
        <v>247</v>
      </c>
      <c r="D411" s="182"/>
      <c r="E411" s="182"/>
      <c r="F411" s="193">
        <f>SUM(F409:F410)</f>
        <v>0</v>
      </c>
      <c r="G411" s="193">
        <f t="shared" ref="G411:O411" si="152">SUM(G409:G410)</f>
        <v>0</v>
      </c>
      <c r="H411" s="193">
        <f t="shared" si="152"/>
        <v>0</v>
      </c>
      <c r="I411" s="193">
        <f t="shared" si="152"/>
        <v>0</v>
      </c>
      <c r="J411" s="193">
        <f t="shared" si="152"/>
        <v>0</v>
      </c>
      <c r="K411" s="193">
        <f t="shared" si="152"/>
        <v>0</v>
      </c>
      <c r="L411" s="193">
        <f t="shared" si="152"/>
        <v>0</v>
      </c>
      <c r="M411" s="193">
        <f t="shared" si="152"/>
        <v>0</v>
      </c>
      <c r="N411" s="193">
        <f t="shared" si="152"/>
        <v>0</v>
      </c>
      <c r="O411" s="193">
        <f t="shared" si="152"/>
        <v>0</v>
      </c>
      <c r="P411" s="122"/>
      <c r="Q411" s="122"/>
      <c r="R411" s="122"/>
      <c r="S411" s="122"/>
      <c r="T411" s="122"/>
      <c r="U411" s="122"/>
      <c r="V411" s="122"/>
      <c r="W411" s="122"/>
      <c r="X411" s="122"/>
      <c r="Y411" s="122"/>
      <c r="Z411" s="122"/>
    </row>
    <row r="412" spans="1:26" ht="12.75" x14ac:dyDescent="0.2">
      <c r="A412" s="122"/>
      <c r="B412" s="180"/>
      <c r="C412" s="152"/>
      <c r="D412" s="180"/>
      <c r="E412" s="180"/>
      <c r="F412" s="194"/>
      <c r="G412" s="194"/>
      <c r="H412" s="194"/>
      <c r="I412" s="194"/>
      <c r="J412" s="194"/>
      <c r="K412" s="194"/>
      <c r="L412" s="194"/>
      <c r="M412" s="194"/>
      <c r="N412" s="194"/>
      <c r="O412" s="194"/>
      <c r="P412" s="122"/>
      <c r="Q412" s="122"/>
      <c r="R412" s="122"/>
      <c r="S412" s="122"/>
      <c r="T412" s="122"/>
      <c r="U412" s="122"/>
      <c r="V412" s="122"/>
      <c r="W412" s="122"/>
      <c r="X412" s="122"/>
      <c r="Y412" s="122"/>
      <c r="Z412" s="122"/>
    </row>
    <row r="413" spans="1:26" ht="12.75" x14ac:dyDescent="0.2">
      <c r="A413" s="122"/>
      <c r="B413" s="180"/>
      <c r="C413" s="203" t="s">
        <v>675</v>
      </c>
      <c r="D413" s="195"/>
      <c r="E413" s="195"/>
      <c r="F413" s="196">
        <f>F406+F411</f>
        <v>83.630499911724087</v>
      </c>
      <c r="G413" s="196">
        <f t="shared" ref="G413:O413" si="153">G406+G411</f>
        <v>85.804892909428929</v>
      </c>
      <c r="H413" s="196">
        <f t="shared" si="153"/>
        <v>88.035820125074068</v>
      </c>
      <c r="I413" s="196">
        <f t="shared" si="153"/>
        <v>90.324751448326012</v>
      </c>
      <c r="J413" s="196">
        <f t="shared" si="153"/>
        <v>92.673194985982505</v>
      </c>
      <c r="K413" s="196">
        <f t="shared" si="153"/>
        <v>95.082698055618039</v>
      </c>
      <c r="L413" s="196">
        <f t="shared" si="153"/>
        <v>97.554848205064133</v>
      </c>
      <c r="M413" s="196">
        <f t="shared" si="153"/>
        <v>100.09127425839581</v>
      </c>
      <c r="N413" s="196">
        <f t="shared" si="153"/>
        <v>102.69364738911408</v>
      </c>
      <c r="O413" s="196">
        <f t="shared" si="153"/>
        <v>105.36368222123106</v>
      </c>
      <c r="P413" s="122"/>
      <c r="Q413" s="122"/>
      <c r="R413" s="122"/>
      <c r="S413" s="122"/>
      <c r="T413" s="122"/>
      <c r="U413" s="122"/>
      <c r="V413" s="122"/>
      <c r="W413" s="122"/>
      <c r="X413" s="122"/>
      <c r="Y413" s="122"/>
      <c r="Z413" s="122"/>
    </row>
    <row r="414" spans="1:26" ht="12.75" x14ac:dyDescent="0.2">
      <c r="A414" s="122"/>
      <c r="B414" s="180"/>
      <c r="C414" s="155"/>
      <c r="D414" s="180"/>
      <c r="E414" s="180"/>
      <c r="F414" s="180"/>
      <c r="G414" s="180"/>
      <c r="H414" s="180"/>
      <c r="I414" s="180"/>
      <c r="J414" s="180"/>
      <c r="K414" s="180"/>
      <c r="L414" s="180"/>
      <c r="M414" s="180"/>
      <c r="N414" s="180"/>
      <c r="O414" s="180"/>
      <c r="P414" s="122"/>
      <c r="Q414" s="122"/>
      <c r="R414" s="122"/>
      <c r="S414" s="122"/>
      <c r="T414" s="122"/>
      <c r="U414" s="122"/>
      <c r="V414" s="122"/>
      <c r="W414" s="122"/>
      <c r="X414" s="122"/>
      <c r="Y414" s="122"/>
      <c r="Z414" s="122"/>
    </row>
    <row r="415" spans="1:26" ht="12.75" x14ac:dyDescent="0.2">
      <c r="A415" s="122"/>
      <c r="C415" s="232" t="s">
        <v>670</v>
      </c>
      <c r="D415" s="180"/>
      <c r="E415" s="180"/>
      <c r="F415" s="180"/>
      <c r="G415" s="180"/>
      <c r="H415" s="180"/>
      <c r="I415" s="180"/>
      <c r="J415" s="180"/>
      <c r="K415" s="180"/>
      <c r="L415" s="180"/>
      <c r="M415" s="180"/>
      <c r="N415" s="180"/>
      <c r="O415" s="180"/>
      <c r="P415" s="122"/>
      <c r="Q415" s="122"/>
      <c r="R415" s="122"/>
      <c r="S415" s="122"/>
      <c r="T415" s="122"/>
      <c r="U415" s="122"/>
      <c r="V415" s="122"/>
      <c r="W415" s="122"/>
      <c r="X415" s="122"/>
      <c r="Y415" s="122"/>
      <c r="Z415" s="122"/>
    </row>
    <row r="416" spans="1:26" ht="12.75" x14ac:dyDescent="0.2">
      <c r="A416" s="122"/>
      <c r="B416" s="192"/>
      <c r="C416" s="188" t="s">
        <v>144</v>
      </c>
      <c r="D416" s="180"/>
      <c r="E416" s="180"/>
      <c r="F416" s="180"/>
      <c r="G416" s="180"/>
      <c r="H416" s="180"/>
      <c r="I416" s="180"/>
      <c r="J416" s="180"/>
      <c r="K416" s="180"/>
      <c r="L416" s="180"/>
      <c r="M416" s="180"/>
      <c r="N416" s="180"/>
      <c r="O416" s="180"/>
      <c r="P416" s="122"/>
      <c r="Q416" s="122"/>
      <c r="R416" s="122"/>
      <c r="S416" s="122"/>
      <c r="T416" s="122"/>
      <c r="U416" s="122"/>
      <c r="V416" s="122"/>
      <c r="W416" s="122"/>
      <c r="X416" s="122"/>
      <c r="Y416" s="122"/>
      <c r="Z416" s="122"/>
    </row>
    <row r="417" spans="1:26" ht="12.75" x14ac:dyDescent="0.2">
      <c r="A417" s="122"/>
      <c r="B417" s="192"/>
      <c r="C417" s="155" t="s">
        <v>245</v>
      </c>
      <c r="D417" s="180"/>
      <c r="E417" s="338">
        <v>0</v>
      </c>
      <c r="F417" s="125">
        <f>F302*$E417</f>
        <v>0</v>
      </c>
      <c r="G417" s="125">
        <f>G302*$E417</f>
        <v>0</v>
      </c>
      <c r="H417" s="125">
        <f>H302*$E417</f>
        <v>0</v>
      </c>
      <c r="I417" s="125">
        <f>I302*$E417</f>
        <v>0</v>
      </c>
      <c r="J417" s="125">
        <f>J302*$E417</f>
        <v>0</v>
      </c>
      <c r="K417" s="125">
        <f>K302*$E417</f>
        <v>0</v>
      </c>
      <c r="L417" s="125">
        <f>L302*$E417</f>
        <v>0</v>
      </c>
      <c r="M417" s="125">
        <f>M302*$E417</f>
        <v>0</v>
      </c>
      <c r="N417" s="125">
        <f>N302*$E417</f>
        <v>0</v>
      </c>
      <c r="O417" s="125">
        <f>O302*$E417</f>
        <v>0</v>
      </c>
      <c r="P417" s="122"/>
      <c r="Q417" s="122"/>
      <c r="R417" s="122"/>
      <c r="S417" s="122"/>
      <c r="T417" s="122"/>
      <c r="U417" s="122"/>
      <c r="V417" s="122"/>
      <c r="W417" s="122"/>
      <c r="X417" s="122"/>
      <c r="Y417" s="122"/>
      <c r="Z417" s="122"/>
    </row>
    <row r="418" spans="1:26" ht="12.75" x14ac:dyDescent="0.2">
      <c r="A418" s="122"/>
      <c r="B418" s="192"/>
      <c r="C418" s="198" t="s">
        <v>245</v>
      </c>
      <c r="D418" s="182"/>
      <c r="E418" s="182"/>
      <c r="F418" s="193">
        <f>F417</f>
        <v>0</v>
      </c>
      <c r="G418" s="193">
        <f t="shared" ref="G418:O418" si="154">G417</f>
        <v>0</v>
      </c>
      <c r="H418" s="193">
        <f t="shared" si="154"/>
        <v>0</v>
      </c>
      <c r="I418" s="193">
        <f t="shared" si="154"/>
        <v>0</v>
      </c>
      <c r="J418" s="193">
        <f t="shared" si="154"/>
        <v>0</v>
      </c>
      <c r="K418" s="193">
        <f t="shared" si="154"/>
        <v>0</v>
      </c>
      <c r="L418" s="193">
        <f t="shared" si="154"/>
        <v>0</v>
      </c>
      <c r="M418" s="193">
        <f t="shared" si="154"/>
        <v>0</v>
      </c>
      <c r="N418" s="193">
        <f t="shared" si="154"/>
        <v>0</v>
      </c>
      <c r="O418" s="193">
        <f t="shared" si="154"/>
        <v>0</v>
      </c>
      <c r="P418" s="122"/>
      <c r="Q418" s="122"/>
      <c r="R418" s="122"/>
      <c r="S418" s="122"/>
      <c r="T418" s="122"/>
      <c r="U418" s="122"/>
      <c r="V418" s="122"/>
      <c r="W418" s="122"/>
      <c r="X418" s="122"/>
      <c r="Y418" s="122"/>
      <c r="Z418" s="122"/>
    </row>
    <row r="419" spans="1:26" ht="12.75" x14ac:dyDescent="0.2">
      <c r="A419" s="122"/>
      <c r="B419" s="192"/>
      <c r="C419" s="232"/>
      <c r="D419" s="180"/>
      <c r="E419" s="180"/>
      <c r="F419" s="180"/>
      <c r="G419" s="180"/>
      <c r="H419" s="180"/>
      <c r="I419" s="180"/>
      <c r="J419" s="180"/>
      <c r="K419" s="180"/>
      <c r="L419" s="180"/>
      <c r="M419" s="180"/>
      <c r="N419" s="180"/>
      <c r="O419" s="180"/>
      <c r="P419" s="122"/>
      <c r="Q419" s="122"/>
      <c r="R419" s="122"/>
      <c r="S419" s="122"/>
      <c r="T419" s="122"/>
      <c r="U419" s="122"/>
      <c r="V419" s="122"/>
      <c r="W419" s="122"/>
      <c r="X419" s="122"/>
      <c r="Y419" s="122"/>
      <c r="Z419" s="122"/>
    </row>
    <row r="420" spans="1:26" ht="12.75" x14ac:dyDescent="0.2">
      <c r="A420" s="122"/>
      <c r="B420" s="180"/>
      <c r="C420" s="188" t="s">
        <v>218</v>
      </c>
      <c r="D420" s="180"/>
      <c r="E420" s="180"/>
      <c r="F420" s="180"/>
      <c r="G420" s="180"/>
      <c r="H420" s="180"/>
      <c r="I420" s="180"/>
      <c r="J420" s="180"/>
      <c r="K420" s="180"/>
      <c r="L420" s="180"/>
      <c r="M420" s="180"/>
      <c r="N420" s="180"/>
      <c r="O420" s="180"/>
      <c r="P420" s="122"/>
      <c r="Q420" s="122"/>
      <c r="R420" s="122"/>
      <c r="S420" s="122"/>
      <c r="T420" s="122"/>
      <c r="U420" s="122"/>
      <c r="V420" s="122"/>
      <c r="W420" s="122"/>
      <c r="X420" s="122"/>
      <c r="Y420" s="122"/>
      <c r="Z420" s="122"/>
    </row>
    <row r="421" spans="1:26" ht="12.75" x14ac:dyDescent="0.2">
      <c r="A421" s="122"/>
      <c r="B421" s="180"/>
      <c r="C421" s="228" t="s">
        <v>272</v>
      </c>
      <c r="D421" s="180"/>
      <c r="E421" s="338">
        <v>1</v>
      </c>
      <c r="F421" s="125">
        <f>F306*$E421</f>
        <v>7.5218930769230763</v>
      </c>
      <c r="G421" s="125">
        <f>G306*$E421</f>
        <v>7.5218930769230772</v>
      </c>
      <c r="H421" s="125">
        <f>H306*$E421</f>
        <v>7.5218930769230772</v>
      </c>
      <c r="I421" s="125">
        <f>I306*$E421</f>
        <v>7.5218930769230772</v>
      </c>
      <c r="J421" s="125">
        <f>J306*$E421</f>
        <v>7.5218930769230763</v>
      </c>
      <c r="K421" s="125">
        <f>K306*$E421</f>
        <v>7.5218930769230772</v>
      </c>
      <c r="L421" s="125">
        <f>L306*$E421</f>
        <v>7.5218930769230772</v>
      </c>
      <c r="M421" s="125">
        <f>M306*$E421</f>
        <v>7.5218930769230763</v>
      </c>
      <c r="N421" s="125">
        <f>N306*$E421</f>
        <v>7.5218930769230763</v>
      </c>
      <c r="O421" s="125">
        <f>O306*$E421</f>
        <v>7.5218930769230763</v>
      </c>
      <c r="P421" s="122"/>
      <c r="Q421" s="122"/>
      <c r="R421" s="122"/>
      <c r="S421" s="122"/>
      <c r="T421" s="122"/>
      <c r="U421" s="122"/>
      <c r="V421" s="122"/>
      <c r="W421" s="122"/>
      <c r="X421" s="122"/>
      <c r="Y421" s="122"/>
      <c r="Z421" s="122"/>
    </row>
    <row r="422" spans="1:26" ht="12.75" x14ac:dyDescent="0.2">
      <c r="A422" s="122"/>
      <c r="B422" s="180"/>
      <c r="C422" s="228" t="s">
        <v>273</v>
      </c>
      <c r="D422" s="180"/>
      <c r="E422" s="338">
        <v>1</v>
      </c>
      <c r="F422" s="125">
        <f>F307*$E422</f>
        <v>4.1604954999999988</v>
      </c>
      <c r="G422" s="125">
        <f>G307*$E422</f>
        <v>4.1604954999999997</v>
      </c>
      <c r="H422" s="125">
        <f>H307*$E422</f>
        <v>4.1604954999999997</v>
      </c>
      <c r="I422" s="125">
        <f>I307*$E422</f>
        <v>4.1604954999999988</v>
      </c>
      <c r="J422" s="125">
        <f>J307*$E422</f>
        <v>4.1604954999999988</v>
      </c>
      <c r="K422" s="125">
        <f>K307*$E422</f>
        <v>4.1604954999999988</v>
      </c>
      <c r="L422" s="125">
        <f>L307*$E422</f>
        <v>4.1604954999999997</v>
      </c>
      <c r="M422" s="125">
        <f>M307*$E422</f>
        <v>4.1604954999999988</v>
      </c>
      <c r="N422" s="125">
        <f>N307*$E422</f>
        <v>4.1604954999999997</v>
      </c>
      <c r="O422" s="125">
        <f>O307*$E422</f>
        <v>4.1604954999999988</v>
      </c>
      <c r="P422" s="122"/>
      <c r="Q422" s="122"/>
      <c r="R422" s="122"/>
      <c r="S422" s="122"/>
      <c r="T422" s="122"/>
      <c r="U422" s="122"/>
      <c r="V422" s="122"/>
      <c r="W422" s="122"/>
      <c r="X422" s="122"/>
      <c r="Y422" s="122"/>
      <c r="Z422" s="122"/>
    </row>
    <row r="423" spans="1:26" ht="12.75" x14ac:dyDescent="0.2">
      <c r="A423" s="122"/>
      <c r="B423" s="180"/>
      <c r="C423" s="228" t="s">
        <v>274</v>
      </c>
      <c r="D423" s="180"/>
      <c r="E423" s="338">
        <v>1</v>
      </c>
      <c r="F423" s="125">
        <f>F308*$E423</f>
        <v>4.4537594594594596</v>
      </c>
      <c r="G423" s="125">
        <f>G308*$E423</f>
        <v>4.4537594594594587</v>
      </c>
      <c r="H423" s="125">
        <f>H308*$E423</f>
        <v>4.4537594594594596</v>
      </c>
      <c r="I423" s="125">
        <f>I308*$E423</f>
        <v>4.4537594594594587</v>
      </c>
      <c r="J423" s="125">
        <f>J308*$E423</f>
        <v>4.4537594594594596</v>
      </c>
      <c r="K423" s="125">
        <f>K308*$E423</f>
        <v>4.4537594594594596</v>
      </c>
      <c r="L423" s="125">
        <f>L308*$E423</f>
        <v>4.4537594594594596</v>
      </c>
      <c r="M423" s="125">
        <f>M308*$E423</f>
        <v>4.4537594594594596</v>
      </c>
      <c r="N423" s="125">
        <f>N308*$E423</f>
        <v>4.4537594594594587</v>
      </c>
      <c r="O423" s="125">
        <f>O308*$E423</f>
        <v>4.4537594594594596</v>
      </c>
      <c r="P423" s="122"/>
      <c r="Q423" s="122"/>
      <c r="R423" s="122"/>
      <c r="S423" s="122"/>
      <c r="T423" s="122"/>
      <c r="U423" s="122"/>
      <c r="V423" s="122"/>
      <c r="W423" s="122"/>
      <c r="X423" s="122"/>
      <c r="Y423" s="122"/>
      <c r="Z423" s="122"/>
    </row>
    <row r="424" spans="1:26" ht="12.75" x14ac:dyDescent="0.2">
      <c r="A424" s="122"/>
      <c r="B424" s="180"/>
      <c r="C424" s="228" t="s">
        <v>275</v>
      </c>
      <c r="D424" s="180"/>
      <c r="E424" s="338">
        <v>1</v>
      </c>
      <c r="F424" s="125">
        <f>F309*$E424</f>
        <v>8.2785682151333244</v>
      </c>
      <c r="G424" s="125">
        <f>G309*$E424</f>
        <v>8.2785682151333244</v>
      </c>
      <c r="H424" s="125">
        <f>H309*$E424</f>
        <v>8.2785682151333244</v>
      </c>
      <c r="I424" s="125">
        <f>I309*$E424</f>
        <v>8.2785682151333226</v>
      </c>
      <c r="J424" s="125">
        <f>J309*$E424</f>
        <v>8.2785682151333244</v>
      </c>
      <c r="K424" s="125">
        <f>K309*$E424</f>
        <v>8.2785682151333244</v>
      </c>
      <c r="L424" s="125">
        <f>L309*$E424</f>
        <v>8.2785682151333244</v>
      </c>
      <c r="M424" s="125">
        <f>M309*$E424</f>
        <v>8.2785682151333244</v>
      </c>
      <c r="N424" s="125">
        <f>N309*$E424</f>
        <v>8.2785682151333244</v>
      </c>
      <c r="O424" s="125">
        <f>O309*$E424</f>
        <v>8.2785682151333244</v>
      </c>
      <c r="P424" s="122"/>
      <c r="Q424" s="122"/>
      <c r="R424" s="122"/>
      <c r="S424" s="122"/>
      <c r="T424" s="122"/>
      <c r="U424" s="122"/>
      <c r="V424" s="122"/>
      <c r="W424" s="122"/>
      <c r="X424" s="122"/>
      <c r="Y424" s="122"/>
      <c r="Z424" s="122"/>
    </row>
    <row r="425" spans="1:26" ht="12.75" x14ac:dyDescent="0.2">
      <c r="A425" s="122"/>
      <c r="B425" s="180"/>
      <c r="C425" s="152" t="s">
        <v>293</v>
      </c>
      <c r="D425" s="180"/>
      <c r="E425" s="338">
        <v>1</v>
      </c>
      <c r="F425" s="125">
        <f>F310*$E425</f>
        <v>7.131086511627907</v>
      </c>
      <c r="G425" s="125">
        <f>G310*$E425</f>
        <v>7.131086511627907</v>
      </c>
      <c r="H425" s="125">
        <f>H310*$E425</f>
        <v>7.131086511627907</v>
      </c>
      <c r="I425" s="125">
        <f>I310*$E425</f>
        <v>7.131086511627907</v>
      </c>
      <c r="J425" s="125">
        <f>J310*$E425</f>
        <v>7.1310865116279079</v>
      </c>
      <c r="K425" s="125">
        <f>K310*$E425</f>
        <v>7.1310865116279079</v>
      </c>
      <c r="L425" s="125">
        <f>L310*$E425</f>
        <v>7.131086511627907</v>
      </c>
      <c r="M425" s="125">
        <f>M310*$E425</f>
        <v>7.1310865116279079</v>
      </c>
      <c r="N425" s="125">
        <f>N310*$E425</f>
        <v>7.1310865116279079</v>
      </c>
      <c r="O425" s="125">
        <f>O310*$E425</f>
        <v>7.131086511627907</v>
      </c>
      <c r="P425" s="122"/>
      <c r="Q425" s="122"/>
      <c r="R425" s="122"/>
      <c r="S425" s="122"/>
      <c r="T425" s="122"/>
      <c r="U425" s="122"/>
      <c r="V425" s="122"/>
      <c r="W425" s="122"/>
      <c r="X425" s="122"/>
      <c r="Y425" s="122"/>
      <c r="Z425" s="122"/>
    </row>
    <row r="426" spans="1:26" ht="12.75" x14ac:dyDescent="0.2">
      <c r="A426" s="122"/>
      <c r="B426" s="180"/>
      <c r="C426" s="228" t="s">
        <v>278</v>
      </c>
      <c r="D426" s="180"/>
      <c r="E426" s="338">
        <v>1</v>
      </c>
      <c r="F426" s="125">
        <f>F311*$E426</f>
        <v>24.550149391110523</v>
      </c>
      <c r="G426" s="125">
        <f>G311*$E426</f>
        <v>24.550149391110523</v>
      </c>
      <c r="H426" s="125">
        <f>H311*$E426</f>
        <v>24.550149391110526</v>
      </c>
      <c r="I426" s="125">
        <f>I311*$E426</f>
        <v>24.550149391110526</v>
      </c>
      <c r="J426" s="125">
        <f>J311*$E426</f>
        <v>24.550149391110526</v>
      </c>
      <c r="K426" s="125">
        <f>K311*$E426</f>
        <v>24.550149391110523</v>
      </c>
      <c r="L426" s="125">
        <f>L311*$E426</f>
        <v>24.550149391110526</v>
      </c>
      <c r="M426" s="125">
        <f>M311*$E426</f>
        <v>24.550149391110523</v>
      </c>
      <c r="N426" s="125">
        <f>N311*$E426</f>
        <v>24.550149391110523</v>
      </c>
      <c r="O426" s="125">
        <f>O311*$E426</f>
        <v>24.550149391110526</v>
      </c>
      <c r="P426" s="122"/>
      <c r="Q426" s="122"/>
      <c r="R426" s="122"/>
      <c r="S426" s="122"/>
      <c r="T426" s="122"/>
      <c r="U426" s="122"/>
      <c r="V426" s="122"/>
      <c r="W426" s="122"/>
      <c r="X426" s="122"/>
      <c r="Y426" s="122"/>
      <c r="Z426" s="122"/>
    </row>
    <row r="427" spans="1:26" ht="12.75" x14ac:dyDescent="0.2">
      <c r="A427" s="122"/>
      <c r="B427" s="180"/>
      <c r="C427" s="152" t="s">
        <v>85</v>
      </c>
      <c r="D427" s="180"/>
      <c r="E427" s="338">
        <v>1</v>
      </c>
      <c r="F427" s="125">
        <f>F312*$E427</f>
        <v>0</v>
      </c>
      <c r="G427" s="125">
        <f>G312*$E427</f>
        <v>0</v>
      </c>
      <c r="H427" s="125">
        <f>H312*$E427</f>
        <v>0</v>
      </c>
      <c r="I427" s="125">
        <f>I312*$E427</f>
        <v>0</v>
      </c>
      <c r="J427" s="125">
        <f>J312*$E427</f>
        <v>0</v>
      </c>
      <c r="K427" s="125">
        <f>K312*$E427</f>
        <v>0</v>
      </c>
      <c r="L427" s="125">
        <f>L312*$E427</f>
        <v>0</v>
      </c>
      <c r="M427" s="125">
        <f>M312*$E427</f>
        <v>0</v>
      </c>
      <c r="N427" s="125">
        <f>N312*$E427</f>
        <v>0</v>
      </c>
      <c r="O427" s="125">
        <f>O312*$E427</f>
        <v>0</v>
      </c>
      <c r="P427" s="122"/>
      <c r="Q427" s="122"/>
      <c r="R427" s="122"/>
      <c r="S427" s="122"/>
      <c r="T427" s="122"/>
      <c r="U427" s="122"/>
      <c r="V427" s="122"/>
      <c r="W427" s="122"/>
      <c r="X427" s="122"/>
      <c r="Y427" s="122"/>
      <c r="Z427" s="122"/>
    </row>
    <row r="428" spans="1:26" ht="12.75" x14ac:dyDescent="0.2">
      <c r="A428" s="122"/>
      <c r="B428" s="180"/>
      <c r="C428" s="198" t="s">
        <v>207</v>
      </c>
      <c r="D428" s="182"/>
      <c r="E428" s="182"/>
      <c r="F428" s="193">
        <f>SUM(F421:F427)</f>
        <v>56.095952154254284</v>
      </c>
      <c r="G428" s="193">
        <f t="shared" ref="G428:O428" si="155">SUM(G421:G427)</f>
        <v>56.095952154254292</v>
      </c>
      <c r="H428" s="193">
        <f t="shared" si="155"/>
        <v>56.095952154254292</v>
      </c>
      <c r="I428" s="193">
        <f t="shared" si="155"/>
        <v>56.095952154254292</v>
      </c>
      <c r="J428" s="193">
        <f t="shared" si="155"/>
        <v>56.095952154254292</v>
      </c>
      <c r="K428" s="193">
        <f t="shared" si="155"/>
        <v>56.095952154254292</v>
      </c>
      <c r="L428" s="193">
        <f t="shared" si="155"/>
        <v>56.095952154254292</v>
      </c>
      <c r="M428" s="193">
        <f t="shared" si="155"/>
        <v>56.095952154254284</v>
      </c>
      <c r="N428" s="193">
        <f t="shared" si="155"/>
        <v>56.095952154254292</v>
      </c>
      <c r="O428" s="193">
        <f t="shared" si="155"/>
        <v>56.095952154254292</v>
      </c>
      <c r="P428" s="122"/>
      <c r="Q428" s="122"/>
      <c r="R428" s="122"/>
      <c r="S428" s="122"/>
      <c r="T428" s="122"/>
      <c r="U428" s="122"/>
      <c r="V428" s="122"/>
      <c r="W428" s="122"/>
      <c r="X428" s="122"/>
      <c r="Y428" s="122"/>
      <c r="Z428" s="122"/>
    </row>
    <row r="429" spans="1:26" ht="12.75" x14ac:dyDescent="0.2">
      <c r="A429" s="122"/>
      <c r="B429" s="180"/>
      <c r="C429" s="155"/>
      <c r="D429" s="180"/>
      <c r="E429" s="180"/>
      <c r="F429" s="180"/>
      <c r="G429" s="180"/>
      <c r="H429" s="180"/>
      <c r="I429" s="180"/>
      <c r="J429" s="180"/>
      <c r="K429" s="180"/>
      <c r="L429" s="180"/>
      <c r="M429" s="180"/>
      <c r="N429" s="180"/>
      <c r="O429" s="180"/>
      <c r="P429" s="122"/>
      <c r="Q429" s="122"/>
      <c r="R429" s="122"/>
      <c r="S429" s="122"/>
      <c r="T429" s="122"/>
      <c r="U429" s="122"/>
      <c r="V429" s="122"/>
      <c r="W429" s="122"/>
      <c r="X429" s="122"/>
      <c r="Y429" s="122"/>
      <c r="Z429" s="122"/>
    </row>
    <row r="430" spans="1:26" ht="12.75" x14ac:dyDescent="0.2">
      <c r="A430" s="122"/>
      <c r="B430" s="180"/>
      <c r="C430" s="188" t="s">
        <v>215</v>
      </c>
      <c r="D430" s="180"/>
      <c r="E430" s="180"/>
      <c r="F430" s="183"/>
      <c r="G430" s="183"/>
      <c r="H430" s="183"/>
      <c r="I430" s="183"/>
      <c r="J430" s="183"/>
      <c r="K430" s="183"/>
      <c r="L430" s="183"/>
      <c r="M430" s="183"/>
      <c r="N430" s="183"/>
      <c r="O430" s="183"/>
      <c r="P430" s="122"/>
      <c r="Q430" s="122"/>
      <c r="R430" s="122"/>
      <c r="S430" s="122"/>
      <c r="T430" s="122"/>
      <c r="U430" s="122"/>
      <c r="V430" s="122"/>
      <c r="W430" s="122"/>
      <c r="X430" s="122"/>
      <c r="Y430" s="122"/>
      <c r="Z430" s="122"/>
    </row>
    <row r="431" spans="1:26" ht="12.75" x14ac:dyDescent="0.2">
      <c r="A431" s="122"/>
      <c r="B431" s="180"/>
      <c r="C431" s="155" t="s">
        <v>110</v>
      </c>
      <c r="D431" s="180"/>
      <c r="E431" s="338">
        <v>1</v>
      </c>
      <c r="F431" s="125">
        <f>F316*$E431</f>
        <v>6.21936</v>
      </c>
      <c r="G431" s="125">
        <f>G316*$E431</f>
        <v>6.21936</v>
      </c>
      <c r="H431" s="125">
        <f>H316*$E431</f>
        <v>6.21936</v>
      </c>
      <c r="I431" s="125">
        <f>I316*$E431</f>
        <v>6.21936</v>
      </c>
      <c r="J431" s="125">
        <f>J316*$E431</f>
        <v>6.21936</v>
      </c>
      <c r="K431" s="125">
        <f>K316*$E431</f>
        <v>6.21936</v>
      </c>
      <c r="L431" s="125">
        <f>L316*$E431</f>
        <v>6.2193599999999991</v>
      </c>
      <c r="M431" s="125">
        <f>M316*$E431</f>
        <v>6.2193599999999991</v>
      </c>
      <c r="N431" s="125">
        <f>N316*$E431</f>
        <v>6.2193599999999991</v>
      </c>
      <c r="O431" s="125">
        <f>O316*$E431</f>
        <v>6.2193599999999991</v>
      </c>
      <c r="P431" s="122"/>
      <c r="Q431" s="122"/>
      <c r="R431" s="122"/>
      <c r="S431" s="122"/>
      <c r="T431" s="122"/>
      <c r="U431" s="122"/>
      <c r="V431" s="122"/>
      <c r="W431" s="122"/>
      <c r="X431" s="122"/>
      <c r="Y431" s="122"/>
      <c r="Z431" s="122"/>
    </row>
    <row r="432" spans="1:26" ht="12.75" x14ac:dyDescent="0.2">
      <c r="A432" s="122"/>
      <c r="B432" s="155"/>
      <c r="C432" s="184" t="s">
        <v>283</v>
      </c>
      <c r="D432" s="184"/>
      <c r="E432" s="338">
        <v>1</v>
      </c>
      <c r="F432" s="125">
        <f>F317*$E432</f>
        <v>3.74369</v>
      </c>
      <c r="G432" s="125">
        <f>G317*$E432</f>
        <v>3.74369</v>
      </c>
      <c r="H432" s="125">
        <f>H317*$E432</f>
        <v>3.74369</v>
      </c>
      <c r="I432" s="125">
        <f>I317*$E432</f>
        <v>3.7436899999999995</v>
      </c>
      <c r="J432" s="125">
        <f>J317*$E432</f>
        <v>3.74369</v>
      </c>
      <c r="K432" s="125">
        <f>K317*$E432</f>
        <v>3.74369</v>
      </c>
      <c r="L432" s="125">
        <f>L317*$E432</f>
        <v>3.74369</v>
      </c>
      <c r="M432" s="125">
        <f>M317*$E432</f>
        <v>3.74369</v>
      </c>
      <c r="N432" s="125">
        <f>N317*$E432</f>
        <v>3.74369</v>
      </c>
      <c r="O432" s="125">
        <f>O317*$E432</f>
        <v>3.74369</v>
      </c>
      <c r="P432" s="122"/>
      <c r="Q432" s="122"/>
      <c r="R432" s="122"/>
      <c r="S432" s="122"/>
      <c r="T432" s="122"/>
      <c r="U432" s="122"/>
      <c r="V432" s="122"/>
      <c r="W432" s="122"/>
      <c r="X432" s="122"/>
      <c r="Y432" s="122"/>
      <c r="Z432" s="122"/>
    </row>
    <row r="433" spans="1:26" ht="12.75" x14ac:dyDescent="0.2">
      <c r="A433" s="122"/>
      <c r="B433" s="180"/>
      <c r="C433" s="199" t="s">
        <v>216</v>
      </c>
      <c r="D433" s="182"/>
      <c r="E433" s="182"/>
      <c r="F433" s="127">
        <f>SUM(F431:F432)</f>
        <v>9.9630499999999991</v>
      </c>
      <c r="G433" s="127">
        <f t="shared" ref="G433:O433" si="156">SUM(G431:G432)</f>
        <v>9.9630499999999991</v>
      </c>
      <c r="H433" s="127">
        <f t="shared" si="156"/>
        <v>9.9630499999999991</v>
      </c>
      <c r="I433" s="127">
        <f t="shared" si="156"/>
        <v>9.9630499999999991</v>
      </c>
      <c r="J433" s="127">
        <f t="shared" si="156"/>
        <v>9.9630499999999991</v>
      </c>
      <c r="K433" s="127">
        <f t="shared" si="156"/>
        <v>9.9630499999999991</v>
      </c>
      <c r="L433" s="127">
        <f t="shared" si="156"/>
        <v>9.9630499999999991</v>
      </c>
      <c r="M433" s="127">
        <f t="shared" si="156"/>
        <v>9.9630499999999991</v>
      </c>
      <c r="N433" s="127">
        <f t="shared" si="156"/>
        <v>9.9630499999999991</v>
      </c>
      <c r="O433" s="127">
        <f t="shared" si="156"/>
        <v>9.9630499999999991</v>
      </c>
      <c r="P433" s="122"/>
      <c r="Q433" s="122"/>
      <c r="R433" s="122"/>
      <c r="S433" s="122"/>
      <c r="T433" s="122"/>
      <c r="U433" s="122"/>
      <c r="V433" s="122"/>
      <c r="W433" s="122"/>
      <c r="X433" s="122"/>
      <c r="Y433" s="122"/>
      <c r="Z433" s="122"/>
    </row>
    <row r="434" spans="1:26" ht="12.75" x14ac:dyDescent="0.2">
      <c r="A434" s="122"/>
      <c r="B434" s="180"/>
      <c r="C434" s="155"/>
      <c r="D434" s="180"/>
      <c r="E434" s="180"/>
      <c r="F434" s="183"/>
      <c r="G434" s="183"/>
      <c r="H434" s="183"/>
      <c r="I434" s="183"/>
      <c r="J434" s="183"/>
      <c r="K434" s="183"/>
      <c r="L434" s="183"/>
      <c r="M434" s="183"/>
      <c r="N434" s="183"/>
      <c r="O434" s="183"/>
      <c r="P434" s="122"/>
      <c r="Q434" s="122"/>
      <c r="R434" s="122"/>
      <c r="S434" s="122"/>
      <c r="T434" s="122"/>
      <c r="U434" s="122"/>
      <c r="V434" s="122"/>
      <c r="W434" s="122"/>
      <c r="X434" s="122"/>
      <c r="Y434" s="122"/>
      <c r="Z434" s="122"/>
    </row>
    <row r="435" spans="1:26" ht="12.75" x14ac:dyDescent="0.2">
      <c r="A435" s="122"/>
      <c r="B435" s="180"/>
      <c r="C435" s="188" t="s">
        <v>219</v>
      </c>
      <c r="D435" s="180"/>
      <c r="E435" s="180"/>
      <c r="F435" s="183"/>
      <c r="G435" s="183"/>
      <c r="H435" s="183"/>
      <c r="I435" s="183"/>
      <c r="J435" s="183"/>
      <c r="K435" s="183"/>
      <c r="L435" s="183"/>
      <c r="M435" s="183"/>
      <c r="N435" s="183"/>
      <c r="O435" s="183"/>
      <c r="P435" s="122"/>
      <c r="Q435" s="122"/>
      <c r="R435" s="122"/>
      <c r="S435" s="122"/>
      <c r="T435" s="122"/>
      <c r="U435" s="122"/>
      <c r="V435" s="122"/>
      <c r="W435" s="122"/>
      <c r="X435" s="122"/>
      <c r="Y435" s="122"/>
      <c r="Z435" s="122"/>
    </row>
    <row r="436" spans="1:26" ht="12.75" x14ac:dyDescent="0.2">
      <c r="A436" s="122"/>
      <c r="B436" s="180"/>
      <c r="C436" s="152" t="s">
        <v>92</v>
      </c>
      <c r="D436" s="180"/>
      <c r="E436" s="338">
        <f>E405</f>
        <v>1.0441440424464918</v>
      </c>
      <c r="F436" s="125">
        <f>F321*$E436</f>
        <v>3.3715178355865389</v>
      </c>
      <c r="G436" s="125">
        <f>G321*$E436</f>
        <v>3.3715178355865389</v>
      </c>
      <c r="H436" s="125">
        <f>H321*$E436</f>
        <v>3.3715178355865389</v>
      </c>
      <c r="I436" s="125">
        <f>I321*$E436</f>
        <v>3.3715178355865389</v>
      </c>
      <c r="J436" s="125">
        <f>J321*$E436</f>
        <v>3.3715178355865389</v>
      </c>
      <c r="K436" s="125">
        <f>K321*$E436</f>
        <v>3.3715178355865389</v>
      </c>
      <c r="L436" s="125">
        <f>L321*$E436</f>
        <v>3.3715178355865389</v>
      </c>
      <c r="M436" s="125">
        <f>M321*$E436</f>
        <v>3.3715178355865389</v>
      </c>
      <c r="N436" s="125">
        <f>N321*$E436</f>
        <v>3.3715178355865389</v>
      </c>
      <c r="O436" s="125">
        <f>O321*$E436</f>
        <v>3.3715178355865389</v>
      </c>
      <c r="P436" s="122"/>
      <c r="Q436" s="122"/>
      <c r="R436" s="122"/>
      <c r="S436" s="122"/>
      <c r="T436" s="122"/>
      <c r="U436" s="122"/>
      <c r="V436" s="122"/>
      <c r="W436" s="122"/>
      <c r="X436" s="122"/>
      <c r="Y436" s="122"/>
      <c r="Z436" s="122"/>
    </row>
    <row r="437" spans="1:26" ht="12.75" x14ac:dyDescent="0.2">
      <c r="A437" s="122"/>
      <c r="B437" s="180"/>
      <c r="C437" s="152" t="s">
        <v>96</v>
      </c>
      <c r="D437" s="180"/>
      <c r="E437" s="338">
        <v>1</v>
      </c>
      <c r="F437" s="125">
        <f>F322*$E437</f>
        <v>3.15</v>
      </c>
      <c r="G437" s="125">
        <f>G322*$E437</f>
        <v>3.15</v>
      </c>
      <c r="H437" s="125">
        <f>H322*$E437</f>
        <v>3.15</v>
      </c>
      <c r="I437" s="125">
        <f>I322*$E437</f>
        <v>3.15</v>
      </c>
      <c r="J437" s="125">
        <f>J322*$E437</f>
        <v>3.15</v>
      </c>
      <c r="K437" s="125">
        <f>K322*$E437</f>
        <v>3.1500000000000004</v>
      </c>
      <c r="L437" s="125">
        <f>L322*$E437</f>
        <v>3.1500000000000004</v>
      </c>
      <c r="M437" s="125">
        <f>M322*$E437</f>
        <v>3.15</v>
      </c>
      <c r="N437" s="125">
        <f>N322*$E437</f>
        <v>3.15</v>
      </c>
      <c r="O437" s="125">
        <f>O322*$E437</f>
        <v>3.15</v>
      </c>
      <c r="P437" s="122"/>
      <c r="Q437" s="122"/>
      <c r="R437" s="122"/>
      <c r="S437" s="122"/>
      <c r="T437" s="122"/>
      <c r="U437" s="122"/>
      <c r="V437" s="122"/>
      <c r="W437" s="122"/>
      <c r="X437" s="122"/>
      <c r="Y437" s="122"/>
      <c r="Z437" s="122"/>
    </row>
    <row r="438" spans="1:26" ht="12.75" x14ac:dyDescent="0.2">
      <c r="A438" s="122"/>
      <c r="B438" s="180"/>
      <c r="C438" s="152" t="s">
        <v>99</v>
      </c>
      <c r="D438" s="180"/>
      <c r="E438" s="338">
        <f>CFs!$C$252</f>
        <v>1.5401003517880794</v>
      </c>
      <c r="F438" s="125">
        <f>F323*$E438</f>
        <v>4.8440729703754055</v>
      </c>
      <c r="G438" s="125">
        <f>G323*$E438</f>
        <v>4.8440729703754046</v>
      </c>
      <c r="H438" s="125">
        <f>H323*$E438</f>
        <v>4.8440729703754055</v>
      </c>
      <c r="I438" s="125">
        <f>I323*$E438</f>
        <v>4.8440729703754055</v>
      </c>
      <c r="J438" s="125">
        <f>J323*$E438</f>
        <v>4.8440729703754055</v>
      </c>
      <c r="K438" s="125">
        <f>K323*$E438</f>
        <v>4.8440729703754064</v>
      </c>
      <c r="L438" s="125">
        <f>L323*$E438</f>
        <v>4.8440729703754055</v>
      </c>
      <c r="M438" s="125">
        <f>M323*$E438</f>
        <v>4.8440729703754064</v>
      </c>
      <c r="N438" s="125">
        <f>N323*$E438</f>
        <v>4.8440729703754055</v>
      </c>
      <c r="O438" s="125">
        <f>O323*$E438</f>
        <v>4.8440729703754046</v>
      </c>
      <c r="P438" s="122"/>
      <c r="Q438" s="122"/>
      <c r="R438" s="122"/>
      <c r="S438" s="122"/>
      <c r="T438" s="122"/>
      <c r="U438" s="122"/>
      <c r="V438" s="122"/>
      <c r="W438" s="122"/>
      <c r="X438" s="122"/>
      <c r="Y438" s="122"/>
      <c r="Z438" s="122"/>
    </row>
    <row r="439" spans="1:26" ht="12.75" x14ac:dyDescent="0.2">
      <c r="A439" s="122"/>
      <c r="B439" s="180"/>
      <c r="C439" s="152" t="s">
        <v>102</v>
      </c>
      <c r="D439" s="180"/>
      <c r="E439" s="299">
        <f>CFs!$C$218</f>
        <v>1.0969941102134646</v>
      </c>
      <c r="F439" s="125">
        <f>F324*$E439</f>
        <v>10.211127521370562</v>
      </c>
      <c r="G439" s="125">
        <f>G324*$E439</f>
        <v>10.21112752137056</v>
      </c>
      <c r="H439" s="125">
        <f>H324*$E439</f>
        <v>10.211127521370562</v>
      </c>
      <c r="I439" s="125">
        <f>I324*$E439</f>
        <v>10.211127521370562</v>
      </c>
      <c r="J439" s="125">
        <f>J324*$E439</f>
        <v>10.211127521370562</v>
      </c>
      <c r="K439" s="125">
        <f>K324*$E439</f>
        <v>10.21112752137056</v>
      </c>
      <c r="L439" s="125">
        <f>L324*$E439</f>
        <v>10.211127521370562</v>
      </c>
      <c r="M439" s="125">
        <f>M324*$E439</f>
        <v>10.211127521370564</v>
      </c>
      <c r="N439" s="125">
        <f>N324*$E439</f>
        <v>10.211127521370564</v>
      </c>
      <c r="O439" s="125">
        <f>O324*$E439</f>
        <v>10.21112752137056</v>
      </c>
      <c r="P439" s="122"/>
      <c r="Q439" s="122"/>
      <c r="R439" s="122"/>
      <c r="S439" s="122"/>
      <c r="T439" s="122"/>
      <c r="U439" s="122"/>
      <c r="V439" s="122"/>
      <c r="W439" s="122"/>
      <c r="X439" s="122"/>
      <c r="Y439" s="122"/>
      <c r="Z439" s="122"/>
    </row>
    <row r="440" spans="1:26" ht="12.75" x14ac:dyDescent="0.2">
      <c r="A440" s="122"/>
      <c r="B440" s="180"/>
      <c r="C440" s="152" t="s">
        <v>105</v>
      </c>
      <c r="D440" s="180"/>
      <c r="E440" s="338">
        <v>1</v>
      </c>
      <c r="F440" s="125">
        <f>F325*$E440</f>
        <v>0.51393176470588231</v>
      </c>
      <c r="G440" s="125">
        <f>G325*$E440</f>
        <v>0.51393176470588231</v>
      </c>
      <c r="H440" s="125">
        <f>H325*$E440</f>
        <v>0.51393176470588231</v>
      </c>
      <c r="I440" s="125">
        <f>I325*$E440</f>
        <v>0.51393176470588231</v>
      </c>
      <c r="J440" s="125">
        <f>J325*$E440</f>
        <v>0.51393176470588231</v>
      </c>
      <c r="K440" s="125">
        <f>K325*$E440</f>
        <v>0.51393176470588231</v>
      </c>
      <c r="L440" s="125">
        <f>L325*$E440</f>
        <v>0.51393176470588231</v>
      </c>
      <c r="M440" s="125">
        <f>M325*$E440</f>
        <v>0.51393176470588242</v>
      </c>
      <c r="N440" s="125">
        <f>N325*$E440</f>
        <v>0.51393176470588242</v>
      </c>
      <c r="O440" s="125">
        <f>O325*$E440</f>
        <v>0.51393176470588231</v>
      </c>
      <c r="P440" s="122"/>
      <c r="Q440" s="122"/>
      <c r="R440" s="122"/>
      <c r="S440" s="122"/>
      <c r="T440" s="122"/>
      <c r="U440" s="122"/>
      <c r="V440" s="122"/>
      <c r="W440" s="122"/>
      <c r="X440" s="122"/>
      <c r="Y440" s="122"/>
      <c r="Z440" s="122"/>
    </row>
    <row r="441" spans="1:26" ht="12.75" x14ac:dyDescent="0.2">
      <c r="A441" s="122"/>
      <c r="B441" s="180"/>
      <c r="C441" s="152" t="s">
        <v>108</v>
      </c>
      <c r="D441" s="180"/>
      <c r="E441" s="338">
        <v>1</v>
      </c>
      <c r="F441" s="125">
        <f>F326*$E441</f>
        <v>1.7</v>
      </c>
      <c r="G441" s="125">
        <f>G326*$E441</f>
        <v>1.7</v>
      </c>
      <c r="H441" s="125">
        <f>H326*$E441</f>
        <v>1.8</v>
      </c>
      <c r="I441" s="125">
        <f>I326*$E441</f>
        <v>1.9</v>
      </c>
      <c r="J441" s="125">
        <f>J326*$E441</f>
        <v>1.9000000000000001</v>
      </c>
      <c r="K441" s="125">
        <f>K326*$E441</f>
        <v>2</v>
      </c>
      <c r="L441" s="125">
        <f>L326*$E441</f>
        <v>2.1</v>
      </c>
      <c r="M441" s="125">
        <f>M326*$E441</f>
        <v>2.2000000000000002</v>
      </c>
      <c r="N441" s="125">
        <f>N326*$E441</f>
        <v>2.2000000000000002</v>
      </c>
      <c r="O441" s="125">
        <f>O326*$E441</f>
        <v>2.2999999999999998</v>
      </c>
      <c r="P441" s="122"/>
      <c r="Q441" s="122"/>
      <c r="R441" s="122"/>
      <c r="S441" s="122"/>
      <c r="T441" s="122"/>
      <c r="U441" s="122"/>
      <c r="V441" s="122"/>
      <c r="W441" s="122"/>
      <c r="X441" s="122"/>
      <c r="Y441" s="122"/>
      <c r="Z441" s="122"/>
    </row>
    <row r="442" spans="1:26" ht="12.75" x14ac:dyDescent="0.2">
      <c r="A442" s="122"/>
      <c r="B442" s="155"/>
      <c r="C442" s="198" t="s">
        <v>217</v>
      </c>
      <c r="D442" s="198"/>
      <c r="E442" s="198"/>
      <c r="F442" s="200">
        <f>SUM(F436:F441)</f>
        <v>23.790650092038391</v>
      </c>
      <c r="G442" s="200">
        <f t="shared" ref="G442:O442" si="157">SUM(G436:G441)</f>
        <v>23.790650092038387</v>
      </c>
      <c r="H442" s="200">
        <f t="shared" si="157"/>
        <v>23.890650092038392</v>
      </c>
      <c r="I442" s="200">
        <f t="shared" si="157"/>
        <v>23.99065009203839</v>
      </c>
      <c r="J442" s="200">
        <f t="shared" si="157"/>
        <v>23.99065009203839</v>
      </c>
      <c r="K442" s="200">
        <f t="shared" si="157"/>
        <v>24.090650092038391</v>
      </c>
      <c r="L442" s="200">
        <f t="shared" si="157"/>
        <v>24.190650092038393</v>
      </c>
      <c r="M442" s="200">
        <f t="shared" si="157"/>
        <v>24.290650092038391</v>
      </c>
      <c r="N442" s="200">
        <f t="shared" si="157"/>
        <v>24.290650092038391</v>
      </c>
      <c r="O442" s="200">
        <f t="shared" si="157"/>
        <v>24.390650092038388</v>
      </c>
      <c r="P442" s="122"/>
      <c r="Q442" s="122"/>
      <c r="R442" s="122"/>
      <c r="S442" s="122"/>
      <c r="T442" s="122"/>
      <c r="U442" s="122"/>
      <c r="V442" s="122"/>
      <c r="W442" s="122"/>
      <c r="X442" s="122"/>
      <c r="Y442" s="122"/>
      <c r="Z442" s="122"/>
    </row>
    <row r="443" spans="1:26" ht="12.75" x14ac:dyDescent="0.2">
      <c r="A443" s="122"/>
      <c r="B443" s="155"/>
      <c r="C443" s="155"/>
      <c r="D443" s="155"/>
      <c r="E443" s="155"/>
      <c r="F443" s="155"/>
      <c r="G443" s="155"/>
      <c r="H443" s="155"/>
      <c r="I443" s="155"/>
      <c r="J443" s="155"/>
      <c r="K443" s="155"/>
      <c r="L443" s="155"/>
      <c r="M443" s="155"/>
      <c r="N443" s="155"/>
      <c r="O443" s="155"/>
      <c r="P443" s="122"/>
      <c r="Q443" s="122"/>
      <c r="R443" s="122"/>
      <c r="S443" s="122"/>
      <c r="T443" s="122"/>
      <c r="U443" s="122"/>
      <c r="V443" s="122"/>
      <c r="W443" s="122"/>
      <c r="X443" s="122"/>
      <c r="Y443" s="122"/>
      <c r="Z443" s="122"/>
    </row>
    <row r="444" spans="1:26" ht="12.75" x14ac:dyDescent="0.2">
      <c r="A444" s="122"/>
      <c r="B444" s="155"/>
      <c r="C444" s="155" t="s">
        <v>287</v>
      </c>
      <c r="D444" s="155"/>
      <c r="E444" s="155"/>
      <c r="F444" s="155"/>
      <c r="G444" s="155"/>
      <c r="H444" s="155"/>
      <c r="I444" s="155"/>
      <c r="J444" s="155"/>
      <c r="K444" s="155"/>
      <c r="L444" s="155"/>
      <c r="M444" s="155"/>
      <c r="N444" s="155"/>
      <c r="O444" s="155"/>
      <c r="P444" s="122"/>
      <c r="Q444" s="122"/>
      <c r="R444" s="122"/>
      <c r="S444" s="122"/>
      <c r="T444" s="122"/>
      <c r="U444" s="122"/>
      <c r="V444" s="122"/>
      <c r="W444" s="122"/>
      <c r="X444" s="122"/>
      <c r="Y444" s="122"/>
      <c r="Z444" s="122"/>
    </row>
    <row r="445" spans="1:26" ht="12.75" x14ac:dyDescent="0.2">
      <c r="A445" s="122"/>
      <c r="B445" s="155"/>
      <c r="C445" s="155" t="s">
        <v>375</v>
      </c>
      <c r="D445" s="155"/>
      <c r="E445" s="338">
        <v>1.2</v>
      </c>
      <c r="F445" s="125">
        <f>F330*$E445</f>
        <v>2.5801706356363634</v>
      </c>
      <c r="G445" s="233">
        <f>G330*$E445</f>
        <v>2.6839958291083637</v>
      </c>
      <c r="H445" s="233">
        <f>H330*$E445</f>
        <v>2.7905204776106349</v>
      </c>
      <c r="I445" s="233">
        <f>I330*$E445</f>
        <v>2.8998147669739667</v>
      </c>
      <c r="J445" s="233">
        <f>J330*$E445</f>
        <v>3.0119507078607453</v>
      </c>
      <c r="K445" s="233">
        <f>K330*$E445</f>
        <v>3.1270021832105788</v>
      </c>
      <c r="L445" s="233">
        <f>L330*$E445</f>
        <v>3.2450449969195083</v>
      </c>
      <c r="M445" s="233">
        <f>M330*$E445</f>
        <v>3.366156923784871</v>
      </c>
      <c r="N445" s="233">
        <f>N330*$E445</f>
        <v>3.4904177607487323</v>
      </c>
      <c r="O445" s="233">
        <f>O330*$E445</f>
        <v>3.617909379473653</v>
      </c>
      <c r="P445" s="122"/>
      <c r="Q445" s="122"/>
      <c r="R445" s="122"/>
      <c r="S445" s="122"/>
      <c r="T445" s="122"/>
      <c r="U445" s="122"/>
      <c r="V445" s="122"/>
      <c r="W445" s="122"/>
      <c r="X445" s="122"/>
      <c r="Y445" s="122"/>
      <c r="Z445" s="122"/>
    </row>
    <row r="446" spans="1:26" ht="12.75" x14ac:dyDescent="0.2">
      <c r="A446" s="122"/>
      <c r="B446" s="155"/>
      <c r="C446" s="184" t="s">
        <v>284</v>
      </c>
      <c r="D446" s="184"/>
      <c r="E446" s="339">
        <v>1</v>
      </c>
      <c r="F446" s="141">
        <f>F331*$E446</f>
        <v>1.0842400800000001</v>
      </c>
      <c r="G446" s="234">
        <f>G331*$E446</f>
        <v>1.11243032208</v>
      </c>
      <c r="H446" s="234">
        <f>H331*$E446</f>
        <v>1.14135351045408</v>
      </c>
      <c r="I446" s="234">
        <f>I331*$E446</f>
        <v>1.1710287017258862</v>
      </c>
      <c r="J446" s="234">
        <f>J331*$E446</f>
        <v>1.2014754479707592</v>
      </c>
      <c r="K446" s="234">
        <f>K331*$E446</f>
        <v>1.232713809617999</v>
      </c>
      <c r="L446" s="234">
        <f>L331*$E446</f>
        <v>1.2647643686680672</v>
      </c>
      <c r="M446" s="234">
        <f>M331*$E446</f>
        <v>1.2976482422534372</v>
      </c>
      <c r="N446" s="234">
        <f>N331*$E446</f>
        <v>1.3313870965520265</v>
      </c>
      <c r="O446" s="234">
        <f>O331*$E446</f>
        <v>1.3660031610623793</v>
      </c>
      <c r="P446" s="122"/>
      <c r="Q446" s="122"/>
      <c r="R446" s="122"/>
      <c r="S446" s="122"/>
      <c r="T446" s="122"/>
      <c r="U446" s="122"/>
      <c r="V446" s="122"/>
      <c r="W446" s="122"/>
      <c r="X446" s="122"/>
      <c r="Y446" s="122"/>
      <c r="Z446" s="122"/>
    </row>
    <row r="447" spans="1:26" ht="12.75" x14ac:dyDescent="0.2">
      <c r="A447" s="122"/>
      <c r="B447" s="155"/>
      <c r="C447" s="155" t="s">
        <v>289</v>
      </c>
      <c r="D447" s="155"/>
      <c r="E447" s="155"/>
      <c r="F447" s="190">
        <f t="shared" ref="F447:O447" si="158">SUM(F445:F446)</f>
        <v>3.6644107156363637</v>
      </c>
      <c r="G447" s="190">
        <f t="shared" si="158"/>
        <v>3.7964261511883635</v>
      </c>
      <c r="H447" s="190">
        <f t="shared" si="158"/>
        <v>3.9318739880647149</v>
      </c>
      <c r="I447" s="190">
        <f t="shared" si="158"/>
        <v>4.0708434686998531</v>
      </c>
      <c r="J447" s="190">
        <f t="shared" si="158"/>
        <v>4.2134261558315043</v>
      </c>
      <c r="K447" s="190">
        <f t="shared" si="158"/>
        <v>4.359715992828578</v>
      </c>
      <c r="L447" s="190">
        <f t="shared" si="158"/>
        <v>4.5098093655875751</v>
      </c>
      <c r="M447" s="190">
        <f t="shared" si="158"/>
        <v>4.6638051660383084</v>
      </c>
      <c r="N447" s="190">
        <f t="shared" si="158"/>
        <v>4.8218048573007586</v>
      </c>
      <c r="O447" s="190">
        <f t="shared" si="158"/>
        <v>4.9839125405360321</v>
      </c>
      <c r="P447" s="122"/>
      <c r="Q447" s="122"/>
      <c r="R447" s="122"/>
      <c r="S447" s="122"/>
      <c r="T447" s="122"/>
      <c r="U447" s="122"/>
      <c r="V447" s="122"/>
      <c r="W447" s="122"/>
      <c r="X447" s="122"/>
      <c r="Y447" s="122"/>
      <c r="Z447" s="122"/>
    </row>
    <row r="448" spans="1:26" ht="12.75" x14ac:dyDescent="0.2">
      <c r="A448" s="122"/>
      <c r="B448" s="155"/>
      <c r="C448" s="155"/>
      <c r="D448" s="155"/>
      <c r="E448" s="155"/>
      <c r="F448" s="155"/>
      <c r="G448" s="155"/>
      <c r="H448" s="155"/>
      <c r="I448" s="155"/>
      <c r="J448" s="155"/>
      <c r="K448" s="155"/>
      <c r="L448" s="155"/>
      <c r="M448" s="155"/>
      <c r="N448" s="155"/>
      <c r="O448" s="155"/>
      <c r="P448" s="122"/>
      <c r="Q448" s="122"/>
      <c r="R448" s="122"/>
      <c r="S448" s="122"/>
      <c r="T448" s="122"/>
      <c r="U448" s="122"/>
      <c r="V448" s="122"/>
      <c r="W448" s="122"/>
      <c r="X448" s="122"/>
      <c r="Y448" s="122"/>
      <c r="Z448" s="122"/>
    </row>
    <row r="449" spans="1:26" ht="12.75" x14ac:dyDescent="0.2">
      <c r="A449" s="122"/>
      <c r="B449" s="155"/>
      <c r="C449" s="203" t="s">
        <v>669</v>
      </c>
      <c r="D449" s="203"/>
      <c r="E449" s="203"/>
      <c r="F449" s="204">
        <f>F418+F428+F433+F442+F447</f>
        <v>93.514062961929042</v>
      </c>
      <c r="G449" s="204">
        <f t="shared" ref="G449:O449" si="159">G418+G428+G433+G442+G447</f>
        <v>93.646078397481034</v>
      </c>
      <c r="H449" s="204">
        <f t="shared" si="159"/>
        <v>93.881526234357395</v>
      </c>
      <c r="I449" s="204">
        <f t="shared" si="159"/>
        <v>94.120495714992529</v>
      </c>
      <c r="J449" s="204">
        <f t="shared" si="159"/>
        <v>94.263078402124179</v>
      </c>
      <c r="K449" s="204">
        <f t="shared" si="159"/>
        <v>94.509368239121258</v>
      </c>
      <c r="L449" s="204">
        <f t="shared" si="159"/>
        <v>94.759461611880255</v>
      </c>
      <c r="M449" s="204">
        <f t="shared" si="159"/>
        <v>95.013457412330979</v>
      </c>
      <c r="N449" s="204">
        <f t="shared" si="159"/>
        <v>95.17145710359344</v>
      </c>
      <c r="O449" s="204">
        <f t="shared" si="159"/>
        <v>95.433564786828697</v>
      </c>
      <c r="P449" s="122"/>
      <c r="Q449" s="122"/>
      <c r="R449" s="122"/>
      <c r="S449" s="122"/>
      <c r="T449" s="122"/>
      <c r="U449" s="122"/>
      <c r="V449" s="122"/>
      <c r="W449" s="122"/>
      <c r="X449" s="122"/>
      <c r="Y449" s="122"/>
      <c r="Z449" s="122"/>
    </row>
    <row r="450" spans="1:26" ht="12.75" x14ac:dyDescent="0.2">
      <c r="A450" s="122"/>
      <c r="B450" s="155"/>
      <c r="C450" s="155"/>
      <c r="D450" s="155"/>
      <c r="E450" s="155"/>
      <c r="F450" s="155"/>
      <c r="G450" s="155"/>
      <c r="H450" s="155"/>
      <c r="I450" s="155"/>
      <c r="J450" s="155"/>
      <c r="K450" s="155"/>
      <c r="L450" s="155"/>
      <c r="M450" s="155"/>
      <c r="N450" s="155"/>
      <c r="O450" s="155"/>
      <c r="P450" s="122"/>
      <c r="Q450" s="122"/>
      <c r="R450" s="122"/>
      <c r="S450" s="122"/>
      <c r="T450" s="122"/>
      <c r="U450" s="122"/>
      <c r="V450" s="122"/>
      <c r="W450" s="122"/>
      <c r="X450" s="122"/>
      <c r="Y450" s="122"/>
      <c r="Z450" s="122"/>
    </row>
    <row r="451" spans="1:26" ht="12.75" x14ac:dyDescent="0.2">
      <c r="A451" s="122"/>
      <c r="C451" s="206" t="s">
        <v>687</v>
      </c>
      <c r="D451" s="203"/>
      <c r="E451" s="203"/>
      <c r="F451" s="208">
        <f>F413-F449</f>
        <v>-9.8835630502049554</v>
      </c>
      <c r="G451" s="208">
        <f t="shared" ref="G451:O451" si="160">G413-G449</f>
        <v>-7.8411854880521048</v>
      </c>
      <c r="H451" s="208">
        <f t="shared" si="160"/>
        <v>-5.8457061092833271</v>
      </c>
      <c r="I451" s="208">
        <f t="shared" si="160"/>
        <v>-3.7957442666665173</v>
      </c>
      <c r="J451" s="208">
        <f t="shared" si="160"/>
        <v>-1.5898834161416744</v>
      </c>
      <c r="K451" s="208">
        <f t="shared" si="160"/>
        <v>0.57332981649678061</v>
      </c>
      <c r="L451" s="208">
        <f t="shared" si="160"/>
        <v>2.7953865931838777</v>
      </c>
      <c r="M451" s="208">
        <f t="shared" si="160"/>
        <v>5.0778168460648345</v>
      </c>
      <c r="N451" s="208">
        <f t="shared" si="160"/>
        <v>7.5221902855206366</v>
      </c>
      <c r="O451" s="208">
        <f t="shared" si="160"/>
        <v>9.9301174344023622</v>
      </c>
      <c r="P451" s="122"/>
      <c r="Q451" s="122"/>
      <c r="R451" s="122"/>
      <c r="S451" s="122"/>
      <c r="T451" s="122"/>
      <c r="U451" s="122"/>
      <c r="V451" s="122"/>
      <c r="W451" s="122"/>
      <c r="X451" s="122"/>
      <c r="Y451" s="122"/>
      <c r="Z451" s="122"/>
    </row>
    <row r="452" spans="1:26" ht="12.75" x14ac:dyDescent="0.2">
      <c r="A452" s="122"/>
      <c r="B452" s="122"/>
      <c r="C452" s="173"/>
      <c r="D452" s="122"/>
      <c r="E452" s="122"/>
      <c r="F452" s="235"/>
      <c r="G452" s="122"/>
      <c r="H452" s="122"/>
      <c r="I452" s="122"/>
      <c r="J452" s="122"/>
      <c r="K452" s="122"/>
      <c r="L452" s="122"/>
      <c r="M452" s="122"/>
      <c r="N452" s="122"/>
      <c r="O452" s="122"/>
      <c r="P452" s="122"/>
      <c r="Q452" s="122"/>
      <c r="R452" s="122"/>
      <c r="S452" s="122"/>
      <c r="T452" s="122"/>
      <c r="U452" s="122"/>
      <c r="V452" s="122"/>
      <c r="W452" s="122"/>
      <c r="X452" s="122"/>
      <c r="Y452" s="122"/>
      <c r="Z452" s="122"/>
    </row>
    <row r="453" spans="1:26" ht="12.75" x14ac:dyDescent="0.2">
      <c r="A453" s="122"/>
      <c r="B453" s="179" t="s">
        <v>709</v>
      </c>
      <c r="C453" s="155"/>
      <c r="D453" s="180"/>
      <c r="E453" s="180"/>
      <c r="F453" s="183"/>
      <c r="G453" s="180"/>
      <c r="H453" s="180"/>
      <c r="I453" s="180"/>
      <c r="J453" s="180"/>
      <c r="K453" s="180"/>
      <c r="L453" s="180"/>
      <c r="M453" s="180"/>
      <c r="N453" s="180"/>
      <c r="O453" s="180"/>
      <c r="P453" s="122"/>
      <c r="Q453" s="122"/>
      <c r="R453" s="122"/>
      <c r="S453" s="122"/>
      <c r="T453" s="122"/>
      <c r="U453" s="122"/>
      <c r="V453" s="122"/>
      <c r="W453" s="122"/>
      <c r="X453" s="122"/>
      <c r="Y453" s="122"/>
      <c r="Z453" s="122"/>
    </row>
    <row r="454" spans="1:26" ht="12.75" x14ac:dyDescent="0.2">
      <c r="A454" s="122"/>
      <c r="C454" s="341" t="s">
        <v>671</v>
      </c>
      <c r="D454" s="180"/>
      <c r="E454" s="180"/>
      <c r="F454" s="180"/>
      <c r="G454" s="180"/>
      <c r="H454" s="180"/>
      <c r="I454" s="180"/>
      <c r="J454" s="180"/>
      <c r="K454" s="180"/>
      <c r="L454" s="180"/>
      <c r="M454" s="180"/>
      <c r="N454" s="180"/>
      <c r="O454" s="180"/>
      <c r="P454" s="122"/>
      <c r="Q454" s="122"/>
      <c r="R454" s="122"/>
      <c r="S454" s="122"/>
      <c r="T454" s="122"/>
      <c r="U454" s="122"/>
      <c r="V454" s="122"/>
      <c r="W454" s="122"/>
      <c r="X454" s="122"/>
      <c r="Y454" s="122"/>
      <c r="Z454" s="122"/>
    </row>
    <row r="455" spans="1:26" ht="12.75" x14ac:dyDescent="0.2">
      <c r="A455" s="122"/>
      <c r="B455" s="180"/>
      <c r="C455" s="152" t="s">
        <v>384</v>
      </c>
      <c r="D455" s="180"/>
      <c r="E455" s="338">
        <f>CFs!$C$107</f>
        <v>1.0441440424464918</v>
      </c>
      <c r="F455" s="125">
        <f>F340*$E455</f>
        <v>210.71986472415867</v>
      </c>
      <c r="G455" s="125">
        <f>G340*$E455</f>
        <v>219.14865931312499</v>
      </c>
      <c r="H455" s="125">
        <f>H340*$E455</f>
        <v>227.91460568565003</v>
      </c>
      <c r="I455" s="125">
        <f>I340*$E455</f>
        <v>237.03118991307599</v>
      </c>
      <c r="J455" s="125">
        <f>J340*$E455</f>
        <v>246.51243750959907</v>
      </c>
      <c r="K455" s="125">
        <f>K340*$E455</f>
        <v>256.37293500998305</v>
      </c>
      <c r="L455" s="125">
        <f>L340*$E455</f>
        <v>266.62785241038239</v>
      </c>
      <c r="M455" s="125">
        <f>M340*$E455</f>
        <v>277.29296650679777</v>
      </c>
      <c r="N455" s="125">
        <f>N340*$E455</f>
        <v>288.38468516706968</v>
      </c>
      <c r="O455" s="125">
        <f>O340*$E455</f>
        <v>299.92007257375252</v>
      </c>
      <c r="P455" s="122"/>
      <c r="Q455" s="122"/>
      <c r="R455" s="122"/>
      <c r="S455" s="122"/>
      <c r="T455" s="122"/>
      <c r="U455" s="122"/>
      <c r="V455" s="122"/>
      <c r="W455" s="122"/>
      <c r="X455" s="122"/>
      <c r="Y455" s="122"/>
      <c r="Z455" s="122"/>
    </row>
    <row r="456" spans="1:26" ht="12.75" x14ac:dyDescent="0.2">
      <c r="A456" s="122"/>
      <c r="B456" s="180"/>
      <c r="C456" s="152" t="s">
        <v>231</v>
      </c>
      <c r="D456" s="180"/>
      <c r="E456" s="338">
        <f>E455</f>
        <v>1.0441440424464918</v>
      </c>
      <c r="F456" s="125">
        <f>F341*$E456</f>
        <v>20.650546742967553</v>
      </c>
      <c r="G456" s="125">
        <f>G341*$E456</f>
        <v>21.476568612686254</v>
      </c>
      <c r="H456" s="125">
        <f>H341*$E456</f>
        <v>22.335631357193705</v>
      </c>
      <c r="I456" s="125">
        <f>I341*$E456</f>
        <v>23.22905661148145</v>
      </c>
      <c r="J456" s="125">
        <f>J341*$E456</f>
        <v>24.158218875940719</v>
      </c>
      <c r="K456" s="125">
        <f>K341*$E456</f>
        <v>25.124547630978345</v>
      </c>
      <c r="L456" s="125">
        <f>L341*$E456</f>
        <v>26.129529536217476</v>
      </c>
      <c r="M456" s="125">
        <f>M341*$E456</f>
        <v>27.17471071766618</v>
      </c>
      <c r="N456" s="125">
        <f>N341*$E456</f>
        <v>28.261699146372827</v>
      </c>
      <c r="O456" s="125">
        <f>O341*$E456</f>
        <v>29.392167112227746</v>
      </c>
      <c r="P456" s="122"/>
      <c r="Q456" s="122"/>
      <c r="R456" s="122"/>
      <c r="S456" s="122"/>
      <c r="T456" s="122"/>
      <c r="U456" s="122"/>
      <c r="V456" s="122"/>
      <c r="W456" s="122"/>
      <c r="X456" s="122"/>
      <c r="Y456" s="122"/>
      <c r="Z456" s="122"/>
    </row>
    <row r="457" spans="1:26" ht="12.75" x14ac:dyDescent="0.2">
      <c r="A457" s="122"/>
      <c r="B457" s="180"/>
      <c r="C457" s="198" t="s">
        <v>389</v>
      </c>
      <c r="D457" s="182"/>
      <c r="E457" s="182"/>
      <c r="F457" s="193">
        <f>F455-F456</f>
        <v>190.06931798119112</v>
      </c>
      <c r="G457" s="193">
        <f t="shared" ref="G457:O457" si="161">G455-G456</f>
        <v>197.67209070043873</v>
      </c>
      <c r="H457" s="193">
        <f t="shared" si="161"/>
        <v>205.57897432845633</v>
      </c>
      <c r="I457" s="193">
        <f t="shared" si="161"/>
        <v>213.80213330159455</v>
      </c>
      <c r="J457" s="193">
        <f t="shared" si="161"/>
        <v>222.35421863365835</v>
      </c>
      <c r="K457" s="193">
        <f t="shared" si="161"/>
        <v>231.2483873790047</v>
      </c>
      <c r="L457" s="193">
        <f t="shared" si="161"/>
        <v>240.4983228741649</v>
      </c>
      <c r="M457" s="193">
        <f t="shared" si="161"/>
        <v>250.11825578913158</v>
      </c>
      <c r="N457" s="193">
        <f t="shared" si="161"/>
        <v>260.12298602069683</v>
      </c>
      <c r="O457" s="193">
        <f t="shared" si="161"/>
        <v>270.52790546152477</v>
      </c>
      <c r="P457" s="122"/>
      <c r="Q457" s="122"/>
      <c r="R457" s="122"/>
      <c r="S457" s="122"/>
      <c r="T457" s="122"/>
      <c r="U457" s="122"/>
      <c r="V457" s="122"/>
      <c r="W457" s="122"/>
      <c r="X457" s="122"/>
      <c r="Y457" s="122"/>
      <c r="Z457" s="122"/>
    </row>
    <row r="458" spans="1:26" ht="12.75" x14ac:dyDescent="0.2">
      <c r="A458" s="122"/>
      <c r="B458" s="180"/>
      <c r="C458" s="152"/>
      <c r="D458" s="180"/>
      <c r="E458" s="180"/>
      <c r="F458" s="194"/>
      <c r="G458" s="194"/>
      <c r="H458" s="194"/>
      <c r="I458" s="194"/>
      <c r="J458" s="194"/>
      <c r="K458" s="194"/>
      <c r="L458" s="194"/>
      <c r="M458" s="194"/>
      <c r="N458" s="194"/>
      <c r="O458" s="194"/>
      <c r="P458" s="122"/>
      <c r="Q458" s="122"/>
      <c r="R458" s="122"/>
      <c r="S458" s="122"/>
      <c r="T458" s="122"/>
      <c r="U458" s="122"/>
      <c r="V458" s="122"/>
      <c r="W458" s="122"/>
      <c r="X458" s="122"/>
      <c r="Y458" s="122"/>
      <c r="Z458" s="122"/>
    </row>
    <row r="459" spans="1:26" ht="12.75" x14ac:dyDescent="0.2">
      <c r="A459" s="122"/>
      <c r="B459" s="180"/>
      <c r="C459" s="188" t="s">
        <v>266</v>
      </c>
      <c r="D459" s="180"/>
      <c r="E459" s="180"/>
      <c r="F459" s="194"/>
      <c r="G459" s="194"/>
      <c r="H459" s="194"/>
      <c r="I459" s="194"/>
      <c r="J459" s="194"/>
      <c r="K459" s="194"/>
      <c r="L459" s="194"/>
      <c r="M459" s="194"/>
      <c r="N459" s="194"/>
      <c r="O459" s="194"/>
      <c r="P459" s="122"/>
      <c r="Q459" s="122"/>
      <c r="R459" s="122"/>
      <c r="S459" s="122"/>
      <c r="T459" s="122"/>
      <c r="U459" s="122"/>
      <c r="V459" s="122"/>
      <c r="W459" s="122"/>
      <c r="X459" s="122"/>
      <c r="Y459" s="122"/>
      <c r="Z459" s="122"/>
    </row>
    <row r="460" spans="1:26" ht="12.75" x14ac:dyDescent="0.2">
      <c r="A460" s="122"/>
      <c r="B460" s="180"/>
      <c r="C460" s="155" t="s">
        <v>267</v>
      </c>
      <c r="D460" s="180"/>
      <c r="E460" s="338">
        <v>0</v>
      </c>
      <c r="F460" s="125">
        <f>F345*$E460</f>
        <v>0</v>
      </c>
      <c r="G460" s="125">
        <f>G345*$E460</f>
        <v>0</v>
      </c>
      <c r="H460" s="125">
        <f>H345*$E460</f>
        <v>0</v>
      </c>
      <c r="I460" s="125">
        <f>I345*$E460</f>
        <v>0</v>
      </c>
      <c r="J460" s="125">
        <f>J345*$E460</f>
        <v>0</v>
      </c>
      <c r="K460" s="125">
        <f>K345*$E460</f>
        <v>0</v>
      </c>
      <c r="L460" s="125">
        <f>L345*$E460</f>
        <v>0</v>
      </c>
      <c r="M460" s="125">
        <f>M345*$E460</f>
        <v>0</v>
      </c>
      <c r="N460" s="125">
        <f>N345*$E460</f>
        <v>0</v>
      </c>
      <c r="O460" s="125">
        <f>O345*$E460</f>
        <v>0</v>
      </c>
      <c r="P460" s="122"/>
      <c r="Q460" s="122"/>
      <c r="R460" s="122"/>
      <c r="S460" s="122"/>
      <c r="T460" s="122"/>
      <c r="U460" s="122"/>
      <c r="V460" s="122"/>
      <c r="W460" s="122"/>
      <c r="X460" s="122"/>
      <c r="Y460" s="122"/>
      <c r="Z460" s="122"/>
    </row>
    <row r="461" spans="1:26" ht="12.75" x14ac:dyDescent="0.2">
      <c r="A461" s="122"/>
      <c r="B461" s="180"/>
      <c r="C461" s="155" t="s">
        <v>138</v>
      </c>
      <c r="D461" s="180"/>
      <c r="E461" s="338">
        <v>0</v>
      </c>
      <c r="F461" s="125">
        <f>F346*$E461</f>
        <v>0</v>
      </c>
      <c r="G461" s="125">
        <f>G346*$E461</f>
        <v>0</v>
      </c>
      <c r="H461" s="125">
        <f>H346*$E461</f>
        <v>0</v>
      </c>
      <c r="I461" s="125">
        <f>I346*$E461</f>
        <v>0</v>
      </c>
      <c r="J461" s="125">
        <f>J346*$E461</f>
        <v>0</v>
      </c>
      <c r="K461" s="125">
        <f>K346*$E461</f>
        <v>0</v>
      </c>
      <c r="L461" s="125">
        <f>L346*$E461</f>
        <v>0</v>
      </c>
      <c r="M461" s="125">
        <f>M346*$E461</f>
        <v>0</v>
      </c>
      <c r="N461" s="125">
        <f>N346*$E461</f>
        <v>0</v>
      </c>
      <c r="O461" s="125">
        <f>O346*$E461</f>
        <v>0</v>
      </c>
      <c r="P461" s="122"/>
      <c r="Q461" s="122"/>
      <c r="R461" s="122"/>
      <c r="S461" s="122"/>
      <c r="T461" s="122"/>
      <c r="U461" s="122"/>
      <c r="V461" s="122"/>
      <c r="W461" s="122"/>
      <c r="X461" s="122"/>
      <c r="Y461" s="122"/>
      <c r="Z461" s="122"/>
    </row>
    <row r="462" spans="1:26" ht="12.75" x14ac:dyDescent="0.2">
      <c r="A462" s="122"/>
      <c r="B462" s="180"/>
      <c r="C462" s="198" t="s">
        <v>247</v>
      </c>
      <c r="D462" s="182"/>
      <c r="E462" s="182"/>
      <c r="F462" s="127">
        <f>SUM(F460:F461)</f>
        <v>0</v>
      </c>
      <c r="G462" s="127">
        <f t="shared" ref="G462:O462" si="162">SUM(G460:G461)</f>
        <v>0</v>
      </c>
      <c r="H462" s="127">
        <f t="shared" si="162"/>
        <v>0</v>
      </c>
      <c r="I462" s="127">
        <f t="shared" si="162"/>
        <v>0</v>
      </c>
      <c r="J462" s="127">
        <f t="shared" si="162"/>
        <v>0</v>
      </c>
      <c r="K462" s="127">
        <f t="shared" si="162"/>
        <v>0</v>
      </c>
      <c r="L462" s="127">
        <f t="shared" si="162"/>
        <v>0</v>
      </c>
      <c r="M462" s="127">
        <f t="shared" si="162"/>
        <v>0</v>
      </c>
      <c r="N462" s="127">
        <f t="shared" si="162"/>
        <v>0</v>
      </c>
      <c r="O462" s="127">
        <f t="shared" si="162"/>
        <v>0</v>
      </c>
      <c r="P462" s="122"/>
      <c r="Q462" s="122"/>
      <c r="R462" s="122"/>
      <c r="S462" s="122"/>
      <c r="T462" s="122"/>
      <c r="U462" s="122"/>
      <c r="V462" s="122"/>
      <c r="W462" s="122"/>
      <c r="X462" s="122"/>
      <c r="Y462" s="122"/>
      <c r="Z462" s="122"/>
    </row>
    <row r="463" spans="1:26" ht="12.75" x14ac:dyDescent="0.2">
      <c r="A463" s="122"/>
      <c r="B463" s="180"/>
      <c r="C463" s="152"/>
      <c r="D463" s="180"/>
      <c r="E463" s="180"/>
      <c r="F463" s="194"/>
      <c r="G463" s="194"/>
      <c r="H463" s="194"/>
      <c r="I463" s="194"/>
      <c r="J463" s="194"/>
      <c r="K463" s="194"/>
      <c r="L463" s="194"/>
      <c r="M463" s="194"/>
      <c r="N463" s="194"/>
      <c r="O463" s="194"/>
      <c r="P463" s="122"/>
      <c r="Q463" s="122"/>
      <c r="R463" s="122"/>
      <c r="S463" s="122"/>
      <c r="T463" s="122"/>
      <c r="U463" s="122"/>
      <c r="V463" s="122"/>
      <c r="W463" s="122"/>
      <c r="X463" s="122"/>
      <c r="Y463" s="122"/>
      <c r="Z463" s="122"/>
    </row>
    <row r="464" spans="1:26" ht="12.75" x14ac:dyDescent="0.2">
      <c r="A464" s="122"/>
      <c r="B464" s="180"/>
      <c r="C464" s="203" t="s">
        <v>675</v>
      </c>
      <c r="D464" s="195"/>
      <c r="E464" s="195"/>
      <c r="F464" s="196">
        <f>F457+F462</f>
        <v>190.06931798119112</v>
      </c>
      <c r="G464" s="196">
        <f t="shared" ref="G464:O464" si="163">G457+G462</f>
        <v>197.67209070043873</v>
      </c>
      <c r="H464" s="196">
        <f t="shared" si="163"/>
        <v>205.57897432845633</v>
      </c>
      <c r="I464" s="196">
        <f t="shared" si="163"/>
        <v>213.80213330159455</v>
      </c>
      <c r="J464" s="196">
        <f t="shared" si="163"/>
        <v>222.35421863365835</v>
      </c>
      <c r="K464" s="196">
        <f t="shared" si="163"/>
        <v>231.2483873790047</v>
      </c>
      <c r="L464" s="196">
        <f t="shared" si="163"/>
        <v>240.4983228741649</v>
      </c>
      <c r="M464" s="196">
        <f t="shared" si="163"/>
        <v>250.11825578913158</v>
      </c>
      <c r="N464" s="196">
        <f t="shared" si="163"/>
        <v>260.12298602069683</v>
      </c>
      <c r="O464" s="196">
        <f t="shared" si="163"/>
        <v>270.52790546152477</v>
      </c>
      <c r="P464" s="122"/>
      <c r="Q464" s="122"/>
      <c r="R464" s="122"/>
      <c r="S464" s="122"/>
      <c r="T464" s="122"/>
      <c r="U464" s="122"/>
      <c r="V464" s="122"/>
      <c r="W464" s="122"/>
      <c r="X464" s="122"/>
      <c r="Y464" s="122"/>
      <c r="Z464" s="122"/>
    </row>
    <row r="465" spans="1:26" ht="12.75" x14ac:dyDescent="0.2">
      <c r="A465" s="122"/>
      <c r="B465" s="180"/>
      <c r="C465" s="155"/>
      <c r="D465" s="180"/>
      <c r="E465" s="180"/>
      <c r="F465" s="180"/>
      <c r="G465" s="180"/>
      <c r="H465" s="180"/>
      <c r="I465" s="180"/>
      <c r="J465" s="180"/>
      <c r="K465" s="180"/>
      <c r="L465" s="180"/>
      <c r="M465" s="180"/>
      <c r="N465" s="180"/>
      <c r="O465" s="180"/>
      <c r="P465" s="122"/>
      <c r="Q465" s="122"/>
      <c r="R465" s="122"/>
      <c r="S465" s="122"/>
      <c r="T465" s="122"/>
      <c r="U465" s="122"/>
      <c r="V465" s="122"/>
      <c r="W465" s="122"/>
      <c r="X465" s="122"/>
      <c r="Y465" s="122"/>
      <c r="Z465" s="122"/>
    </row>
    <row r="466" spans="1:26" ht="12.75" x14ac:dyDescent="0.2">
      <c r="A466" s="122"/>
      <c r="C466" s="232" t="s">
        <v>235</v>
      </c>
      <c r="D466" s="180"/>
      <c r="E466" s="180"/>
      <c r="F466" s="180"/>
      <c r="G466" s="180"/>
      <c r="H466" s="180"/>
      <c r="I466" s="180"/>
      <c r="J466" s="180"/>
      <c r="K466" s="180"/>
      <c r="L466" s="180"/>
      <c r="M466" s="180"/>
      <c r="N466" s="180"/>
      <c r="O466" s="180"/>
      <c r="P466" s="122"/>
      <c r="Q466" s="122"/>
      <c r="R466" s="122"/>
      <c r="S466" s="122"/>
      <c r="T466" s="122"/>
      <c r="U466" s="122"/>
      <c r="V466" s="122"/>
      <c r="W466" s="122"/>
      <c r="X466" s="122"/>
      <c r="Y466" s="122"/>
      <c r="Z466" s="122"/>
    </row>
    <row r="467" spans="1:26" ht="12.75" x14ac:dyDescent="0.2">
      <c r="A467" s="122"/>
      <c r="B467" s="192"/>
      <c r="C467" s="188" t="s">
        <v>144</v>
      </c>
      <c r="D467" s="180"/>
      <c r="E467" s="180"/>
      <c r="F467" s="180"/>
      <c r="G467" s="180"/>
      <c r="H467" s="180"/>
      <c r="I467" s="180"/>
      <c r="J467" s="180"/>
      <c r="K467" s="180"/>
      <c r="L467" s="180"/>
      <c r="M467" s="180"/>
      <c r="N467" s="180"/>
      <c r="O467" s="180"/>
      <c r="P467" s="122"/>
      <c r="Q467" s="122"/>
      <c r="R467" s="122"/>
      <c r="S467" s="122"/>
      <c r="T467" s="122"/>
      <c r="U467" s="122"/>
      <c r="V467" s="122"/>
      <c r="W467" s="122"/>
      <c r="X467" s="122"/>
      <c r="Y467" s="122"/>
      <c r="Z467" s="122"/>
    </row>
    <row r="468" spans="1:26" ht="12.75" x14ac:dyDescent="0.2">
      <c r="A468" s="122"/>
      <c r="B468" s="192"/>
      <c r="C468" s="155" t="s">
        <v>245</v>
      </c>
      <c r="D468" s="180"/>
      <c r="E468" s="338">
        <v>0</v>
      </c>
      <c r="F468" s="125">
        <f>F353*$E468</f>
        <v>0</v>
      </c>
      <c r="G468" s="125">
        <f>G353*$E468</f>
        <v>0</v>
      </c>
      <c r="H468" s="125">
        <f>H353*$E468</f>
        <v>0</v>
      </c>
      <c r="I468" s="125">
        <f>I353*$E468</f>
        <v>0</v>
      </c>
      <c r="J468" s="125">
        <f>J353*$E468</f>
        <v>0</v>
      </c>
      <c r="K468" s="125">
        <f>K353*$E468</f>
        <v>0</v>
      </c>
      <c r="L468" s="125">
        <f>L353*$E468</f>
        <v>0</v>
      </c>
      <c r="M468" s="125">
        <f>M353*$E468</f>
        <v>0</v>
      </c>
      <c r="N468" s="125">
        <f>N353*$E468</f>
        <v>0</v>
      </c>
      <c r="O468" s="125">
        <f>O353*$E468</f>
        <v>0</v>
      </c>
      <c r="P468" s="122"/>
      <c r="Q468" s="197"/>
      <c r="R468" s="122"/>
      <c r="S468" s="122"/>
      <c r="T468" s="122"/>
      <c r="U468" s="122"/>
      <c r="V468" s="122"/>
      <c r="W468" s="122"/>
      <c r="X468" s="122"/>
      <c r="Y468" s="122"/>
      <c r="Z468" s="122"/>
    </row>
    <row r="469" spans="1:26" ht="12.75" x14ac:dyDescent="0.2">
      <c r="A469" s="122"/>
      <c r="B469" s="192"/>
      <c r="C469" s="198" t="s">
        <v>245</v>
      </c>
      <c r="D469" s="182"/>
      <c r="E469" s="182"/>
      <c r="F469" s="129">
        <f>F468</f>
        <v>0</v>
      </c>
      <c r="G469" s="129">
        <f t="shared" ref="G469:O469" si="164">G468</f>
        <v>0</v>
      </c>
      <c r="H469" s="129">
        <f t="shared" si="164"/>
        <v>0</v>
      </c>
      <c r="I469" s="129">
        <f t="shared" si="164"/>
        <v>0</v>
      </c>
      <c r="J469" s="129">
        <f t="shared" si="164"/>
        <v>0</v>
      </c>
      <c r="K469" s="129">
        <f t="shared" si="164"/>
        <v>0</v>
      </c>
      <c r="L469" s="129">
        <f t="shared" si="164"/>
        <v>0</v>
      </c>
      <c r="M469" s="129">
        <f t="shared" si="164"/>
        <v>0</v>
      </c>
      <c r="N469" s="129">
        <f t="shared" si="164"/>
        <v>0</v>
      </c>
      <c r="O469" s="129">
        <f t="shared" si="164"/>
        <v>0</v>
      </c>
      <c r="P469" s="122"/>
      <c r="Q469" s="197"/>
      <c r="R469" s="122"/>
      <c r="S469" s="122"/>
      <c r="T469" s="122"/>
      <c r="U469" s="122"/>
      <c r="V469" s="122"/>
      <c r="W469" s="122"/>
      <c r="X469" s="122"/>
      <c r="Y469" s="122"/>
      <c r="Z469" s="122"/>
    </row>
    <row r="470" spans="1:26" ht="12.75" x14ac:dyDescent="0.2">
      <c r="A470" s="122"/>
      <c r="B470" s="192"/>
      <c r="C470" s="232"/>
      <c r="D470" s="180"/>
      <c r="E470" s="180"/>
      <c r="F470" s="180"/>
      <c r="G470" s="180"/>
      <c r="H470" s="180"/>
      <c r="I470" s="180"/>
      <c r="J470" s="180"/>
      <c r="K470" s="180"/>
      <c r="L470" s="180"/>
      <c r="M470" s="180"/>
      <c r="N470" s="180"/>
      <c r="O470" s="180"/>
      <c r="P470" s="122"/>
      <c r="Q470" s="122"/>
      <c r="R470" s="122"/>
      <c r="S470" s="122"/>
      <c r="T470" s="122"/>
      <c r="U470" s="122"/>
      <c r="V470" s="122"/>
      <c r="W470" s="122"/>
      <c r="X470" s="122"/>
      <c r="Y470" s="122"/>
      <c r="Z470" s="122"/>
    </row>
    <row r="471" spans="1:26" ht="12.75" x14ac:dyDescent="0.2">
      <c r="A471" s="122"/>
      <c r="B471" s="180"/>
      <c r="C471" s="188" t="s">
        <v>218</v>
      </c>
      <c r="D471" s="180"/>
      <c r="E471" s="180"/>
      <c r="F471" s="180"/>
      <c r="G471" s="180"/>
      <c r="H471" s="180"/>
      <c r="I471" s="180"/>
      <c r="J471" s="180"/>
      <c r="K471" s="180"/>
      <c r="L471" s="180"/>
      <c r="M471" s="180"/>
      <c r="N471" s="180"/>
      <c r="O471" s="180"/>
      <c r="P471" s="122"/>
      <c r="Q471" s="122"/>
      <c r="R471" s="122"/>
      <c r="S471" s="122"/>
      <c r="T471" s="122"/>
      <c r="U471" s="122"/>
      <c r="V471" s="122"/>
      <c r="W471" s="122"/>
      <c r="X471" s="122"/>
      <c r="Y471" s="122"/>
      <c r="Z471" s="122"/>
    </row>
    <row r="472" spans="1:26" ht="12.75" x14ac:dyDescent="0.2">
      <c r="A472" s="122"/>
      <c r="B472" s="180"/>
      <c r="C472" s="228" t="s">
        <v>272</v>
      </c>
      <c r="D472" s="180"/>
      <c r="E472" s="338">
        <v>1</v>
      </c>
      <c r="F472" s="125">
        <f>F357*$E472</f>
        <v>11.282839615384615</v>
      </c>
      <c r="G472" s="125">
        <f>G357*$E472</f>
        <v>11.282839615384615</v>
      </c>
      <c r="H472" s="125">
        <f>H357*$E472</f>
        <v>11.282839615384615</v>
      </c>
      <c r="I472" s="125">
        <f>I357*$E472</f>
        <v>11.282839615384615</v>
      </c>
      <c r="J472" s="125">
        <f>J357*$E472</f>
        <v>11.282839615384615</v>
      </c>
      <c r="K472" s="125">
        <f>K357*$E472</f>
        <v>11.282839615384614</v>
      </c>
      <c r="L472" s="125">
        <f>L357*$E472</f>
        <v>11.282839615384617</v>
      </c>
      <c r="M472" s="125">
        <f>M357*$E472</f>
        <v>11.282839615384615</v>
      </c>
      <c r="N472" s="125">
        <f>N357*$E472</f>
        <v>11.282839615384614</v>
      </c>
      <c r="O472" s="125">
        <f>O357*$E472</f>
        <v>11.282839615384615</v>
      </c>
      <c r="P472" s="122"/>
      <c r="Q472" s="122"/>
      <c r="R472" s="122"/>
      <c r="S472" s="122"/>
      <c r="T472" s="122"/>
      <c r="U472" s="122"/>
      <c r="V472" s="122"/>
      <c r="W472" s="122"/>
      <c r="X472" s="122"/>
      <c r="Y472" s="122"/>
      <c r="Z472" s="122"/>
    </row>
    <row r="473" spans="1:26" ht="12.75" x14ac:dyDescent="0.2">
      <c r="A473" s="122"/>
      <c r="B473" s="180"/>
      <c r="C473" s="228" t="s">
        <v>273</v>
      </c>
      <c r="D473" s="180"/>
      <c r="E473" s="338">
        <v>1</v>
      </c>
      <c r="F473" s="125">
        <f>F358*$E473</f>
        <v>8.3209909999999976</v>
      </c>
      <c r="G473" s="125">
        <f>G358*$E473</f>
        <v>8.3209909999999994</v>
      </c>
      <c r="H473" s="125">
        <f>H358*$E473</f>
        <v>8.3209909999999994</v>
      </c>
      <c r="I473" s="125">
        <f>I358*$E473</f>
        <v>8.3209909999999976</v>
      </c>
      <c r="J473" s="125">
        <f>J358*$E473</f>
        <v>8.3209909999999976</v>
      </c>
      <c r="K473" s="125">
        <f>K358*$E473</f>
        <v>8.3209909999999976</v>
      </c>
      <c r="L473" s="125">
        <f>L358*$E473</f>
        <v>8.3209909999999994</v>
      </c>
      <c r="M473" s="125">
        <f>M358*$E473</f>
        <v>8.3209909999999976</v>
      </c>
      <c r="N473" s="125">
        <f>N358*$E473</f>
        <v>8.3209909999999994</v>
      </c>
      <c r="O473" s="125">
        <f>O358*$E473</f>
        <v>8.3209909999999976</v>
      </c>
      <c r="P473" s="122"/>
      <c r="Q473" s="122"/>
      <c r="R473" s="122"/>
      <c r="S473" s="122"/>
      <c r="T473" s="122"/>
      <c r="U473" s="122"/>
      <c r="V473" s="122"/>
      <c r="W473" s="122"/>
      <c r="X473" s="122"/>
      <c r="Y473" s="122"/>
      <c r="Z473" s="122"/>
    </row>
    <row r="474" spans="1:26" ht="12.75" x14ac:dyDescent="0.2">
      <c r="A474" s="122"/>
      <c r="B474" s="180"/>
      <c r="C474" s="228" t="s">
        <v>274</v>
      </c>
      <c r="D474" s="180"/>
      <c r="E474" s="338">
        <v>1</v>
      </c>
      <c r="F474" s="125">
        <f>F359*$E474</f>
        <v>4.4537594594594596</v>
      </c>
      <c r="G474" s="125">
        <f>G359*$E474</f>
        <v>4.4537594594594587</v>
      </c>
      <c r="H474" s="125">
        <f>H359*$E474</f>
        <v>4.4537594594594596</v>
      </c>
      <c r="I474" s="125">
        <f>I359*$E474</f>
        <v>4.4537594594594587</v>
      </c>
      <c r="J474" s="125">
        <f>J359*$E474</f>
        <v>4.4537594594594596</v>
      </c>
      <c r="K474" s="125">
        <f>K359*$E474</f>
        <v>4.4537594594594596</v>
      </c>
      <c r="L474" s="125">
        <f>L359*$E474</f>
        <v>4.4537594594594596</v>
      </c>
      <c r="M474" s="125">
        <f>M359*$E474</f>
        <v>4.4537594594594596</v>
      </c>
      <c r="N474" s="125">
        <f>N359*$E474</f>
        <v>4.4537594594594587</v>
      </c>
      <c r="O474" s="125">
        <f>O359*$E474</f>
        <v>4.4537594594594596</v>
      </c>
      <c r="P474" s="122"/>
      <c r="Q474" s="122"/>
      <c r="R474" s="122"/>
      <c r="S474" s="122"/>
      <c r="T474" s="122"/>
      <c r="U474" s="122"/>
      <c r="V474" s="122"/>
      <c r="W474" s="122"/>
      <c r="X474" s="122"/>
      <c r="Y474" s="122"/>
      <c r="Z474" s="122"/>
    </row>
    <row r="475" spans="1:26" ht="12.75" x14ac:dyDescent="0.2">
      <c r="A475" s="122"/>
      <c r="B475" s="180"/>
      <c r="C475" s="228" t="s">
        <v>275</v>
      </c>
      <c r="D475" s="180"/>
      <c r="E475" s="338">
        <v>1</v>
      </c>
      <c r="F475" s="125">
        <f>F360*$E475</f>
        <v>18.814927761666642</v>
      </c>
      <c r="G475" s="125">
        <f>G360*$E475</f>
        <v>18.814927761666642</v>
      </c>
      <c r="H475" s="125">
        <f>H360*$E475</f>
        <v>18.814927761666642</v>
      </c>
      <c r="I475" s="125">
        <f>I360*$E475</f>
        <v>18.814927761666642</v>
      </c>
      <c r="J475" s="125">
        <f>J360*$E475</f>
        <v>18.814927761666638</v>
      </c>
      <c r="K475" s="125">
        <f>K360*$E475</f>
        <v>18.814927761666642</v>
      </c>
      <c r="L475" s="125">
        <f>L360*$E475</f>
        <v>18.814927761666642</v>
      </c>
      <c r="M475" s="125">
        <f>M360*$E475</f>
        <v>18.814927761666642</v>
      </c>
      <c r="N475" s="125">
        <f>N360*$E475</f>
        <v>18.814927761666642</v>
      </c>
      <c r="O475" s="125">
        <f>O360*$E475</f>
        <v>18.814927761666638</v>
      </c>
      <c r="P475" s="122"/>
      <c r="Q475" s="122"/>
      <c r="R475" s="122"/>
      <c r="S475" s="122"/>
      <c r="T475" s="122"/>
      <c r="U475" s="122"/>
      <c r="V475" s="122"/>
      <c r="W475" s="122"/>
      <c r="X475" s="122"/>
      <c r="Y475" s="122"/>
      <c r="Z475" s="122"/>
    </row>
    <row r="476" spans="1:26" ht="12.75" x14ac:dyDescent="0.2">
      <c r="A476" s="122"/>
      <c r="B476" s="180"/>
      <c r="C476" s="152" t="s">
        <v>293</v>
      </c>
      <c r="D476" s="180"/>
      <c r="E476" s="338">
        <v>1</v>
      </c>
      <c r="F476" s="125">
        <f>F361*$E476</f>
        <v>10.696629767441863</v>
      </c>
      <c r="G476" s="125">
        <f>G361*$E476</f>
        <v>10.696629767441861</v>
      </c>
      <c r="H476" s="125">
        <f>H361*$E476</f>
        <v>10.696629767441863</v>
      </c>
      <c r="I476" s="125">
        <f>I361*$E476</f>
        <v>10.696629767441861</v>
      </c>
      <c r="J476" s="125">
        <f>J361*$E476</f>
        <v>10.696629767441863</v>
      </c>
      <c r="K476" s="125">
        <f>K361*$E476</f>
        <v>10.696629767441863</v>
      </c>
      <c r="L476" s="125">
        <f>L361*$E476</f>
        <v>10.696629767441863</v>
      </c>
      <c r="M476" s="125">
        <f>M361*$E476</f>
        <v>10.696629767441861</v>
      </c>
      <c r="N476" s="125">
        <f>N361*$E476</f>
        <v>10.696629767441863</v>
      </c>
      <c r="O476" s="125">
        <f>O361*$E476</f>
        <v>10.696629767441861</v>
      </c>
      <c r="P476" s="122"/>
      <c r="Q476" s="122"/>
      <c r="R476" s="122"/>
      <c r="S476" s="122"/>
      <c r="T476" s="122"/>
      <c r="U476" s="122"/>
      <c r="V476" s="122"/>
      <c r="W476" s="122"/>
      <c r="X476" s="122"/>
      <c r="Y476" s="122"/>
      <c r="Z476" s="122"/>
    </row>
    <row r="477" spans="1:26" ht="12.75" x14ac:dyDescent="0.2">
      <c r="A477" s="122"/>
      <c r="B477" s="180"/>
      <c r="C477" s="228" t="s">
        <v>278</v>
      </c>
      <c r="D477" s="180"/>
      <c r="E477" s="338">
        <v>1</v>
      </c>
      <c r="F477" s="125">
        <f>F362*$E477</f>
        <v>24.550149391110523</v>
      </c>
      <c r="G477" s="125">
        <f>G362*$E477</f>
        <v>24.550149391110523</v>
      </c>
      <c r="H477" s="125">
        <f>H362*$E477</f>
        <v>24.550149391110526</v>
      </c>
      <c r="I477" s="125">
        <f>I362*$E477</f>
        <v>24.550149391110526</v>
      </c>
      <c r="J477" s="125">
        <f>J362*$E477</f>
        <v>24.550149391110526</v>
      </c>
      <c r="K477" s="125">
        <f>K362*$E477</f>
        <v>24.550149391110523</v>
      </c>
      <c r="L477" s="125">
        <f>L362*$E477</f>
        <v>24.550149391110526</v>
      </c>
      <c r="M477" s="125">
        <f>M362*$E477</f>
        <v>24.550149391110523</v>
      </c>
      <c r="N477" s="125">
        <f>N362*$E477</f>
        <v>24.550149391110523</v>
      </c>
      <c r="O477" s="125">
        <f>O362*$E477</f>
        <v>24.550149391110526</v>
      </c>
      <c r="P477" s="122"/>
      <c r="Q477" s="122"/>
      <c r="R477" s="122"/>
      <c r="S477" s="122"/>
      <c r="T477" s="122"/>
      <c r="U477" s="122"/>
      <c r="V477" s="122"/>
      <c r="W477" s="122"/>
      <c r="X477" s="122"/>
      <c r="Y477" s="122"/>
      <c r="Z477" s="122"/>
    </row>
    <row r="478" spans="1:26" ht="12.75" x14ac:dyDescent="0.2">
      <c r="A478" s="122"/>
      <c r="B478" s="180"/>
      <c r="C478" s="152" t="s">
        <v>85</v>
      </c>
      <c r="D478" s="180"/>
      <c r="E478" s="338">
        <v>1</v>
      </c>
      <c r="F478" s="125">
        <f>F363*$E478</f>
        <v>11.844526169301163</v>
      </c>
      <c r="G478" s="125">
        <f>G363*$E478</f>
        <v>11.844526169301163</v>
      </c>
      <c r="H478" s="125">
        <f>H363*$E478</f>
        <v>11.844526169301163</v>
      </c>
      <c r="I478" s="125">
        <f>I363*$E478</f>
        <v>11.844526169301163</v>
      </c>
      <c r="J478" s="125">
        <f>J363*$E478</f>
        <v>0</v>
      </c>
      <c r="K478" s="125">
        <f>K363*$E478</f>
        <v>0</v>
      </c>
      <c r="L478" s="125">
        <f>L363*$E478</f>
        <v>0</v>
      </c>
      <c r="M478" s="125">
        <f>M363*$E478</f>
        <v>0</v>
      </c>
      <c r="N478" s="125">
        <f>N363*$E478</f>
        <v>0</v>
      </c>
      <c r="O478" s="125">
        <f>O363*$E478</f>
        <v>0</v>
      </c>
      <c r="P478" s="122"/>
      <c r="Q478" s="122"/>
      <c r="R478" s="122"/>
      <c r="S478" s="122"/>
      <c r="T478" s="122"/>
      <c r="U478" s="122"/>
      <c r="V478" s="122"/>
      <c r="W478" s="122"/>
      <c r="X478" s="122"/>
      <c r="Y478" s="122"/>
      <c r="Z478" s="122"/>
    </row>
    <row r="479" spans="1:26" ht="12.75" x14ac:dyDescent="0.2">
      <c r="A479" s="122"/>
      <c r="B479" s="180"/>
      <c r="C479" s="198" t="s">
        <v>207</v>
      </c>
      <c r="D479" s="182"/>
      <c r="E479" s="182"/>
      <c r="F479" s="193">
        <f>SUM(F472:F478)</f>
        <v>89.963823164364257</v>
      </c>
      <c r="G479" s="193">
        <f t="shared" ref="G479:O479" si="165">SUM(G472:G478)</f>
        <v>89.963823164364271</v>
      </c>
      <c r="H479" s="193">
        <f t="shared" si="165"/>
        <v>89.963823164364271</v>
      </c>
      <c r="I479" s="193">
        <f t="shared" si="165"/>
        <v>89.963823164364257</v>
      </c>
      <c r="J479" s="193">
        <f t="shared" si="165"/>
        <v>78.119296995063095</v>
      </c>
      <c r="K479" s="193">
        <f t="shared" si="165"/>
        <v>78.119296995063095</v>
      </c>
      <c r="L479" s="193">
        <f t="shared" si="165"/>
        <v>78.11929699506311</v>
      </c>
      <c r="M479" s="193">
        <f t="shared" si="165"/>
        <v>78.119296995063095</v>
      </c>
      <c r="N479" s="193">
        <f t="shared" si="165"/>
        <v>78.119296995063095</v>
      </c>
      <c r="O479" s="193">
        <f t="shared" si="165"/>
        <v>78.119296995063095</v>
      </c>
      <c r="P479" s="122"/>
      <c r="Q479" s="122"/>
      <c r="R479" s="122"/>
      <c r="S479" s="122"/>
      <c r="T479" s="122"/>
      <c r="U479" s="122"/>
      <c r="V479" s="122"/>
      <c r="W479" s="122"/>
      <c r="X479" s="122"/>
      <c r="Y479" s="122"/>
      <c r="Z479" s="122"/>
    </row>
    <row r="480" spans="1:26" ht="12.75" x14ac:dyDescent="0.2">
      <c r="A480" s="122"/>
      <c r="B480" s="180"/>
      <c r="C480" s="155"/>
      <c r="D480" s="180"/>
      <c r="E480" s="180"/>
      <c r="F480" s="180"/>
      <c r="G480" s="180"/>
      <c r="H480" s="180"/>
      <c r="I480" s="180"/>
      <c r="J480" s="180"/>
      <c r="K480" s="180"/>
      <c r="L480" s="180"/>
      <c r="M480" s="180"/>
      <c r="N480" s="180"/>
      <c r="O480" s="180"/>
      <c r="P480" s="122"/>
      <c r="Q480" s="122"/>
      <c r="R480" s="122"/>
      <c r="S480" s="122"/>
      <c r="T480" s="122"/>
      <c r="U480" s="122"/>
      <c r="V480" s="122"/>
      <c r="W480" s="122"/>
      <c r="X480" s="122"/>
      <c r="Y480" s="122"/>
      <c r="Z480" s="122"/>
    </row>
    <row r="481" spans="1:26" ht="12.75" x14ac:dyDescent="0.2">
      <c r="A481" s="122"/>
      <c r="B481" s="180"/>
      <c r="C481" s="188" t="s">
        <v>215</v>
      </c>
      <c r="D481" s="180"/>
      <c r="E481" s="180"/>
      <c r="F481" s="183"/>
      <c r="G481" s="183"/>
      <c r="H481" s="183"/>
      <c r="I481" s="183"/>
      <c r="J481" s="183"/>
      <c r="K481" s="183"/>
      <c r="L481" s="183"/>
      <c r="M481" s="183"/>
      <c r="N481" s="183"/>
      <c r="O481" s="183"/>
      <c r="P481" s="122"/>
      <c r="Q481" s="122"/>
      <c r="R481" s="122"/>
      <c r="S481" s="122"/>
      <c r="T481" s="122"/>
      <c r="U481" s="122"/>
      <c r="V481" s="122"/>
      <c r="W481" s="122"/>
      <c r="X481" s="122"/>
      <c r="Y481" s="122"/>
      <c r="Z481" s="122"/>
    </row>
    <row r="482" spans="1:26" ht="12.75" x14ac:dyDescent="0.2">
      <c r="A482" s="122"/>
      <c r="B482" s="180"/>
      <c r="C482" s="155" t="s">
        <v>110</v>
      </c>
      <c r="D482" s="180"/>
      <c r="E482" s="338">
        <v>1</v>
      </c>
      <c r="F482" s="125">
        <f>F367*$E482</f>
        <v>6.21936</v>
      </c>
      <c r="G482" s="125">
        <f>G367*$E482</f>
        <v>6.21936</v>
      </c>
      <c r="H482" s="125">
        <f>H367*$E482</f>
        <v>6.21936</v>
      </c>
      <c r="I482" s="125">
        <f>I367*$E482</f>
        <v>6.21936</v>
      </c>
      <c r="J482" s="125">
        <f>J367*$E482</f>
        <v>6.21936</v>
      </c>
      <c r="K482" s="125">
        <f>K367*$E482</f>
        <v>6.21936</v>
      </c>
      <c r="L482" s="125">
        <f>L367*$E482</f>
        <v>6.2193599999999991</v>
      </c>
      <c r="M482" s="125">
        <f>M367*$E482</f>
        <v>6.2193599999999991</v>
      </c>
      <c r="N482" s="125">
        <f>N367*$E482</f>
        <v>6.2193599999999991</v>
      </c>
      <c r="O482" s="125">
        <f>O367*$E482</f>
        <v>6.2193599999999991</v>
      </c>
      <c r="P482" s="122"/>
      <c r="Q482" s="122"/>
      <c r="R482" s="122"/>
      <c r="S482" s="122"/>
      <c r="T482" s="122"/>
      <c r="U482" s="122"/>
      <c r="V482" s="122"/>
      <c r="W482" s="122"/>
      <c r="X482" s="122"/>
      <c r="Y482" s="122"/>
      <c r="Z482" s="122"/>
    </row>
    <row r="483" spans="1:26" ht="12.75" x14ac:dyDescent="0.2">
      <c r="A483" s="122"/>
      <c r="B483" s="180"/>
      <c r="C483" s="184" t="s">
        <v>283</v>
      </c>
      <c r="D483" s="185"/>
      <c r="E483" s="338">
        <v>1</v>
      </c>
      <c r="F483" s="125">
        <f>F368*$E483</f>
        <v>3.74369</v>
      </c>
      <c r="G483" s="236">
        <f>G368*$E483</f>
        <v>3.74369</v>
      </c>
      <c r="H483" s="236">
        <f>H368*$E483</f>
        <v>3.74369</v>
      </c>
      <c r="I483" s="236">
        <f>I368*$E483</f>
        <v>3.7436899999999995</v>
      </c>
      <c r="J483" s="236">
        <f>J368*$E483</f>
        <v>3.74369</v>
      </c>
      <c r="K483" s="236">
        <f>K368*$E483</f>
        <v>3.74369</v>
      </c>
      <c r="L483" s="236">
        <f>L368*$E483</f>
        <v>3.74369</v>
      </c>
      <c r="M483" s="236">
        <f>M368*$E483</f>
        <v>3.74369</v>
      </c>
      <c r="N483" s="236">
        <f>N368*$E483</f>
        <v>3.74369</v>
      </c>
      <c r="O483" s="236">
        <f>O368*$E483</f>
        <v>3.74369</v>
      </c>
      <c r="P483" s="122"/>
      <c r="Q483" s="122"/>
      <c r="R483" s="122"/>
      <c r="S483" s="122"/>
      <c r="T483" s="122"/>
      <c r="U483" s="122"/>
      <c r="V483" s="122"/>
      <c r="W483" s="122"/>
      <c r="X483" s="122"/>
      <c r="Y483" s="122"/>
      <c r="Z483" s="122"/>
    </row>
    <row r="484" spans="1:26" ht="12.75" x14ac:dyDescent="0.2">
      <c r="A484" s="122"/>
      <c r="B484" s="180"/>
      <c r="C484" s="199" t="s">
        <v>216</v>
      </c>
      <c r="D484" s="182"/>
      <c r="E484" s="182"/>
      <c r="F484" s="127">
        <f>SUM(F482:F483)</f>
        <v>9.9630499999999991</v>
      </c>
      <c r="G484" s="127">
        <f t="shared" ref="G484:O484" si="166">SUM(G482:G483)</f>
        <v>9.9630499999999991</v>
      </c>
      <c r="H484" s="127">
        <f t="shared" si="166"/>
        <v>9.9630499999999991</v>
      </c>
      <c r="I484" s="127">
        <f t="shared" si="166"/>
        <v>9.9630499999999991</v>
      </c>
      <c r="J484" s="127">
        <f t="shared" si="166"/>
        <v>9.9630499999999991</v>
      </c>
      <c r="K484" s="127">
        <f t="shared" si="166"/>
        <v>9.9630499999999991</v>
      </c>
      <c r="L484" s="127">
        <f t="shared" si="166"/>
        <v>9.9630499999999991</v>
      </c>
      <c r="M484" s="127">
        <f t="shared" si="166"/>
        <v>9.9630499999999991</v>
      </c>
      <c r="N484" s="127">
        <f t="shared" si="166"/>
        <v>9.9630499999999991</v>
      </c>
      <c r="O484" s="127">
        <f t="shared" si="166"/>
        <v>9.9630499999999991</v>
      </c>
      <c r="P484" s="122"/>
      <c r="Q484" s="122"/>
      <c r="R484" s="122"/>
      <c r="S484" s="122"/>
      <c r="T484" s="122"/>
      <c r="U484" s="122"/>
      <c r="V484" s="122"/>
      <c r="W484" s="122"/>
      <c r="X484" s="122"/>
      <c r="Y484" s="122"/>
      <c r="Z484" s="122"/>
    </row>
    <row r="485" spans="1:26" ht="12.75" x14ac:dyDescent="0.2">
      <c r="A485" s="122"/>
      <c r="B485" s="180"/>
      <c r="C485" s="155"/>
      <c r="D485" s="180"/>
      <c r="E485" s="180"/>
      <c r="F485" s="183"/>
      <c r="G485" s="183"/>
      <c r="H485" s="183"/>
      <c r="I485" s="183"/>
      <c r="J485" s="183"/>
      <c r="K485" s="183"/>
      <c r="L485" s="183"/>
      <c r="M485" s="183"/>
      <c r="N485" s="183"/>
      <c r="O485" s="183"/>
      <c r="P485" s="122"/>
      <c r="Q485" s="122"/>
      <c r="R485" s="122"/>
      <c r="S485" s="122"/>
      <c r="T485" s="122"/>
      <c r="U485" s="122"/>
      <c r="V485" s="122"/>
      <c r="W485" s="122"/>
      <c r="X485" s="122"/>
      <c r="Y485" s="122"/>
      <c r="Z485" s="122"/>
    </row>
    <row r="486" spans="1:26" ht="12.75" x14ac:dyDescent="0.2">
      <c r="A486" s="122"/>
      <c r="B486" s="180"/>
      <c r="C486" s="188" t="s">
        <v>219</v>
      </c>
      <c r="D486" s="180"/>
      <c r="E486" s="180"/>
      <c r="F486" s="183"/>
      <c r="G486" s="183"/>
      <c r="H486" s="183"/>
      <c r="I486" s="183"/>
      <c r="J486" s="183"/>
      <c r="K486" s="183"/>
      <c r="L486" s="183"/>
      <c r="M486" s="183"/>
      <c r="N486" s="183"/>
      <c r="O486" s="183"/>
      <c r="P486" s="122"/>
      <c r="Q486" s="122"/>
      <c r="R486" s="122"/>
      <c r="S486" s="122"/>
      <c r="T486" s="122"/>
      <c r="U486" s="122"/>
      <c r="V486" s="122"/>
      <c r="W486" s="122"/>
      <c r="X486" s="122"/>
      <c r="Y486" s="122"/>
      <c r="Z486" s="122"/>
    </row>
    <row r="487" spans="1:26" ht="12.75" x14ac:dyDescent="0.2">
      <c r="A487" s="122"/>
      <c r="B487" s="180"/>
      <c r="C487" s="152" t="s">
        <v>92</v>
      </c>
      <c r="D487" s="180"/>
      <c r="E487" s="338">
        <f>E456</f>
        <v>1.0441440424464918</v>
      </c>
      <c r="F487" s="125">
        <f>F372*$E487</f>
        <v>0.42143972944831737</v>
      </c>
      <c r="G487" s="125">
        <f>G372*$E487</f>
        <v>0.42143972944831737</v>
      </c>
      <c r="H487" s="125">
        <f>H372*$E487</f>
        <v>0.42143972944831737</v>
      </c>
      <c r="I487" s="125">
        <f>I372*$E487</f>
        <v>0.42143972944831737</v>
      </c>
      <c r="J487" s="125">
        <f>J372*$E487</f>
        <v>0.42143972944831737</v>
      </c>
      <c r="K487" s="125">
        <f>K372*$E487</f>
        <v>0.42143972944831737</v>
      </c>
      <c r="L487" s="125">
        <f>L372*$E487</f>
        <v>0.42143972944831737</v>
      </c>
      <c r="M487" s="125">
        <f>M372*$E487</f>
        <v>0.42143972944831737</v>
      </c>
      <c r="N487" s="125">
        <f>N372*$E487</f>
        <v>0.42143972944831737</v>
      </c>
      <c r="O487" s="125">
        <f>O372*$E487</f>
        <v>0.42143972944831737</v>
      </c>
      <c r="P487" s="122"/>
      <c r="Q487" s="122"/>
      <c r="R487" s="122"/>
      <c r="S487" s="122"/>
      <c r="T487" s="122"/>
      <c r="U487" s="122"/>
      <c r="V487" s="122"/>
      <c r="W487" s="122"/>
      <c r="X487" s="122"/>
      <c r="Y487" s="122"/>
      <c r="Z487" s="122"/>
    </row>
    <row r="488" spans="1:26" ht="12.75" x14ac:dyDescent="0.2">
      <c r="A488" s="122"/>
      <c r="B488" s="180"/>
      <c r="C488" s="152" t="s">
        <v>96</v>
      </c>
      <c r="D488" s="180"/>
      <c r="E488" s="338">
        <v>1</v>
      </c>
      <c r="F488" s="125">
        <f>F373*$E488</f>
        <v>7.875</v>
      </c>
      <c r="G488" s="125">
        <f>G373*$E488</f>
        <v>7.8750000000000009</v>
      </c>
      <c r="H488" s="125">
        <f>H373*$E488</f>
        <v>7.8749999999999991</v>
      </c>
      <c r="I488" s="125">
        <f>I373*$E488</f>
        <v>7.8750000000000009</v>
      </c>
      <c r="J488" s="125">
        <f>J373*$E488</f>
        <v>7.8749999999999991</v>
      </c>
      <c r="K488" s="125">
        <f>K373*$E488</f>
        <v>7.875</v>
      </c>
      <c r="L488" s="125">
        <f>L373*$E488</f>
        <v>7.875</v>
      </c>
      <c r="M488" s="125">
        <f>M373*$E488</f>
        <v>7.8749999999999991</v>
      </c>
      <c r="N488" s="125">
        <f>N373*$E488</f>
        <v>7.875</v>
      </c>
      <c r="O488" s="125">
        <f>O373*$E488</f>
        <v>7.875</v>
      </c>
      <c r="P488" s="122"/>
      <c r="Q488" s="122"/>
      <c r="R488" s="122"/>
      <c r="S488" s="122"/>
      <c r="T488" s="122"/>
      <c r="U488" s="122"/>
      <c r="V488" s="122"/>
      <c r="W488" s="122"/>
      <c r="X488" s="122"/>
      <c r="Y488" s="122"/>
      <c r="Z488" s="122"/>
    </row>
    <row r="489" spans="1:26" ht="12.75" x14ac:dyDescent="0.2">
      <c r="A489" s="122"/>
      <c r="B489" s="180"/>
      <c r="C489" s="152" t="s">
        <v>99</v>
      </c>
      <c r="D489" s="180"/>
      <c r="E489" s="338">
        <f>CFs!$C$252</f>
        <v>1.5401003517880794</v>
      </c>
      <c r="F489" s="125">
        <f>F374*$E489</f>
        <v>55.394749099657489</v>
      </c>
      <c r="G489" s="125">
        <f>G374*$E489</f>
        <v>55.394749099657474</v>
      </c>
      <c r="H489" s="125">
        <f>H374*$E489</f>
        <v>55.394749099657489</v>
      </c>
      <c r="I489" s="125">
        <f>I374*$E489</f>
        <v>55.394749099657489</v>
      </c>
      <c r="J489" s="125">
        <f>J374*$E489</f>
        <v>55.394749099657489</v>
      </c>
      <c r="K489" s="125">
        <f>K374*$E489</f>
        <v>55.394749099657489</v>
      </c>
      <c r="L489" s="125">
        <f>L374*$E489</f>
        <v>55.394749099657489</v>
      </c>
      <c r="M489" s="125">
        <f>M374*$E489</f>
        <v>55.394749099657496</v>
      </c>
      <c r="N489" s="125">
        <f>N374*$E489</f>
        <v>55.394749099657489</v>
      </c>
      <c r="O489" s="125">
        <f>O374*$E489</f>
        <v>55.394749099657489</v>
      </c>
      <c r="P489" s="122"/>
      <c r="Q489" s="122"/>
      <c r="R489" s="122"/>
      <c r="S489" s="122"/>
      <c r="T489" s="122"/>
      <c r="U489" s="122"/>
      <c r="V489" s="122"/>
      <c r="W489" s="122"/>
      <c r="X489" s="122"/>
      <c r="Y489" s="122"/>
      <c r="Z489" s="122"/>
    </row>
    <row r="490" spans="1:26" ht="12.75" x14ac:dyDescent="0.2">
      <c r="A490" s="122"/>
      <c r="B490" s="180"/>
      <c r="C490" s="152" t="s">
        <v>102</v>
      </c>
      <c r="D490" s="180"/>
      <c r="E490" s="299">
        <f>CFs!$C$218</f>
        <v>1.0969941102134646</v>
      </c>
      <c r="F490" s="125">
        <f>F375*$E490</f>
        <v>13.261204573208522</v>
      </c>
      <c r="G490" s="125">
        <f>G375*$E490</f>
        <v>13.261204573208522</v>
      </c>
      <c r="H490" s="125">
        <f>H375*$E490</f>
        <v>13.26120457320852</v>
      </c>
      <c r="I490" s="125">
        <f>I375*$E490</f>
        <v>13.261204573208522</v>
      </c>
      <c r="J490" s="125">
        <f>J375*$E490</f>
        <v>13.261204573208524</v>
      </c>
      <c r="K490" s="125">
        <f>K375*$E490</f>
        <v>13.261204573208522</v>
      </c>
      <c r="L490" s="125">
        <f>L375*$E490</f>
        <v>13.261204573208522</v>
      </c>
      <c r="M490" s="125">
        <f>M375*$E490</f>
        <v>13.261204573208522</v>
      </c>
      <c r="N490" s="125">
        <f>N375*$E490</f>
        <v>13.261204573208522</v>
      </c>
      <c r="O490" s="125">
        <f>O375*$E490</f>
        <v>13.261204573208522</v>
      </c>
      <c r="P490" s="122"/>
      <c r="Q490" s="122"/>
      <c r="R490" s="122"/>
      <c r="S490" s="122"/>
      <c r="T490" s="122"/>
      <c r="U490" s="122"/>
      <c r="V490" s="122"/>
      <c r="W490" s="122"/>
      <c r="X490" s="122"/>
      <c r="Y490" s="122"/>
      <c r="Z490" s="122"/>
    </row>
    <row r="491" spans="1:26" ht="12.75" x14ac:dyDescent="0.2">
      <c r="A491" s="122"/>
      <c r="B491" s="180"/>
      <c r="C491" s="152" t="s">
        <v>105</v>
      </c>
      <c r="D491" s="180"/>
      <c r="E491" s="338">
        <v>1</v>
      </c>
      <c r="F491" s="125">
        <f>F376*$E491</f>
        <v>5.1393176470588244</v>
      </c>
      <c r="G491" s="125">
        <f>G376*$E491</f>
        <v>5.1393176470588244</v>
      </c>
      <c r="H491" s="125">
        <f>H376*$E491</f>
        <v>5.1393176470588244</v>
      </c>
      <c r="I491" s="125">
        <f>I376*$E491</f>
        <v>5.1393176470588253</v>
      </c>
      <c r="J491" s="125">
        <f>J376*$E491</f>
        <v>5.1393176470588244</v>
      </c>
      <c r="K491" s="125">
        <f>K376*$E491</f>
        <v>5.1393176470588244</v>
      </c>
      <c r="L491" s="125">
        <f>L376*$E491</f>
        <v>5.1393176470588235</v>
      </c>
      <c r="M491" s="125">
        <f>M376*$E491</f>
        <v>5.1393176470588244</v>
      </c>
      <c r="N491" s="125">
        <f>N376*$E491</f>
        <v>5.1393176470588244</v>
      </c>
      <c r="O491" s="125">
        <f>O376*$E491</f>
        <v>5.1393176470588244</v>
      </c>
      <c r="P491" s="122"/>
      <c r="Q491" s="122"/>
      <c r="R491" s="122"/>
      <c r="S491" s="122"/>
      <c r="T491" s="122"/>
      <c r="U491" s="122"/>
      <c r="V491" s="122"/>
      <c r="W491" s="122"/>
      <c r="X491" s="122"/>
      <c r="Y491" s="122"/>
      <c r="Z491" s="122"/>
    </row>
    <row r="492" spans="1:26" ht="12.75" x14ac:dyDescent="0.2">
      <c r="A492" s="122"/>
      <c r="B492" s="180"/>
      <c r="C492" s="152" t="s">
        <v>108</v>
      </c>
      <c r="D492" s="180"/>
      <c r="E492" s="338">
        <v>1</v>
      </c>
      <c r="F492" s="125">
        <f>F377*$E492</f>
        <v>4.8</v>
      </c>
      <c r="G492" s="125">
        <f>G377*$E492</f>
        <v>5</v>
      </c>
      <c r="H492" s="125">
        <f>H377*$E492</f>
        <v>5.2</v>
      </c>
      <c r="I492" s="125">
        <f>I377*$E492</f>
        <v>5.5</v>
      </c>
      <c r="J492" s="125">
        <f>J377*$E492</f>
        <v>5.7</v>
      </c>
      <c r="K492" s="125">
        <f>K377*$E492</f>
        <v>6</v>
      </c>
      <c r="L492" s="125">
        <f>L377*$E492</f>
        <v>6.3000000000000007</v>
      </c>
      <c r="M492" s="125">
        <f>M377*$E492</f>
        <v>6.6</v>
      </c>
      <c r="N492" s="125">
        <f>N377*$E492</f>
        <v>6.9</v>
      </c>
      <c r="O492" s="125">
        <f>O377*$E492</f>
        <v>7.2</v>
      </c>
      <c r="P492" s="122"/>
      <c r="Q492" s="122"/>
      <c r="R492" s="122"/>
      <c r="S492" s="122"/>
      <c r="T492" s="122"/>
      <c r="U492" s="122"/>
      <c r="V492" s="122"/>
      <c r="W492" s="122"/>
      <c r="X492" s="122"/>
      <c r="Y492" s="122"/>
      <c r="Z492" s="122"/>
    </row>
    <row r="493" spans="1:26" ht="12.75" x14ac:dyDescent="0.2">
      <c r="A493" s="122"/>
      <c r="B493" s="155"/>
      <c r="C493" s="198" t="s">
        <v>217</v>
      </c>
      <c r="D493" s="198"/>
      <c r="E493" s="198"/>
      <c r="F493" s="200">
        <f>SUM(F487:F492)</f>
        <v>86.891711049373143</v>
      </c>
      <c r="G493" s="200">
        <f t="shared" ref="G493:O493" si="167">SUM(G487:G492)</f>
        <v>87.091711049373146</v>
      </c>
      <c r="H493" s="200">
        <f t="shared" si="167"/>
        <v>87.291711049373149</v>
      </c>
      <c r="I493" s="200">
        <f t="shared" si="167"/>
        <v>87.59171104937316</v>
      </c>
      <c r="J493" s="200">
        <f t="shared" si="167"/>
        <v>87.791711049373149</v>
      </c>
      <c r="K493" s="200">
        <f t="shared" si="167"/>
        <v>88.091711049373146</v>
      </c>
      <c r="L493" s="200">
        <f t="shared" si="167"/>
        <v>88.391711049373143</v>
      </c>
      <c r="M493" s="200">
        <f t="shared" si="167"/>
        <v>88.69171104937314</v>
      </c>
      <c r="N493" s="200">
        <f t="shared" si="167"/>
        <v>88.991711049373151</v>
      </c>
      <c r="O493" s="200">
        <f t="shared" si="167"/>
        <v>89.291711049373149</v>
      </c>
      <c r="P493" s="122"/>
      <c r="Q493" s="122"/>
      <c r="R493" s="122"/>
      <c r="S493" s="122"/>
      <c r="T493" s="122"/>
      <c r="U493" s="122"/>
      <c r="V493" s="122"/>
      <c r="W493" s="122"/>
      <c r="X493" s="122"/>
      <c r="Y493" s="122"/>
      <c r="Z493" s="122"/>
    </row>
    <row r="494" spans="1:26" ht="12.75" x14ac:dyDescent="0.2">
      <c r="A494" s="122"/>
      <c r="B494" s="155"/>
      <c r="C494" s="155"/>
      <c r="D494" s="155"/>
      <c r="E494" s="155"/>
      <c r="F494" s="155"/>
      <c r="G494" s="155"/>
      <c r="H494" s="155"/>
      <c r="I494" s="155"/>
      <c r="J494" s="155"/>
      <c r="K494" s="155"/>
      <c r="L494" s="155"/>
      <c r="M494" s="155"/>
      <c r="N494" s="155"/>
      <c r="O494" s="155"/>
      <c r="P494" s="122"/>
      <c r="Q494" s="122"/>
      <c r="R494" s="122"/>
      <c r="S494" s="122"/>
      <c r="T494" s="122"/>
      <c r="U494" s="122"/>
      <c r="V494" s="122"/>
      <c r="W494" s="122"/>
      <c r="X494" s="122"/>
      <c r="Y494" s="122"/>
      <c r="Z494" s="122"/>
    </row>
    <row r="495" spans="1:26" ht="12.75" x14ac:dyDescent="0.2">
      <c r="A495" s="122"/>
      <c r="B495" s="180"/>
      <c r="C495" s="188" t="s">
        <v>287</v>
      </c>
      <c r="D495" s="201"/>
      <c r="E495" s="201"/>
      <c r="F495" s="202"/>
      <c r="G495" s="202"/>
      <c r="H495" s="202"/>
      <c r="I495" s="202"/>
      <c r="J495" s="202"/>
      <c r="K495" s="202"/>
      <c r="L495" s="202"/>
      <c r="M495" s="202"/>
      <c r="N495" s="202"/>
      <c r="O495" s="202"/>
      <c r="P495" s="122"/>
      <c r="Q495" s="122"/>
      <c r="R495" s="122"/>
      <c r="S495" s="122"/>
      <c r="T495" s="122"/>
      <c r="U495" s="122"/>
      <c r="V495" s="122"/>
      <c r="W495" s="122"/>
      <c r="X495" s="122"/>
      <c r="Y495" s="122"/>
      <c r="Z495" s="122"/>
    </row>
    <row r="496" spans="1:26" ht="12.75" x14ac:dyDescent="0.2">
      <c r="A496" s="122"/>
      <c r="B496" s="180"/>
      <c r="C496" s="155" t="s">
        <v>375</v>
      </c>
      <c r="D496" s="201"/>
      <c r="E496" s="338">
        <v>1.2</v>
      </c>
      <c r="F496" s="125">
        <f>F381*$E496</f>
        <v>7.5529623272727253</v>
      </c>
      <c r="G496" s="183">
        <f>G381*$E496</f>
        <v>7.9159874792727241</v>
      </c>
      <c r="H496" s="183">
        <f>H381*$E496</f>
        <v>8.2935336373527271</v>
      </c>
      <c r="I496" s="183">
        <f>I381*$E496</f>
        <v>8.6861816417559243</v>
      </c>
      <c r="J496" s="183">
        <f>J381*$E496</f>
        <v>9.0945355663352547</v>
      </c>
      <c r="K496" s="183">
        <f>K381*$E496</f>
        <v>9.519223647897757</v>
      </c>
      <c r="L496" s="183">
        <f>L381*$E496</f>
        <v>9.960899252722756</v>
      </c>
      <c r="M496" s="183">
        <f>M381*$E496</f>
        <v>10.420241881740761</v>
      </c>
      <c r="N496" s="183">
        <f>N381*$E496</f>
        <v>10.897958215919482</v>
      </c>
      <c r="O496" s="183">
        <f>O381*$E496</f>
        <v>11.394783203465353</v>
      </c>
      <c r="P496" s="122"/>
      <c r="Q496" s="122"/>
      <c r="R496" s="122"/>
      <c r="S496" s="122"/>
      <c r="T496" s="122"/>
      <c r="U496" s="122"/>
      <c r="V496" s="122"/>
      <c r="W496" s="122"/>
      <c r="X496" s="122"/>
      <c r="Y496" s="122"/>
      <c r="Z496" s="122"/>
    </row>
    <row r="497" spans="1:26" ht="12.75" x14ac:dyDescent="0.2">
      <c r="A497" s="122"/>
      <c r="B497" s="180"/>
      <c r="C497" s="184" t="s">
        <v>284</v>
      </c>
      <c r="D497" s="185"/>
      <c r="E497" s="339">
        <v>1</v>
      </c>
      <c r="F497" s="141">
        <f>F382*$E497</f>
        <v>2.4641820000000001</v>
      </c>
      <c r="G497" s="236">
        <f>G382*$E497</f>
        <v>2.5627492799999998</v>
      </c>
      <c r="H497" s="236">
        <f>H382*$E497</f>
        <v>2.6652592512000002</v>
      </c>
      <c r="I497" s="236">
        <f>I382*$E497</f>
        <v>2.7718696212479998</v>
      </c>
      <c r="J497" s="236">
        <f>J382*$E497</f>
        <v>2.8827444060979204</v>
      </c>
      <c r="K497" s="236">
        <f>K382*$E497</f>
        <v>2.998054182341837</v>
      </c>
      <c r="L497" s="236">
        <f>L382*$E497</f>
        <v>3.1179763496355108</v>
      </c>
      <c r="M497" s="236">
        <f>M382*$E497</f>
        <v>3.2426954036209317</v>
      </c>
      <c r="N497" s="236">
        <f>N382*$E497</f>
        <v>3.3724032197657694</v>
      </c>
      <c r="O497" s="236">
        <f>O382*$E497</f>
        <v>3.5072993485564004</v>
      </c>
      <c r="P497" s="122"/>
      <c r="Q497" s="122"/>
      <c r="R497" s="122"/>
      <c r="S497" s="122"/>
      <c r="T497" s="122"/>
      <c r="U497" s="122"/>
      <c r="V497" s="122"/>
      <c r="W497" s="122"/>
      <c r="X497" s="122"/>
      <c r="Y497" s="122"/>
      <c r="Z497" s="122"/>
    </row>
    <row r="498" spans="1:26" ht="12.75" x14ac:dyDescent="0.2">
      <c r="A498" s="122"/>
      <c r="B498" s="180"/>
      <c r="C498" s="189" t="s">
        <v>289</v>
      </c>
      <c r="D498" s="201"/>
      <c r="E498" s="201"/>
      <c r="F498" s="202">
        <f t="shared" ref="F498:O498" si="168">SUM(F496:F497)</f>
        <v>10.017144327272725</v>
      </c>
      <c r="G498" s="202">
        <f t="shared" si="168"/>
        <v>10.478736759272724</v>
      </c>
      <c r="H498" s="202">
        <f t="shared" si="168"/>
        <v>10.958792888552727</v>
      </c>
      <c r="I498" s="202">
        <f t="shared" si="168"/>
        <v>11.458051263003924</v>
      </c>
      <c r="J498" s="202">
        <f t="shared" si="168"/>
        <v>11.977279972433175</v>
      </c>
      <c r="K498" s="202">
        <f t="shared" si="168"/>
        <v>12.517277830239594</v>
      </c>
      <c r="L498" s="202">
        <f t="shared" si="168"/>
        <v>13.078875602358266</v>
      </c>
      <c r="M498" s="202">
        <f t="shared" si="168"/>
        <v>13.662937285361693</v>
      </c>
      <c r="N498" s="202">
        <f t="shared" si="168"/>
        <v>14.270361435685253</v>
      </c>
      <c r="O498" s="202">
        <f t="shared" si="168"/>
        <v>14.902082552021753</v>
      </c>
      <c r="P498" s="122"/>
      <c r="Q498" s="122"/>
      <c r="R498" s="122"/>
      <c r="S498" s="122"/>
      <c r="T498" s="122"/>
      <c r="U498" s="122"/>
      <c r="V498" s="122"/>
      <c r="W498" s="122"/>
      <c r="X498" s="122"/>
      <c r="Y498" s="122"/>
      <c r="Z498" s="122"/>
    </row>
    <row r="499" spans="1:26" ht="12.75" x14ac:dyDescent="0.2">
      <c r="A499" s="122"/>
      <c r="B499" s="155"/>
      <c r="C499" s="155"/>
      <c r="D499" s="155"/>
      <c r="E499" s="155"/>
      <c r="F499" s="155"/>
      <c r="G499" s="155"/>
      <c r="H499" s="155"/>
      <c r="I499" s="155"/>
      <c r="J499" s="155"/>
      <c r="K499" s="155"/>
      <c r="L499" s="155"/>
      <c r="M499" s="155"/>
      <c r="N499" s="155"/>
      <c r="O499" s="155"/>
      <c r="P499" s="122"/>
      <c r="Q499" s="122"/>
      <c r="R499" s="122"/>
      <c r="S499" s="122"/>
      <c r="T499" s="122"/>
      <c r="U499" s="122"/>
      <c r="V499" s="122"/>
      <c r="W499" s="122"/>
      <c r="X499" s="122"/>
      <c r="Y499" s="122"/>
      <c r="Z499" s="122"/>
    </row>
    <row r="500" spans="1:26" ht="12.75" x14ac:dyDescent="0.2">
      <c r="A500" s="122"/>
      <c r="B500" s="155"/>
      <c r="C500" s="203" t="s">
        <v>669</v>
      </c>
      <c r="D500" s="203"/>
      <c r="E500" s="203"/>
      <c r="F500" s="204">
        <f t="shared" ref="F500:O500" si="169">F469+F479+F484+F493+F498</f>
        <v>196.8357285410101</v>
      </c>
      <c r="G500" s="204">
        <f t="shared" si="169"/>
        <v>197.49732097301015</v>
      </c>
      <c r="H500" s="204">
        <f t="shared" si="169"/>
        <v>198.17737710229014</v>
      </c>
      <c r="I500" s="204">
        <f t="shared" si="169"/>
        <v>198.97663547674136</v>
      </c>
      <c r="J500" s="204">
        <f t="shared" si="169"/>
        <v>187.85133801686942</v>
      </c>
      <c r="K500" s="204">
        <f t="shared" si="169"/>
        <v>188.69133587467584</v>
      </c>
      <c r="L500" s="204">
        <f t="shared" si="169"/>
        <v>189.55293364679451</v>
      </c>
      <c r="M500" s="204">
        <f t="shared" si="169"/>
        <v>190.43699532979792</v>
      </c>
      <c r="N500" s="204">
        <f t="shared" si="169"/>
        <v>191.3444194801215</v>
      </c>
      <c r="O500" s="204">
        <f t="shared" si="169"/>
        <v>192.27614059645799</v>
      </c>
      <c r="P500" s="122"/>
      <c r="Q500" s="122"/>
      <c r="R500" s="122"/>
      <c r="S500" s="122"/>
      <c r="T500" s="122"/>
      <c r="U500" s="122"/>
      <c r="V500" s="122"/>
      <c r="W500" s="122"/>
      <c r="X500" s="122"/>
      <c r="Y500" s="122"/>
      <c r="Z500" s="122"/>
    </row>
    <row r="501" spans="1:26" ht="12.75" x14ac:dyDescent="0.2">
      <c r="A501" s="122"/>
      <c r="B501" s="155"/>
      <c r="C501" s="155"/>
      <c r="D501" s="155"/>
      <c r="E501" s="155"/>
      <c r="F501" s="155"/>
      <c r="G501" s="155"/>
      <c r="H501" s="155"/>
      <c r="I501" s="155"/>
      <c r="J501" s="155"/>
      <c r="K501" s="155"/>
      <c r="L501" s="155"/>
      <c r="M501" s="155"/>
      <c r="N501" s="155"/>
      <c r="O501" s="155"/>
      <c r="P501" s="122"/>
      <c r="Q501" s="122"/>
      <c r="R501" s="122"/>
      <c r="S501" s="122"/>
      <c r="T501" s="122"/>
      <c r="U501" s="122"/>
      <c r="V501" s="122"/>
      <c r="W501" s="122"/>
      <c r="X501" s="122"/>
      <c r="Y501" s="122"/>
      <c r="Z501" s="122"/>
    </row>
    <row r="502" spans="1:26" ht="12.75" x14ac:dyDescent="0.2">
      <c r="A502" s="122"/>
      <c r="C502" s="206" t="s">
        <v>689</v>
      </c>
      <c r="D502" s="203"/>
      <c r="E502" s="203"/>
      <c r="F502" s="208">
        <f t="shared" ref="F502:O502" si="170">F464-F500</f>
        <v>-6.7664105598189792</v>
      </c>
      <c r="G502" s="208">
        <f t="shared" si="170"/>
        <v>0.17476972742858266</v>
      </c>
      <c r="H502" s="208">
        <f t="shared" si="170"/>
        <v>7.4015972261661886</v>
      </c>
      <c r="I502" s="208">
        <f t="shared" si="170"/>
        <v>14.825497824853187</v>
      </c>
      <c r="J502" s="208">
        <f t="shared" si="170"/>
        <v>34.502880616788929</v>
      </c>
      <c r="K502" s="208">
        <f t="shared" si="170"/>
        <v>42.557051504328854</v>
      </c>
      <c r="L502" s="208">
        <f t="shared" si="170"/>
        <v>50.945389227370384</v>
      </c>
      <c r="M502" s="208">
        <f t="shared" si="170"/>
        <v>59.681260459333657</v>
      </c>
      <c r="N502" s="208">
        <f t="shared" si="170"/>
        <v>68.778566540575326</v>
      </c>
      <c r="O502" s="208">
        <f t="shared" si="170"/>
        <v>78.251764865066775</v>
      </c>
      <c r="P502" s="122"/>
      <c r="Q502" s="122"/>
      <c r="R502" s="122"/>
      <c r="S502" s="122"/>
      <c r="T502" s="122"/>
      <c r="U502" s="122"/>
      <c r="V502" s="122"/>
      <c r="W502" s="122"/>
      <c r="X502" s="122"/>
      <c r="Y502" s="122"/>
      <c r="Z502" s="122"/>
    </row>
    <row r="503" spans="1:26" ht="12.75" x14ac:dyDescent="0.2">
      <c r="A503" s="122"/>
      <c r="B503" s="122"/>
      <c r="C503" s="173"/>
      <c r="D503" s="122"/>
      <c r="E503" s="122"/>
      <c r="F503" s="122"/>
      <c r="G503" s="122"/>
      <c r="H503" s="122"/>
      <c r="I503" s="122"/>
      <c r="J503" s="122"/>
      <c r="K503" s="122"/>
      <c r="L503" s="122"/>
      <c r="M503" s="122"/>
      <c r="N503" s="122"/>
      <c r="O503" s="122"/>
      <c r="P503" s="122"/>
      <c r="Q503" s="122"/>
      <c r="R503" s="122"/>
      <c r="S503" s="122"/>
      <c r="T503" s="122"/>
      <c r="U503" s="122"/>
      <c r="V503" s="122"/>
      <c r="W503" s="122"/>
      <c r="X503" s="122"/>
      <c r="Y503" s="122"/>
      <c r="Z503" s="122"/>
    </row>
    <row r="504" spans="1:26" s="143" customFormat="1" ht="12.75" x14ac:dyDescent="0.2">
      <c r="A504" s="392" t="s">
        <v>769</v>
      </c>
      <c r="B504" s="119"/>
      <c r="C504" s="119"/>
      <c r="D504" s="161" t="s">
        <v>174</v>
      </c>
      <c r="E504" s="161"/>
      <c r="F504" s="162">
        <v>0</v>
      </c>
      <c r="G504" s="162">
        <v>1</v>
      </c>
      <c r="H504" s="162">
        <v>2</v>
      </c>
      <c r="I504" s="162">
        <v>3</v>
      </c>
      <c r="J504" s="162">
        <v>4</v>
      </c>
      <c r="K504" s="162">
        <v>5</v>
      </c>
      <c r="L504" s="162">
        <v>6</v>
      </c>
      <c r="M504" s="162">
        <v>7</v>
      </c>
      <c r="N504" s="162">
        <v>8</v>
      </c>
      <c r="O504" s="162">
        <v>9</v>
      </c>
      <c r="P504" s="119"/>
      <c r="Q504" s="119"/>
      <c r="R504" s="119"/>
      <c r="S504" s="119"/>
      <c r="T504" s="119"/>
      <c r="U504" s="119"/>
      <c r="V504" s="119"/>
      <c r="W504" s="119"/>
      <c r="X504" s="119"/>
      <c r="Y504" s="119"/>
      <c r="Z504" s="119"/>
    </row>
    <row r="505" spans="1:26" s="143" customFormat="1" ht="12.75" x14ac:dyDescent="0.2">
      <c r="A505" s="3"/>
      <c r="B505" s="154" t="s">
        <v>349</v>
      </c>
      <c r="C505" s="155"/>
      <c r="D505" s="155"/>
      <c r="E505" s="155"/>
      <c r="F505" s="155"/>
      <c r="G505" s="155"/>
      <c r="H505" s="155"/>
      <c r="I505" s="155"/>
      <c r="J505" s="155"/>
      <c r="K505" s="155"/>
      <c r="L505" s="155"/>
      <c r="M505" s="155"/>
      <c r="N505" s="155"/>
      <c r="O505" s="155"/>
      <c r="P505" s="122"/>
      <c r="Q505" s="122"/>
      <c r="R505" s="122"/>
      <c r="S505" s="122"/>
      <c r="T505" s="122"/>
      <c r="U505" s="122"/>
      <c r="V505" s="122"/>
      <c r="W505" s="122"/>
      <c r="X505" s="122"/>
      <c r="Y505" s="122"/>
      <c r="Z505" s="122"/>
    </row>
    <row r="506" spans="1:26" s="143" customFormat="1" ht="12.75" x14ac:dyDescent="0.2">
      <c r="A506" s="3"/>
      <c r="B506" s="155"/>
      <c r="C506" s="155" t="s">
        <v>672</v>
      </c>
      <c r="D506" s="155"/>
      <c r="E506" s="155"/>
      <c r="F506" s="125">
        <f>F464-F413</f>
        <v>106.43881806946703</v>
      </c>
      <c r="G506" s="125">
        <f t="shared" ref="G506:O506" si="171">G464-G413</f>
        <v>111.8671977910098</v>
      </c>
      <c r="H506" s="125">
        <f t="shared" si="171"/>
        <v>117.54315420338226</v>
      </c>
      <c r="I506" s="125">
        <f t="shared" si="171"/>
        <v>123.47738185326854</v>
      </c>
      <c r="J506" s="125">
        <f t="shared" si="171"/>
        <v>129.68102364767583</v>
      </c>
      <c r="K506" s="125">
        <f t="shared" si="171"/>
        <v>136.16568932338666</v>
      </c>
      <c r="L506" s="125">
        <f t="shared" si="171"/>
        <v>142.94347466910077</v>
      </c>
      <c r="M506" s="125">
        <f t="shared" si="171"/>
        <v>150.02698153073578</v>
      </c>
      <c r="N506" s="125">
        <f t="shared" si="171"/>
        <v>157.42933863158277</v>
      </c>
      <c r="O506" s="125">
        <f t="shared" si="171"/>
        <v>165.16422324029372</v>
      </c>
      <c r="P506" s="122"/>
      <c r="Q506" s="122"/>
      <c r="R506" s="122"/>
      <c r="S506" s="122"/>
      <c r="T506" s="122"/>
      <c r="U506" s="122"/>
      <c r="V506" s="122"/>
      <c r="W506" s="122"/>
      <c r="X506" s="122"/>
      <c r="Y506" s="122"/>
      <c r="Z506" s="122"/>
    </row>
    <row r="507" spans="1:26" s="143" customFormat="1" ht="12.75" x14ac:dyDescent="0.2">
      <c r="A507" s="3"/>
      <c r="B507" s="155"/>
      <c r="C507" s="155" t="s">
        <v>673</v>
      </c>
      <c r="D507" s="155"/>
      <c r="E507" s="155"/>
      <c r="F507" s="125">
        <f>F500-F449</f>
        <v>103.32166557908106</v>
      </c>
      <c r="G507" s="125">
        <f t="shared" ref="G507:O507" si="172">G500-G449</f>
        <v>103.85124257552911</v>
      </c>
      <c r="H507" s="125">
        <f t="shared" si="172"/>
        <v>104.29585086793274</v>
      </c>
      <c r="I507" s="125">
        <f t="shared" si="172"/>
        <v>104.85613976174884</v>
      </c>
      <c r="J507" s="125">
        <f t="shared" si="172"/>
        <v>93.58825961474524</v>
      </c>
      <c r="K507" s="125">
        <f t="shared" si="172"/>
        <v>94.181967635554585</v>
      </c>
      <c r="L507" s="125">
        <f t="shared" si="172"/>
        <v>94.793472034914259</v>
      </c>
      <c r="M507" s="125">
        <f t="shared" si="172"/>
        <v>95.423537917466945</v>
      </c>
      <c r="N507" s="125">
        <f t="shared" si="172"/>
        <v>96.172962376528062</v>
      </c>
      <c r="O507" s="125">
        <f t="shared" si="172"/>
        <v>96.842575809629295</v>
      </c>
      <c r="P507" s="122"/>
      <c r="Q507" s="122"/>
      <c r="R507" s="122"/>
      <c r="S507" s="122"/>
      <c r="T507" s="122"/>
      <c r="U507" s="122"/>
      <c r="V507" s="122"/>
      <c r="W507" s="122"/>
      <c r="X507" s="122"/>
      <c r="Y507" s="122"/>
      <c r="Z507" s="122"/>
    </row>
    <row r="508" spans="1:26" s="143" customFormat="1" ht="12.75" x14ac:dyDescent="0.2">
      <c r="A508" s="3"/>
      <c r="B508" s="155"/>
      <c r="C508" s="155" t="s">
        <v>674</v>
      </c>
      <c r="D508" s="155"/>
      <c r="E508" s="155"/>
      <c r="F508" s="125">
        <f>F506-F507</f>
        <v>3.1171524903859762</v>
      </c>
      <c r="G508" s="125">
        <f t="shared" ref="G508:O508" si="173">G506-G507</f>
        <v>8.0159552154806875</v>
      </c>
      <c r="H508" s="125">
        <f t="shared" si="173"/>
        <v>13.247303335449516</v>
      </c>
      <c r="I508" s="125">
        <f t="shared" si="173"/>
        <v>18.621242091519704</v>
      </c>
      <c r="J508" s="125">
        <f t="shared" si="173"/>
        <v>36.092764032930589</v>
      </c>
      <c r="K508" s="125">
        <f t="shared" si="173"/>
        <v>41.983721687832073</v>
      </c>
      <c r="L508" s="125">
        <f t="shared" si="173"/>
        <v>48.150002634186507</v>
      </c>
      <c r="M508" s="125">
        <f t="shared" si="173"/>
        <v>54.603443613268837</v>
      </c>
      <c r="N508" s="125">
        <f t="shared" si="173"/>
        <v>61.256376255054704</v>
      </c>
      <c r="O508" s="125">
        <f t="shared" si="173"/>
        <v>68.321647430664427</v>
      </c>
      <c r="P508" s="122"/>
      <c r="Q508" s="122"/>
      <c r="R508" s="122"/>
      <c r="S508" s="122"/>
      <c r="T508" s="122"/>
      <c r="U508" s="122"/>
      <c r="V508" s="122"/>
      <c r="W508" s="122"/>
      <c r="X508" s="122"/>
      <c r="Y508" s="122"/>
      <c r="Z508" s="122"/>
    </row>
    <row r="509" spans="1:26" s="143" customFormat="1" ht="12.75" x14ac:dyDescent="0.2">
      <c r="A509" s="3"/>
      <c r="B509" s="122"/>
      <c r="C509" s="122"/>
      <c r="D509" s="122"/>
      <c r="E509" s="122"/>
      <c r="F509" s="122"/>
      <c r="G509" s="122"/>
      <c r="H509" s="122"/>
      <c r="I509" s="122"/>
      <c r="J509" s="122"/>
      <c r="K509" s="122"/>
      <c r="L509" s="122"/>
      <c r="M509" s="122"/>
      <c r="N509" s="122"/>
      <c r="O509" s="122"/>
      <c r="P509" s="122"/>
      <c r="Q509" s="122"/>
      <c r="R509" s="122"/>
      <c r="S509" s="122"/>
      <c r="T509" s="122"/>
      <c r="U509" s="122"/>
      <c r="V509" s="122"/>
      <c r="W509" s="122"/>
      <c r="X509" s="122"/>
      <c r="Y509" s="122"/>
      <c r="Z509" s="122"/>
    </row>
    <row r="510" spans="1:26" s="143" customFormat="1" ht="12.75" x14ac:dyDescent="0.2">
      <c r="A510" s="392" t="s">
        <v>770</v>
      </c>
      <c r="B510" s="119"/>
      <c r="C510" s="119"/>
      <c r="D510" s="161" t="s">
        <v>174</v>
      </c>
      <c r="E510" s="161"/>
      <c r="F510" s="162">
        <v>0</v>
      </c>
      <c r="G510" s="162">
        <v>1</v>
      </c>
      <c r="H510" s="162">
        <v>2</v>
      </c>
      <c r="I510" s="162">
        <v>3</v>
      </c>
      <c r="J510" s="162">
        <v>4</v>
      </c>
      <c r="K510" s="162">
        <v>5</v>
      </c>
      <c r="L510" s="162">
        <v>6</v>
      </c>
      <c r="M510" s="162">
        <v>7</v>
      </c>
      <c r="N510" s="162">
        <v>8</v>
      </c>
      <c r="O510" s="162">
        <v>9</v>
      </c>
      <c r="P510" s="162">
        <v>10</v>
      </c>
      <c r="Q510" s="162">
        <v>11</v>
      </c>
      <c r="R510" s="162">
        <v>12</v>
      </c>
      <c r="S510" s="162">
        <v>13</v>
      </c>
      <c r="T510" s="119"/>
      <c r="U510" s="119"/>
      <c r="V510" s="119"/>
      <c r="W510" s="119"/>
      <c r="X510" s="119"/>
      <c r="Y510" s="119"/>
      <c r="Z510" s="119"/>
    </row>
    <row r="511" spans="1:26" s="143" customFormat="1" ht="12.75" x14ac:dyDescent="0.2">
      <c r="A511" s="122"/>
      <c r="B511" s="154" t="s">
        <v>350</v>
      </c>
      <c r="C511" s="155"/>
      <c r="D511" s="155"/>
      <c r="E511" s="155"/>
      <c r="F511" s="155"/>
      <c r="G511" s="155"/>
      <c r="H511" s="155"/>
      <c r="I511" s="155"/>
      <c r="J511" s="155"/>
      <c r="K511" s="122"/>
      <c r="L511" s="122"/>
      <c r="M511" s="122"/>
      <c r="N511" s="122"/>
      <c r="O511" s="122"/>
      <c r="P511" s="122"/>
      <c r="Q511" s="122"/>
      <c r="R511" s="122"/>
      <c r="S511" s="122"/>
      <c r="T511" s="122"/>
      <c r="U511" s="122"/>
      <c r="V511" s="122"/>
      <c r="W511" s="122"/>
      <c r="X511" s="122"/>
      <c r="Y511" s="122"/>
      <c r="Z511" s="122"/>
    </row>
    <row r="512" spans="1:26" s="143" customFormat="1" ht="12.75" x14ac:dyDescent="0.2">
      <c r="A512" s="122"/>
      <c r="B512" s="155"/>
      <c r="C512" s="155" t="s">
        <v>260</v>
      </c>
      <c r="D512" s="155"/>
      <c r="E512" s="155"/>
      <c r="F512" s="592">
        <f>I103*(1+$I$115)</f>
        <v>10000</v>
      </c>
      <c r="G512" s="209">
        <f>I104*(1+$I$115)</f>
        <v>14000</v>
      </c>
      <c r="H512" s="209">
        <f>I105*(1+$I$115)</f>
        <v>17400</v>
      </c>
      <c r="I512" s="209">
        <f>I106*(1+$I$115)</f>
        <v>24900</v>
      </c>
      <c r="J512" s="209">
        <f>I107*(1+$I$115)</f>
        <v>25900</v>
      </c>
      <c r="K512" s="122"/>
      <c r="L512" s="122"/>
      <c r="M512" s="122"/>
      <c r="N512" s="122"/>
      <c r="O512" s="122"/>
      <c r="P512" s="122"/>
      <c r="Q512" s="122"/>
      <c r="R512" s="122"/>
      <c r="S512" s="122"/>
      <c r="T512" s="122"/>
      <c r="U512" s="122"/>
      <c r="V512" s="122"/>
      <c r="W512" s="122"/>
      <c r="X512" s="122"/>
      <c r="Y512" s="122"/>
      <c r="Z512" s="122"/>
    </row>
    <row r="513" spans="1:26" s="143" customFormat="1" ht="12.75" x14ac:dyDescent="0.2">
      <c r="A513" s="122"/>
      <c r="B513" s="155"/>
      <c r="C513" s="155" t="s">
        <v>258</v>
      </c>
      <c r="D513" s="155"/>
      <c r="E513" s="155"/>
      <c r="F513" s="210">
        <f>$I$108</f>
        <v>0.9</v>
      </c>
      <c r="G513" s="210">
        <f t="shared" ref="G513:S513" si="174">$I$108</f>
        <v>0.9</v>
      </c>
      <c r="H513" s="210">
        <f t="shared" si="174"/>
        <v>0.9</v>
      </c>
      <c r="I513" s="210">
        <f t="shared" si="174"/>
        <v>0.9</v>
      </c>
      <c r="J513" s="210">
        <f t="shared" si="174"/>
        <v>0.9</v>
      </c>
      <c r="K513" s="210">
        <f t="shared" si="174"/>
        <v>0.9</v>
      </c>
      <c r="L513" s="210">
        <f t="shared" si="174"/>
        <v>0.9</v>
      </c>
      <c r="M513" s="210">
        <f t="shared" si="174"/>
        <v>0.9</v>
      </c>
      <c r="N513" s="210">
        <f t="shared" si="174"/>
        <v>0.9</v>
      </c>
      <c r="O513" s="210">
        <f t="shared" si="174"/>
        <v>0.9</v>
      </c>
      <c r="P513" s="210">
        <f t="shared" si="174"/>
        <v>0.9</v>
      </c>
      <c r="Q513" s="210">
        <f t="shared" si="174"/>
        <v>0.9</v>
      </c>
      <c r="R513" s="210">
        <f t="shared" si="174"/>
        <v>0.9</v>
      </c>
      <c r="S513" s="210">
        <f t="shared" si="174"/>
        <v>0.9</v>
      </c>
      <c r="T513" s="122"/>
      <c r="U513" s="122"/>
      <c r="V513" s="122"/>
      <c r="W513" s="122"/>
      <c r="X513" s="122"/>
      <c r="Y513" s="122"/>
      <c r="Z513" s="122"/>
    </row>
    <row r="514" spans="1:26" s="143" customFormat="1" ht="12.75" x14ac:dyDescent="0.2">
      <c r="A514" s="122"/>
      <c r="B514" s="155"/>
      <c r="C514" s="155" t="s">
        <v>259</v>
      </c>
      <c r="D514" s="155"/>
      <c r="E514" s="155"/>
      <c r="F514" s="132">
        <f>IF(F510&lt;$I$110,0,$I$109)</f>
        <v>0</v>
      </c>
      <c r="G514" s="132">
        <f t="shared" ref="G514:S514" si="175">IF(G510&lt;$I$110,0,$I$109)</f>
        <v>0</v>
      </c>
      <c r="H514" s="132">
        <f t="shared" si="175"/>
        <v>0</v>
      </c>
      <c r="I514" s="132">
        <f t="shared" si="175"/>
        <v>0</v>
      </c>
      <c r="J514" s="132">
        <f t="shared" si="175"/>
        <v>0</v>
      </c>
      <c r="K514" s="132">
        <f t="shared" si="175"/>
        <v>0.2</v>
      </c>
      <c r="L514" s="132">
        <f t="shared" si="175"/>
        <v>0.2</v>
      </c>
      <c r="M514" s="132">
        <f t="shared" si="175"/>
        <v>0.2</v>
      </c>
      <c r="N514" s="132">
        <f t="shared" si="175"/>
        <v>0.2</v>
      </c>
      <c r="O514" s="132">
        <f t="shared" si="175"/>
        <v>0.2</v>
      </c>
      <c r="P514" s="132">
        <f t="shared" si="175"/>
        <v>0.2</v>
      </c>
      <c r="Q514" s="132">
        <f t="shared" si="175"/>
        <v>0.2</v>
      </c>
      <c r="R514" s="132">
        <f t="shared" si="175"/>
        <v>0.2</v>
      </c>
      <c r="S514" s="132">
        <f t="shared" si="175"/>
        <v>0.2</v>
      </c>
      <c r="T514" s="122"/>
      <c r="U514" s="122"/>
      <c r="V514" s="122"/>
      <c r="W514" s="122"/>
      <c r="X514" s="122"/>
      <c r="Y514" s="122"/>
      <c r="Z514" s="122"/>
    </row>
    <row r="515" spans="1:26" s="143" customFormat="1" ht="12.75" x14ac:dyDescent="0.2">
      <c r="A515" s="122"/>
      <c r="B515" s="122"/>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row>
    <row r="516" spans="1:26" s="143" customFormat="1" ht="12.75" x14ac:dyDescent="0.2">
      <c r="A516" s="122"/>
      <c r="B516" s="154" t="s">
        <v>682</v>
      </c>
      <c r="C516" s="155"/>
      <c r="D516" s="155"/>
      <c r="E516" s="155"/>
      <c r="F516" s="155"/>
      <c r="G516" s="155"/>
      <c r="H516" s="155"/>
      <c r="I516" s="155"/>
      <c r="J516" s="155"/>
      <c r="K516" s="155"/>
      <c r="L516" s="155"/>
      <c r="M516" s="155"/>
      <c r="N516" s="155"/>
      <c r="O516" s="155"/>
      <c r="P516" s="155"/>
      <c r="Q516" s="155"/>
      <c r="R516" s="155"/>
      <c r="S516" s="155"/>
      <c r="T516" s="122"/>
      <c r="U516" s="122"/>
      <c r="V516" s="122"/>
      <c r="W516" s="122"/>
      <c r="X516" s="122"/>
      <c r="Y516" s="122"/>
      <c r="Z516" s="122"/>
    </row>
    <row r="517" spans="1:26" s="143" customFormat="1" ht="12.75" x14ac:dyDescent="0.2">
      <c r="A517" s="122"/>
      <c r="C517" s="154" t="s">
        <v>681</v>
      </c>
      <c r="D517" s="155"/>
      <c r="E517" s="155"/>
      <c r="F517" s="155"/>
      <c r="G517" s="155"/>
      <c r="H517" s="155"/>
      <c r="I517" s="155"/>
      <c r="J517" s="155"/>
      <c r="K517" s="155"/>
      <c r="L517" s="155"/>
      <c r="M517" s="155"/>
      <c r="N517" s="155"/>
      <c r="O517" s="155"/>
      <c r="P517" s="155"/>
      <c r="Q517" s="155"/>
      <c r="R517" s="155"/>
      <c r="S517" s="155"/>
      <c r="T517" s="122"/>
      <c r="U517" s="122"/>
      <c r="V517" s="122"/>
      <c r="W517" s="122"/>
      <c r="X517" s="122"/>
      <c r="Y517" s="122"/>
      <c r="Z517" s="122"/>
    </row>
    <row r="518" spans="1:26" s="143" customFormat="1" ht="12.75" x14ac:dyDescent="0.2">
      <c r="A518" s="122"/>
      <c r="B518" s="155"/>
      <c r="C518" s="155" t="s">
        <v>252</v>
      </c>
      <c r="D518" s="155"/>
      <c r="E518" s="155"/>
      <c r="F518" s="133">
        <f>$F512*(F513*F508)*(1-F514)</f>
        <v>28054.372413473786</v>
      </c>
      <c r="G518" s="133">
        <f t="shared" ref="G518:S518" si="176">$F512*(G513*G508)*(1-G514)</f>
        <v>72143.596939326191</v>
      </c>
      <c r="H518" s="133">
        <f t="shared" si="176"/>
        <v>119225.73001904566</v>
      </c>
      <c r="I518" s="133">
        <f t="shared" si="176"/>
        <v>167591.17882367736</v>
      </c>
      <c r="J518" s="133">
        <f t="shared" si="176"/>
        <v>324834.8762963753</v>
      </c>
      <c r="K518" s="133">
        <f t="shared" si="176"/>
        <v>302282.79615239095</v>
      </c>
      <c r="L518" s="133">
        <f t="shared" si="176"/>
        <v>346680.0189661429</v>
      </c>
      <c r="M518" s="133">
        <f t="shared" si="176"/>
        <v>393144.79401553562</v>
      </c>
      <c r="N518" s="133">
        <f t="shared" si="176"/>
        <v>441045.90903639386</v>
      </c>
      <c r="O518" s="133">
        <f t="shared" si="176"/>
        <v>491915.86150078394</v>
      </c>
      <c r="P518" s="133">
        <f t="shared" si="176"/>
        <v>0</v>
      </c>
      <c r="Q518" s="133">
        <f>$F512*(Q513*Q508)*(1-Q514)</f>
        <v>0</v>
      </c>
      <c r="R518" s="133">
        <f t="shared" si="176"/>
        <v>0</v>
      </c>
      <c r="S518" s="133">
        <f t="shared" si="176"/>
        <v>0</v>
      </c>
      <c r="T518" s="122"/>
      <c r="U518" s="122"/>
      <c r="V518" s="122"/>
      <c r="W518" s="122"/>
      <c r="X518" s="122"/>
      <c r="Y518" s="122"/>
      <c r="Z518" s="122"/>
    </row>
    <row r="519" spans="1:26" s="143" customFormat="1" ht="12.75" x14ac:dyDescent="0.2">
      <c r="A519" s="122"/>
      <c r="B519" s="155"/>
      <c r="C519" s="155" t="s">
        <v>253</v>
      </c>
      <c r="D519" s="155"/>
      <c r="E519" s="155"/>
      <c r="F519" s="133"/>
      <c r="G519" s="133">
        <f>$G512*(G513*F508)*(1-G514)</f>
        <v>39276.121378863296</v>
      </c>
      <c r="H519" s="133">
        <f t="shared" ref="H519:S519" si="177">$G512*(H513*G508)*(1-H514)</f>
        <v>101001.03571505667</v>
      </c>
      <c r="I519" s="133">
        <f t="shared" si="177"/>
        <v>166916.02202666391</v>
      </c>
      <c r="J519" s="133">
        <f t="shared" si="177"/>
        <v>234627.65035314832</v>
      </c>
      <c r="K519" s="133">
        <f t="shared" si="177"/>
        <v>363815.06145194033</v>
      </c>
      <c r="L519" s="133">
        <f t="shared" si="177"/>
        <v>423195.91461334733</v>
      </c>
      <c r="M519" s="133">
        <f t="shared" si="177"/>
        <v>485352.02655260009</v>
      </c>
      <c r="N519" s="133">
        <f t="shared" si="177"/>
        <v>550402.71162174991</v>
      </c>
      <c r="O519" s="133">
        <f t="shared" si="177"/>
        <v>617464.2726509514</v>
      </c>
      <c r="P519" s="133">
        <f t="shared" si="177"/>
        <v>688682.20610109752</v>
      </c>
      <c r="Q519" s="133">
        <f t="shared" si="177"/>
        <v>0</v>
      </c>
      <c r="R519" s="133">
        <f t="shared" si="177"/>
        <v>0</v>
      </c>
      <c r="S519" s="133">
        <f t="shared" si="177"/>
        <v>0</v>
      </c>
      <c r="T519" s="122"/>
      <c r="U519" s="122"/>
      <c r="V519" s="122"/>
      <c r="W519" s="122"/>
      <c r="X519" s="122"/>
      <c r="Y519" s="122"/>
      <c r="Z519" s="122"/>
    </row>
    <row r="520" spans="1:26" s="143" customFormat="1" ht="12.75" x14ac:dyDescent="0.2">
      <c r="A520" s="122"/>
      <c r="B520" s="155"/>
      <c r="C520" s="155" t="s">
        <v>254</v>
      </c>
      <c r="D520" s="155"/>
      <c r="E520" s="155"/>
      <c r="F520" s="133"/>
      <c r="G520" s="133"/>
      <c r="H520" s="133">
        <f>$H512*(H513*F508)*(1-H514)</f>
        <v>48814.607999444386</v>
      </c>
      <c r="I520" s="133">
        <f t="shared" ref="I520:S520" si="178">$H512*(I513*G508)*(1-I514)</f>
        <v>125529.85867442757</v>
      </c>
      <c r="J520" s="133">
        <f t="shared" si="178"/>
        <v>207452.77023313942</v>
      </c>
      <c r="K520" s="133">
        <f t="shared" si="178"/>
        <v>233286.9209225589</v>
      </c>
      <c r="L520" s="133">
        <f t="shared" si="178"/>
        <v>452170.14780455449</v>
      </c>
      <c r="M520" s="133">
        <f t="shared" si="178"/>
        <v>525972.06530516024</v>
      </c>
      <c r="N520" s="133">
        <f t="shared" si="178"/>
        <v>603223.23300108861</v>
      </c>
      <c r="O520" s="133">
        <f>$H512*(O513*M508)*(1-O514)</f>
        <v>684071.94158703205</v>
      </c>
      <c r="P520" s="133">
        <f t="shared" si="178"/>
        <v>767419.88172332535</v>
      </c>
      <c r="Q520" s="133">
        <f t="shared" si="178"/>
        <v>855933.59901136404</v>
      </c>
      <c r="R520" s="133">
        <f t="shared" si="178"/>
        <v>0</v>
      </c>
      <c r="S520" s="133">
        <f t="shared" si="178"/>
        <v>0</v>
      </c>
      <c r="T520" s="122"/>
      <c r="U520" s="122"/>
      <c r="V520" s="122"/>
      <c r="W520" s="122"/>
      <c r="X520" s="122"/>
      <c r="Y520" s="122"/>
      <c r="Z520" s="122"/>
    </row>
    <row r="521" spans="1:26" s="143" customFormat="1" ht="12.75" x14ac:dyDescent="0.2">
      <c r="A521" s="122"/>
      <c r="B521" s="155"/>
      <c r="C521" s="155" t="s">
        <v>255</v>
      </c>
      <c r="D521" s="155"/>
      <c r="E521" s="155"/>
      <c r="F521" s="133"/>
      <c r="G521" s="133"/>
      <c r="H521" s="133"/>
      <c r="I521" s="133">
        <f>$I512*(I513*F508)*(1-I514)</f>
        <v>69855.387309549726</v>
      </c>
      <c r="J521" s="133">
        <f t="shared" ref="J521:S521" si="179">$I512*(J513*G508)*(1-J514)</f>
        <v>179637.55637892222</v>
      </c>
      <c r="K521" s="133">
        <f t="shared" si="179"/>
        <v>237497.65419793894</v>
      </c>
      <c r="L521" s="133">
        <f t="shared" si="179"/>
        <v>333841.62821676536</v>
      </c>
      <c r="M521" s="133">
        <f t="shared" si="179"/>
        <v>647071.07358237961</v>
      </c>
      <c r="N521" s="133">
        <f t="shared" si="179"/>
        <v>752684.16241945338</v>
      </c>
      <c r="O521" s="133">
        <f t="shared" si="179"/>
        <v>863233.24722569587</v>
      </c>
      <c r="P521" s="133">
        <f t="shared" si="179"/>
        <v>978930.53709868388</v>
      </c>
      <c r="Q521" s="133">
        <f t="shared" si="179"/>
        <v>1098204.3135006209</v>
      </c>
      <c r="R521" s="133">
        <f t="shared" si="179"/>
        <v>1224870.4951369518</v>
      </c>
      <c r="S521" s="133">
        <f t="shared" si="179"/>
        <v>0</v>
      </c>
      <c r="T521" s="122"/>
      <c r="U521" s="122"/>
      <c r="V521" s="122"/>
      <c r="W521" s="122"/>
      <c r="X521" s="122"/>
      <c r="Y521" s="122"/>
      <c r="Z521" s="122"/>
    </row>
    <row r="522" spans="1:26" s="143" customFormat="1" ht="12.75" x14ac:dyDescent="0.2">
      <c r="A522" s="122"/>
      <c r="B522" s="155"/>
      <c r="C522" s="155" t="s">
        <v>261</v>
      </c>
      <c r="D522" s="155"/>
      <c r="E522" s="155"/>
      <c r="F522" s="133"/>
      <c r="G522" s="133"/>
      <c r="H522" s="133"/>
      <c r="I522" s="133"/>
      <c r="J522" s="133">
        <f>$J512*(J513*F508)*(1-J514)</f>
        <v>72660.824550897101</v>
      </c>
      <c r="K522" s="133">
        <f t="shared" ref="K522:S522" si="180">$J512*(K513*G508)*(1-K514)</f>
        <v>149481.53285828387</v>
      </c>
      <c r="L522" s="133">
        <f t="shared" si="180"/>
        <v>247035.7125994626</v>
      </c>
      <c r="M522" s="133">
        <f t="shared" si="180"/>
        <v>347248.92252265953</v>
      </c>
      <c r="N522" s="133">
        <f t="shared" si="180"/>
        <v>673057.86368608964</v>
      </c>
      <c r="O522" s="133">
        <f t="shared" si="180"/>
        <v>782912.4420346925</v>
      </c>
      <c r="P522" s="133">
        <f t="shared" si="180"/>
        <v>897901.24912231008</v>
      </c>
      <c r="Q522" s="133">
        <f t="shared" si="180"/>
        <v>1018245.0165002373</v>
      </c>
      <c r="R522" s="133">
        <f t="shared" si="180"/>
        <v>1142308.9044042602</v>
      </c>
      <c r="S522" s="133">
        <f t="shared" si="180"/>
        <v>1274062.0812870304</v>
      </c>
      <c r="T522" s="122"/>
      <c r="U522" s="122"/>
      <c r="V522" s="122"/>
      <c r="W522" s="122"/>
      <c r="X522" s="122"/>
      <c r="Y522" s="122"/>
      <c r="Z522" s="122"/>
    </row>
    <row r="523" spans="1:26" s="143" customFormat="1" ht="12.75" x14ac:dyDescent="0.2">
      <c r="A523" s="122"/>
      <c r="B523" s="155"/>
      <c r="C523" s="198" t="s">
        <v>686</v>
      </c>
      <c r="D523" s="198"/>
      <c r="E523" s="198"/>
      <c r="F523" s="134">
        <f>SUM(F518:F522)</f>
        <v>28054.372413473786</v>
      </c>
      <c r="G523" s="134">
        <f t="shared" ref="G523:S523" si="181">SUM(G518:G522)</f>
        <v>111419.71831818949</v>
      </c>
      <c r="H523" s="134">
        <f t="shared" si="181"/>
        <v>269041.3737335467</v>
      </c>
      <c r="I523" s="134">
        <f t="shared" si="181"/>
        <v>529892.44683431857</v>
      </c>
      <c r="J523" s="134">
        <f t="shared" si="181"/>
        <v>1019213.6778124823</v>
      </c>
      <c r="K523" s="134">
        <f t="shared" si="181"/>
        <v>1286363.965583113</v>
      </c>
      <c r="L523" s="134">
        <f t="shared" si="181"/>
        <v>1802923.4222002728</v>
      </c>
      <c r="M523" s="134">
        <f t="shared" si="181"/>
        <v>2398788.8819783349</v>
      </c>
      <c r="N523" s="134">
        <f t="shared" si="181"/>
        <v>3020413.8797647757</v>
      </c>
      <c r="O523" s="134">
        <f t="shared" si="181"/>
        <v>3439597.7649991559</v>
      </c>
      <c r="P523" s="134">
        <f t="shared" si="181"/>
        <v>3332933.8740454167</v>
      </c>
      <c r="Q523" s="134">
        <f t="shared" si="181"/>
        <v>2972382.9290122222</v>
      </c>
      <c r="R523" s="134">
        <f t="shared" si="181"/>
        <v>2367179.3995412122</v>
      </c>
      <c r="S523" s="134">
        <f t="shared" si="181"/>
        <v>1274062.0812870304</v>
      </c>
      <c r="T523" s="122"/>
      <c r="U523" s="122"/>
      <c r="V523" s="122"/>
      <c r="W523" s="122"/>
      <c r="X523" s="122"/>
      <c r="Y523" s="122"/>
      <c r="Z523" s="122"/>
    </row>
    <row r="524" spans="1:26" s="143" customFormat="1" ht="12.75" x14ac:dyDescent="0.2">
      <c r="A524" s="122"/>
      <c r="B524" s="122"/>
      <c r="C524" s="122"/>
      <c r="D524" s="122"/>
      <c r="E524" s="122"/>
      <c r="F524" s="122"/>
      <c r="G524" s="122"/>
      <c r="H524" s="122"/>
      <c r="I524" s="122"/>
      <c r="J524" s="122"/>
      <c r="K524" s="122"/>
      <c r="L524" s="122"/>
      <c r="M524" s="122"/>
      <c r="N524" s="122"/>
      <c r="O524" s="122"/>
      <c r="P524" s="122"/>
      <c r="Q524" s="122"/>
      <c r="R524" s="122"/>
      <c r="S524" s="122"/>
      <c r="T524" s="122"/>
      <c r="U524" s="122"/>
      <c r="V524" s="122"/>
      <c r="W524" s="122"/>
      <c r="X524" s="122"/>
      <c r="Y524" s="122"/>
      <c r="Z524" s="122"/>
    </row>
    <row r="525" spans="1:26" s="143" customFormat="1" ht="12.75" x14ac:dyDescent="0.2">
      <c r="A525" s="122"/>
      <c r="B525" s="157"/>
      <c r="C525" s="154" t="s">
        <v>262</v>
      </c>
      <c r="D525" s="155"/>
      <c r="E525" s="155"/>
      <c r="F525" s="155"/>
      <c r="G525" s="155"/>
      <c r="H525" s="155"/>
      <c r="I525" s="155"/>
      <c r="J525" s="155"/>
      <c r="K525" s="155"/>
      <c r="L525" s="155"/>
      <c r="M525" s="155"/>
      <c r="N525" s="155"/>
      <c r="O525" s="155"/>
      <c r="P525" s="155"/>
      <c r="Q525" s="155"/>
      <c r="R525" s="155"/>
      <c r="S525" s="155"/>
      <c r="T525" s="122"/>
      <c r="U525" s="122"/>
      <c r="V525" s="122"/>
      <c r="W525" s="122"/>
      <c r="X525" s="122"/>
      <c r="Y525" s="122"/>
      <c r="Z525" s="122"/>
    </row>
    <row r="526" spans="1:26" s="143" customFormat="1" ht="12.75" x14ac:dyDescent="0.2">
      <c r="A526" s="122"/>
      <c r="B526" s="155"/>
      <c r="C526" s="198" t="s">
        <v>686</v>
      </c>
      <c r="D526" s="198"/>
      <c r="E526" s="198"/>
      <c r="F526" s="134">
        <f>IF(F510&gt;=$I$113,IF(F510&lt;($I$114+$I$113),$I$111/$I$114*F$126/1000*(1+$I$112),0),0)</f>
        <v>252211.39950204847</v>
      </c>
      <c r="G526" s="134">
        <f>IF(G510&gt;=$I$113,IF(G510&lt;($I$114+$I$113),$I$111/$I$114*G$126/1000*(1+$I$112),0),0)</f>
        <v>252211.39950204847</v>
      </c>
      <c r="H526" s="134">
        <f>IF(H510&gt;=$I$113,IF(H510&lt;($I$114+$I$113),$I$111/$I$114*H$126/1000*(1+$I$112),0),0)</f>
        <v>252211.39950204847</v>
      </c>
      <c r="I526" s="134">
        <f>IF(I510&gt;=$I$113,IF(I510&lt;($I$114+$I$113),$I$111/$I$114*I$126/1000*(1+$I$112),0),0)</f>
        <v>252211.39950204847</v>
      </c>
      <c r="J526" s="134">
        <f>IF(J510&gt;=$I$113,IF(J510&lt;($I$114+$I$113),$I$111/$I$114*J$126/1000*(1+$I$112),0),0)</f>
        <v>252211.39950204847</v>
      </c>
      <c r="K526" s="134">
        <f t="shared" ref="K526:S526" si="182">IF(K510&gt;=$I$113,IF(K510&lt;($I$114+$I$113),$I$111/$I$114*K$126/1000,0),0)</f>
        <v>0</v>
      </c>
      <c r="L526" s="134">
        <f t="shared" si="182"/>
        <v>0</v>
      </c>
      <c r="M526" s="134">
        <f t="shared" si="182"/>
        <v>0</v>
      </c>
      <c r="N526" s="134">
        <f t="shared" si="182"/>
        <v>0</v>
      </c>
      <c r="O526" s="134">
        <f t="shared" si="182"/>
        <v>0</v>
      </c>
      <c r="P526" s="134">
        <f t="shared" si="182"/>
        <v>0</v>
      </c>
      <c r="Q526" s="134">
        <f t="shared" si="182"/>
        <v>0</v>
      </c>
      <c r="R526" s="134">
        <f t="shared" si="182"/>
        <v>0</v>
      </c>
      <c r="S526" s="134">
        <f t="shared" si="182"/>
        <v>0</v>
      </c>
      <c r="T526" s="122"/>
      <c r="U526" s="122"/>
      <c r="V526" s="122"/>
      <c r="W526" s="122"/>
      <c r="X526" s="122"/>
      <c r="Y526" s="122"/>
      <c r="Z526" s="122"/>
    </row>
    <row r="527" spans="1:26" s="143" customFormat="1" ht="12.75" x14ac:dyDescent="0.2">
      <c r="A527" s="122"/>
      <c r="B527" s="122"/>
      <c r="C527" s="122"/>
      <c r="D527" s="122"/>
      <c r="E527" s="122"/>
      <c r="F527" s="237"/>
      <c r="G527" s="237"/>
      <c r="H527" s="237"/>
      <c r="I527" s="237"/>
      <c r="J527" s="237"/>
      <c r="K527" s="237"/>
      <c r="L527" s="237"/>
      <c r="M527" s="237"/>
      <c r="N527" s="237"/>
      <c r="O527" s="237"/>
      <c r="P527" s="237"/>
      <c r="Q527" s="237"/>
      <c r="R527" s="237"/>
      <c r="S527" s="237"/>
      <c r="T527" s="122"/>
      <c r="U527" s="122"/>
      <c r="V527" s="122"/>
      <c r="W527" s="122"/>
      <c r="X527" s="122"/>
      <c r="Y527" s="122"/>
      <c r="Z527" s="122"/>
    </row>
    <row r="528" spans="1:26" s="143" customFormat="1" ht="12.75" x14ac:dyDescent="0.2">
      <c r="A528" s="122"/>
      <c r="B528" s="122"/>
      <c r="C528" s="206" t="s">
        <v>685</v>
      </c>
      <c r="D528" s="203"/>
      <c r="E528" s="203"/>
      <c r="F528" s="135">
        <f>F523-F526</f>
        <v>-224157.02708857469</v>
      </c>
      <c r="G528" s="135">
        <f t="shared" ref="G528:S528" si="183">G523-G526</f>
        <v>-140791.68118385898</v>
      </c>
      <c r="H528" s="135">
        <f t="shared" si="183"/>
        <v>16829.974231498229</v>
      </c>
      <c r="I528" s="135">
        <f t="shared" si="183"/>
        <v>277681.04733227007</v>
      </c>
      <c r="J528" s="135">
        <f t="shared" si="183"/>
        <v>767002.27831043385</v>
      </c>
      <c r="K528" s="135">
        <f t="shared" si="183"/>
        <v>1286363.965583113</v>
      </c>
      <c r="L528" s="135">
        <f t="shared" si="183"/>
        <v>1802923.4222002728</v>
      </c>
      <c r="M528" s="135">
        <f t="shared" si="183"/>
        <v>2398788.8819783349</v>
      </c>
      <c r="N528" s="135">
        <f t="shared" si="183"/>
        <v>3020413.8797647757</v>
      </c>
      <c r="O528" s="135">
        <f t="shared" si="183"/>
        <v>3439597.7649991559</v>
      </c>
      <c r="P528" s="135">
        <f t="shared" si="183"/>
        <v>3332933.8740454167</v>
      </c>
      <c r="Q528" s="135">
        <f t="shared" si="183"/>
        <v>2972382.9290122222</v>
      </c>
      <c r="R528" s="135">
        <f t="shared" si="183"/>
        <v>2367179.3995412122</v>
      </c>
      <c r="S528" s="135">
        <f t="shared" si="183"/>
        <v>1274062.0812870304</v>
      </c>
      <c r="T528" s="122"/>
      <c r="U528" s="122"/>
      <c r="V528" s="122"/>
      <c r="W528" s="122"/>
      <c r="X528" s="122"/>
      <c r="Y528" s="122"/>
      <c r="Z528" s="122"/>
    </row>
    <row r="529" spans="1:26" s="143" customFormat="1" ht="13.5" thickBot="1" x14ac:dyDescent="0.25">
      <c r="A529" s="122"/>
      <c r="B529" s="122"/>
      <c r="C529" s="122"/>
      <c r="D529" s="122"/>
      <c r="E529" s="122"/>
      <c r="F529" s="122"/>
      <c r="G529" s="122"/>
      <c r="H529" s="122"/>
      <c r="I529" s="122"/>
      <c r="J529" s="122"/>
      <c r="K529" s="122"/>
      <c r="L529" s="122"/>
      <c r="M529" s="122"/>
      <c r="N529" s="122"/>
      <c r="O529" s="122"/>
      <c r="P529" s="122"/>
      <c r="Q529" s="122"/>
      <c r="R529" s="122"/>
      <c r="S529" s="122"/>
      <c r="T529" s="122"/>
      <c r="U529" s="122"/>
      <c r="V529" s="122"/>
      <c r="W529" s="122"/>
      <c r="X529" s="122"/>
      <c r="Y529" s="122"/>
      <c r="Z529" s="122"/>
    </row>
    <row r="530" spans="1:26" s="143" customFormat="1" ht="13.5" thickTop="1" x14ac:dyDescent="0.2">
      <c r="A530" s="122"/>
      <c r="B530" s="122"/>
      <c r="C530" s="212" t="s">
        <v>676</v>
      </c>
      <c r="D530" s="212"/>
      <c r="E530" s="212"/>
      <c r="F530" s="344">
        <f>NPV($F$20,G528:S528)+F528</f>
        <v>8364500.0621611569</v>
      </c>
      <c r="G530" s="122"/>
      <c r="H530" s="122"/>
      <c r="I530" s="122"/>
      <c r="J530" s="122"/>
      <c r="K530" s="122"/>
      <c r="L530" s="122"/>
      <c r="M530" s="122"/>
      <c r="N530" s="122"/>
      <c r="O530" s="122"/>
      <c r="P530" s="122"/>
      <c r="Q530" s="122"/>
      <c r="R530" s="122"/>
      <c r="S530" s="122"/>
      <c r="T530" s="122"/>
      <c r="U530" s="122"/>
      <c r="V530" s="122"/>
      <c r="W530" s="122"/>
      <c r="X530" s="122"/>
      <c r="Y530" s="122"/>
      <c r="Z530" s="122"/>
    </row>
    <row r="531" spans="1:26" s="143" customFormat="1" ht="12.75" x14ac:dyDescent="0.2">
      <c r="A531" s="122"/>
      <c r="B531" s="122"/>
      <c r="C531" s="154" t="s">
        <v>677</v>
      </c>
      <c r="D531" s="154"/>
      <c r="E531" s="154"/>
      <c r="F531" s="138">
        <f>F530/$F$10*1000</f>
        <v>53094452.597189017</v>
      </c>
      <c r="G531" s="122"/>
      <c r="H531" s="122"/>
      <c r="I531" s="122"/>
      <c r="J531" s="122"/>
      <c r="K531" s="122"/>
      <c r="L531" s="122"/>
      <c r="M531" s="122"/>
      <c r="N531" s="122"/>
      <c r="O531" s="122"/>
      <c r="P531" s="122"/>
      <c r="Q531" s="122"/>
      <c r="R531" s="122"/>
      <c r="S531" s="122"/>
      <c r="T531" s="122"/>
      <c r="U531" s="122"/>
      <c r="V531" s="122"/>
      <c r="W531" s="122"/>
      <c r="X531" s="122"/>
      <c r="Y531" s="122"/>
      <c r="Z531" s="122"/>
    </row>
    <row r="532" spans="1:26" s="143" customFormat="1" ht="12.75" x14ac:dyDescent="0.2">
      <c r="A532" s="122"/>
      <c r="B532" s="122"/>
      <c r="C532" s="154" t="s">
        <v>683</v>
      </c>
      <c r="D532" s="154"/>
      <c r="E532" s="154"/>
      <c r="F532" s="136">
        <f>IRR(F528:S528)</f>
        <v>0.8484009642565975</v>
      </c>
      <c r="G532" s="122"/>
      <c r="H532" s="122"/>
      <c r="I532" s="122"/>
      <c r="J532" s="122"/>
      <c r="K532" s="122"/>
      <c r="L532" s="122"/>
      <c r="M532" s="122"/>
      <c r="N532" s="122"/>
      <c r="O532" s="122"/>
      <c r="P532" s="122"/>
      <c r="Q532" s="122"/>
      <c r="R532" s="122"/>
      <c r="S532" s="122"/>
      <c r="T532" s="122"/>
      <c r="U532" s="122"/>
      <c r="V532" s="122"/>
      <c r="W532" s="122"/>
      <c r="X532" s="122"/>
      <c r="Y532" s="122"/>
      <c r="Z532" s="122"/>
    </row>
    <row r="533" spans="1:26" s="143" customFormat="1" ht="13.5" thickBot="1" x14ac:dyDescent="0.25">
      <c r="A533" s="122"/>
      <c r="B533" s="122"/>
      <c r="C533" s="211" t="s">
        <v>684</v>
      </c>
      <c r="D533" s="211"/>
      <c r="E533" s="211"/>
      <c r="F533" s="137">
        <f>MIRR(F528:S528,$F$20,$F$20)</f>
        <v>0.43426212083865434</v>
      </c>
      <c r="G533" s="122"/>
      <c r="H533" s="122"/>
      <c r="I533" s="122"/>
      <c r="J533" s="122"/>
      <c r="K533" s="122"/>
      <c r="L533" s="122"/>
      <c r="M533" s="122"/>
      <c r="N533" s="122"/>
      <c r="O533" s="122"/>
      <c r="P533" s="122"/>
      <c r="Q533" s="122"/>
      <c r="R533" s="122"/>
      <c r="S533" s="122"/>
      <c r="T533" s="122"/>
      <c r="U533" s="122"/>
      <c r="V533" s="122"/>
      <c r="W533" s="122"/>
      <c r="X533" s="122"/>
      <c r="Y533" s="122"/>
      <c r="Z533" s="122"/>
    </row>
    <row r="534" spans="1:26" ht="13.5" thickTop="1" x14ac:dyDescent="0.2">
      <c r="A534" s="122"/>
      <c r="B534" s="122"/>
      <c r="C534" s="122"/>
      <c r="D534" s="122"/>
      <c r="E534" s="122"/>
      <c r="F534" s="122"/>
      <c r="G534" s="122"/>
      <c r="H534" s="122"/>
      <c r="I534" s="122"/>
      <c r="J534" s="122"/>
      <c r="K534" s="122"/>
      <c r="L534" s="122"/>
      <c r="M534" s="122"/>
      <c r="N534" s="122"/>
      <c r="O534" s="122"/>
      <c r="P534" s="122"/>
      <c r="Q534" s="122"/>
      <c r="R534" s="122"/>
      <c r="S534" s="122"/>
      <c r="T534" s="122"/>
      <c r="U534" s="122"/>
      <c r="V534" s="122"/>
      <c r="W534" s="122"/>
      <c r="X534" s="122"/>
      <c r="Y534" s="122"/>
      <c r="Z534" s="122"/>
    </row>
    <row r="535" spans="1:26" ht="12.75" x14ac:dyDescent="0.2">
      <c r="A535" s="355" t="s">
        <v>914</v>
      </c>
      <c r="B535" s="353"/>
      <c r="C535" s="353"/>
      <c r="D535" s="356"/>
      <c r="E535" s="356"/>
      <c r="F535" s="357"/>
      <c r="G535" s="357"/>
      <c r="H535" s="357"/>
      <c r="I535" s="357"/>
      <c r="J535" s="357"/>
      <c r="K535" s="357"/>
      <c r="L535" s="357"/>
      <c r="M535" s="357"/>
      <c r="N535" s="357"/>
      <c r="O535" s="357"/>
      <c r="P535" s="357"/>
      <c r="Q535" s="357"/>
      <c r="R535" s="357"/>
      <c r="S535" s="357"/>
      <c r="T535" s="353"/>
      <c r="U535" s="353"/>
      <c r="V535" s="353"/>
      <c r="W535" s="353"/>
      <c r="X535" s="353"/>
      <c r="Y535" s="353"/>
      <c r="Z535" s="353"/>
    </row>
    <row r="536" spans="1:26" customFormat="1" ht="12.75" x14ac:dyDescent="0.2">
      <c r="A536" s="241"/>
      <c r="B536" s="611" t="s">
        <v>752</v>
      </c>
      <c r="C536" s="610"/>
      <c r="D536" s="610"/>
      <c r="E536" s="610"/>
      <c r="F536" s="610"/>
      <c r="G536" s="610"/>
      <c r="H536" s="610"/>
      <c r="I536" s="610"/>
      <c r="J536" s="610"/>
      <c r="K536" s="610"/>
      <c r="L536" s="3"/>
      <c r="M536" s="3"/>
      <c r="N536" s="3"/>
      <c r="O536" s="3"/>
      <c r="P536" s="3"/>
      <c r="Q536" s="3"/>
      <c r="R536" s="3"/>
      <c r="S536" s="3"/>
      <c r="T536" s="3"/>
      <c r="U536" s="3"/>
      <c r="V536" s="3"/>
      <c r="W536" s="3"/>
      <c r="X536" s="3"/>
      <c r="Y536" s="3"/>
      <c r="Z536" s="3"/>
    </row>
    <row r="537" spans="1:26" ht="12.75" x14ac:dyDescent="0.2">
      <c r="A537" s="358"/>
      <c r="B537" s="358"/>
      <c r="C537" s="358"/>
      <c r="D537" s="358"/>
      <c r="E537" s="358"/>
      <c r="F537" s="358"/>
      <c r="G537" s="358"/>
      <c r="H537" s="358"/>
      <c r="I537" s="358"/>
      <c r="J537" s="358"/>
      <c r="K537" s="358"/>
      <c r="L537" s="358"/>
      <c r="M537" s="358"/>
      <c r="N537" s="358"/>
      <c r="O537" s="358"/>
      <c r="P537" s="358"/>
      <c r="Q537" s="358"/>
      <c r="R537" s="358"/>
      <c r="S537" s="358"/>
      <c r="T537" s="358"/>
      <c r="U537" s="358"/>
      <c r="V537" s="358"/>
      <c r="W537" s="358"/>
      <c r="X537" s="358"/>
      <c r="Y537" s="358"/>
      <c r="Z537" s="358"/>
    </row>
    <row r="538" spans="1:26" ht="25.5" x14ac:dyDescent="0.2">
      <c r="A538" s="358"/>
      <c r="B538" s="358"/>
      <c r="C538" s="359" t="s">
        <v>753</v>
      </c>
      <c r="D538" s="360" t="s">
        <v>812</v>
      </c>
      <c r="E538" s="361" t="s">
        <v>813</v>
      </c>
      <c r="F538" s="361" t="s">
        <v>814</v>
      </c>
      <c r="G538" s="358"/>
      <c r="H538" s="359" t="s">
        <v>754</v>
      </c>
      <c r="I538" s="360" t="s">
        <v>812</v>
      </c>
      <c r="J538" s="361" t="s">
        <v>813</v>
      </c>
      <c r="K538" s="361" t="s">
        <v>814</v>
      </c>
      <c r="L538" s="358"/>
      <c r="M538" s="358"/>
      <c r="N538" s="358"/>
      <c r="O538" s="358"/>
      <c r="P538" s="358"/>
      <c r="Q538" s="358"/>
      <c r="R538" s="358"/>
      <c r="S538" s="358"/>
      <c r="T538" s="358"/>
      <c r="U538" s="358"/>
      <c r="V538" s="358"/>
      <c r="W538" s="358"/>
      <c r="X538" s="358"/>
      <c r="Y538" s="358"/>
      <c r="Z538" s="358"/>
    </row>
    <row r="539" spans="1:26" ht="12.75" x14ac:dyDescent="0.2">
      <c r="A539" s="358"/>
      <c r="B539" s="358"/>
      <c r="C539" s="362"/>
      <c r="D539" s="363">
        <f>$F$396</f>
        <v>1372.1483125058162</v>
      </c>
      <c r="E539" s="364">
        <f>$F$531</f>
        <v>53094452.597189017</v>
      </c>
      <c r="F539" s="364">
        <f>$H$393*1000/$F$10</f>
        <v>171.81461297828341</v>
      </c>
      <c r="G539" s="358"/>
      <c r="H539" s="362"/>
      <c r="I539" s="363">
        <f>$F$396</f>
        <v>1372.1483125058162</v>
      </c>
      <c r="J539" s="364">
        <f>$F$531</f>
        <v>53094452.597189017</v>
      </c>
      <c r="K539" s="364">
        <f>$H$393*1000/$F$10</f>
        <v>171.81461297828341</v>
      </c>
      <c r="L539" s="358"/>
      <c r="M539" s="358"/>
      <c r="N539" s="358"/>
      <c r="O539" s="358"/>
      <c r="P539" s="358"/>
      <c r="Q539" s="358"/>
      <c r="R539" s="358"/>
      <c r="S539" s="358"/>
      <c r="T539" s="358"/>
      <c r="U539" s="358"/>
      <c r="V539" s="358"/>
      <c r="W539" s="358"/>
      <c r="X539" s="358"/>
      <c r="Y539" s="358"/>
      <c r="Z539" s="358"/>
    </row>
    <row r="540" spans="1:26" ht="12.75" x14ac:dyDescent="0.2">
      <c r="A540" s="358"/>
      <c r="B540" s="358"/>
      <c r="C540" s="365">
        <v>0.03</v>
      </c>
      <c r="D540" s="366">
        <f t="dataTable" ref="D540:F545" dt2D="0" dtr="0" r1="F8" ca="1"/>
        <v>1372.1483125058169</v>
      </c>
      <c r="E540" s="367">
        <v>53094452.597189061</v>
      </c>
      <c r="F540" s="367">
        <v>171.81461297828349</v>
      </c>
      <c r="G540" s="358"/>
      <c r="H540" s="365">
        <v>-0.01</v>
      </c>
      <c r="I540" s="366">
        <f t="dataTable" ref="I540:K545" dt2D="0" dtr="0" r1="F9" ca="1"/>
        <v>1372.1483125058164</v>
      </c>
      <c r="J540" s="367">
        <v>53094452.597189024</v>
      </c>
      <c r="K540" s="367">
        <v>171.81461297828341</v>
      </c>
      <c r="L540" s="358"/>
      <c r="M540" s="358"/>
      <c r="N540" s="358"/>
      <c r="O540" s="358"/>
      <c r="P540" s="358"/>
      <c r="Q540" s="358"/>
      <c r="R540" s="358"/>
      <c r="S540" s="358"/>
      <c r="T540" s="358"/>
      <c r="U540" s="358"/>
      <c r="V540" s="358"/>
      <c r="W540" s="358"/>
      <c r="X540" s="358"/>
      <c r="Y540" s="358"/>
      <c r="Z540" s="358"/>
    </row>
    <row r="541" spans="1:26" ht="12.75" x14ac:dyDescent="0.2">
      <c r="A541" s="358"/>
      <c r="B541" s="358"/>
      <c r="C541" s="368">
        <v>0.05</v>
      </c>
      <c r="D541" s="369">
        <v>1372.1483125058171</v>
      </c>
      <c r="E541" s="370">
        <v>53094452.597189076</v>
      </c>
      <c r="F541" s="370">
        <v>171.81461297828341</v>
      </c>
      <c r="G541" s="358"/>
      <c r="H541" s="368">
        <v>0</v>
      </c>
      <c r="I541" s="369">
        <v>1372.1483125058162</v>
      </c>
      <c r="J541" s="370">
        <v>53094452.597189024</v>
      </c>
      <c r="K541" s="370">
        <v>171.81461297828341</v>
      </c>
      <c r="L541" s="358"/>
      <c r="M541" s="358"/>
      <c r="N541" s="358"/>
      <c r="O541" s="358"/>
      <c r="P541" s="358"/>
      <c r="Q541" s="358"/>
      <c r="R541" s="358"/>
      <c r="S541" s="358"/>
      <c r="T541" s="358"/>
      <c r="U541" s="358"/>
      <c r="V541" s="358"/>
      <c r="W541" s="358"/>
      <c r="X541" s="358"/>
      <c r="Y541" s="358"/>
      <c r="Z541" s="358"/>
    </row>
    <row r="542" spans="1:26" ht="12.75" x14ac:dyDescent="0.2">
      <c r="A542" s="358"/>
      <c r="B542" s="358"/>
      <c r="C542" s="371">
        <v>7.9000000000000001E-2</v>
      </c>
      <c r="D542" s="372">
        <v>1372.1483125058162</v>
      </c>
      <c r="E542" s="373">
        <v>53094452.597189017</v>
      </c>
      <c r="F542" s="373">
        <v>171.81461297828341</v>
      </c>
      <c r="G542" s="358"/>
      <c r="H542" s="368">
        <v>0.01</v>
      </c>
      <c r="I542" s="369">
        <v>1372.1483125058162</v>
      </c>
      <c r="J542" s="370">
        <v>53094452.597189017</v>
      </c>
      <c r="K542" s="370">
        <v>171.81461297828341</v>
      </c>
      <c r="L542" s="358"/>
      <c r="M542" s="358"/>
      <c r="N542" s="358"/>
      <c r="O542" s="358"/>
      <c r="P542" s="358"/>
      <c r="Q542" s="358"/>
      <c r="R542" s="358"/>
      <c r="S542" s="358"/>
      <c r="T542" s="358"/>
      <c r="U542" s="358"/>
      <c r="V542" s="358"/>
      <c r="W542" s="358"/>
      <c r="X542" s="358"/>
      <c r="Y542" s="358"/>
      <c r="Z542" s="358"/>
    </row>
    <row r="543" spans="1:26" ht="12.75" x14ac:dyDescent="0.2">
      <c r="A543" s="358"/>
      <c r="B543" s="358"/>
      <c r="C543" s="368">
        <v>0.1</v>
      </c>
      <c r="D543" s="369">
        <v>1372.1483125058171</v>
      </c>
      <c r="E543" s="370">
        <v>53094452.597189076</v>
      </c>
      <c r="F543" s="370">
        <v>171.81461297828358</v>
      </c>
      <c r="G543" s="358"/>
      <c r="H543" s="374">
        <v>2.5000000000000001E-2</v>
      </c>
      <c r="I543" s="372">
        <v>1372.1483125058162</v>
      </c>
      <c r="J543" s="373">
        <v>53094452.597189017</v>
      </c>
      <c r="K543" s="373">
        <v>171.81461297828341</v>
      </c>
      <c r="L543" s="358"/>
      <c r="M543" s="358"/>
      <c r="N543" s="358"/>
      <c r="O543" s="358"/>
      <c r="P543" s="358"/>
      <c r="Q543" s="358"/>
      <c r="R543" s="358"/>
      <c r="S543" s="358"/>
      <c r="T543" s="358"/>
      <c r="U543" s="358"/>
      <c r="V543" s="358"/>
      <c r="W543" s="358"/>
      <c r="X543" s="358"/>
      <c r="Y543" s="358"/>
      <c r="Z543" s="358"/>
    </row>
    <row r="544" spans="1:26" ht="12.75" x14ac:dyDescent="0.2">
      <c r="A544" s="358"/>
      <c r="B544" s="358"/>
      <c r="C544" s="368">
        <v>0.15</v>
      </c>
      <c r="D544" s="369">
        <v>1372.1483125058171</v>
      </c>
      <c r="E544" s="370">
        <v>53094452.597189076</v>
      </c>
      <c r="F544" s="370">
        <v>171.81461297828341</v>
      </c>
      <c r="G544" s="358"/>
      <c r="H544" s="368">
        <v>0.04</v>
      </c>
      <c r="I544" s="369">
        <v>1372.1483125058164</v>
      </c>
      <c r="J544" s="370">
        <v>53094452.597189024</v>
      </c>
      <c r="K544" s="370">
        <v>171.81461297828349</v>
      </c>
      <c r="L544" s="358"/>
      <c r="M544" s="358"/>
      <c r="N544" s="358"/>
      <c r="O544" s="358"/>
      <c r="P544" s="358"/>
      <c r="Q544" s="358"/>
      <c r="R544" s="358"/>
      <c r="S544" s="358"/>
      <c r="T544" s="358"/>
      <c r="U544" s="358"/>
      <c r="V544" s="358"/>
      <c r="W544" s="358"/>
      <c r="X544" s="358"/>
      <c r="Y544" s="358"/>
      <c r="Z544" s="358"/>
    </row>
    <row r="545" spans="1:26" ht="12.75" x14ac:dyDescent="0.2">
      <c r="A545" s="358"/>
      <c r="B545" s="358"/>
      <c r="C545" s="375">
        <v>0.2</v>
      </c>
      <c r="D545" s="376">
        <v>1372.1483125058171</v>
      </c>
      <c r="E545" s="377">
        <v>53094452.597189061</v>
      </c>
      <c r="F545" s="377">
        <v>171.81461297828358</v>
      </c>
      <c r="G545" s="358"/>
      <c r="H545" s="375">
        <v>0.06</v>
      </c>
      <c r="I545" s="376">
        <v>1372.1483125058162</v>
      </c>
      <c r="J545" s="377">
        <v>53094452.597189002</v>
      </c>
      <c r="K545" s="377">
        <v>171.81461297828341</v>
      </c>
      <c r="L545" s="358"/>
      <c r="M545" s="358"/>
      <c r="N545" s="358"/>
      <c r="O545" s="358"/>
      <c r="P545" s="358"/>
      <c r="Q545" s="358"/>
      <c r="R545" s="358"/>
      <c r="S545" s="358"/>
      <c r="T545" s="358"/>
      <c r="U545" s="358"/>
      <c r="V545" s="358"/>
      <c r="W545" s="358"/>
      <c r="X545" s="358"/>
      <c r="Y545" s="358"/>
      <c r="Z545" s="358"/>
    </row>
    <row r="546" spans="1:26" ht="12.75" x14ac:dyDescent="0.2">
      <c r="A546" s="358"/>
      <c r="B546" s="358"/>
      <c r="C546" s="358"/>
      <c r="D546" s="358"/>
      <c r="E546" s="358"/>
      <c r="F546" s="358"/>
      <c r="G546" s="358"/>
      <c r="H546" s="358"/>
      <c r="I546" s="358"/>
      <c r="J546" s="358"/>
      <c r="K546" s="358"/>
      <c r="L546" s="358"/>
      <c r="M546" s="358"/>
      <c r="N546" s="358"/>
      <c r="O546" s="358"/>
      <c r="P546" s="358"/>
      <c r="Q546" s="358"/>
      <c r="R546" s="358"/>
      <c r="S546" s="358"/>
      <c r="T546" s="358"/>
      <c r="U546" s="358"/>
      <c r="V546" s="358"/>
      <c r="W546" s="358"/>
      <c r="X546" s="358"/>
      <c r="Y546" s="358"/>
      <c r="Z546" s="358"/>
    </row>
    <row r="547" spans="1:26" ht="25.5" x14ac:dyDescent="0.2">
      <c r="A547" s="358"/>
      <c r="B547" s="358"/>
      <c r="C547" s="359" t="s">
        <v>181</v>
      </c>
      <c r="D547" s="360" t="s">
        <v>812</v>
      </c>
      <c r="E547" s="361" t="s">
        <v>813</v>
      </c>
      <c r="F547" s="361" t="s">
        <v>814</v>
      </c>
      <c r="G547" s="358"/>
      <c r="H547" s="359" t="s">
        <v>755</v>
      </c>
      <c r="I547" s="360" t="s">
        <v>812</v>
      </c>
      <c r="J547" s="361" t="s">
        <v>813</v>
      </c>
      <c r="K547" s="361" t="s">
        <v>814</v>
      </c>
      <c r="L547" s="358"/>
      <c r="M547" s="358"/>
      <c r="N547" s="358"/>
      <c r="O547" s="358"/>
      <c r="P547" s="358"/>
      <c r="Q547" s="358"/>
      <c r="R547" s="358"/>
      <c r="S547" s="358"/>
      <c r="T547" s="358"/>
      <c r="U547" s="358"/>
      <c r="V547" s="358"/>
      <c r="W547" s="358"/>
      <c r="X547" s="358"/>
      <c r="Y547" s="358"/>
      <c r="Z547" s="358"/>
    </row>
    <row r="548" spans="1:26" ht="12.75" x14ac:dyDescent="0.2">
      <c r="A548" s="354"/>
      <c r="B548" s="354"/>
      <c r="C548" s="362"/>
      <c r="D548" s="363">
        <f>$F$396</f>
        <v>1372.1483125058162</v>
      </c>
      <c r="E548" s="364">
        <f>$F$531</f>
        <v>53094452.597189017</v>
      </c>
      <c r="F548" s="364">
        <f>$H$393*1000/$F$10</f>
        <v>171.81461297828341</v>
      </c>
      <c r="G548" s="358"/>
      <c r="H548" s="362"/>
      <c r="I548" s="363">
        <f>$F$396</f>
        <v>1372.1483125058162</v>
      </c>
      <c r="J548" s="364">
        <f>$F$531</f>
        <v>53094452.597189017</v>
      </c>
      <c r="K548" s="364">
        <f>$H$393*1000/$F$10</f>
        <v>171.81461297828341</v>
      </c>
      <c r="L548" s="354"/>
      <c r="M548" s="354"/>
      <c r="N548" s="354"/>
      <c r="O548" s="354"/>
      <c r="P548" s="354"/>
      <c r="Q548" s="354"/>
      <c r="R548" s="354"/>
      <c r="S548" s="354"/>
      <c r="T548" s="354"/>
      <c r="U548" s="354"/>
      <c r="V548" s="354"/>
      <c r="W548" s="354"/>
      <c r="X548" s="354"/>
      <c r="Y548" s="354"/>
      <c r="Z548" s="354"/>
    </row>
    <row r="549" spans="1:26" ht="12.75" x14ac:dyDescent="0.2">
      <c r="A549" s="354"/>
      <c r="B549" s="354"/>
      <c r="C549" s="378">
        <v>140</v>
      </c>
      <c r="D549" s="366">
        <f t="dataTable" ref="D549:F554" dt2D="0" dtr="0" r1="F10" ca="1"/>
        <v>1719.4116073516077</v>
      </c>
      <c r="E549" s="367">
        <v>76860664.50734584</v>
      </c>
      <c r="F549" s="367">
        <v>225.33296628248019</v>
      </c>
      <c r="G549" s="358"/>
      <c r="H549" s="365">
        <v>-0.1</v>
      </c>
      <c r="I549" s="366">
        <f t="dataTable" ref="I549:K554" dt2D="0" dtr="0" r1="F11" ca="1"/>
        <v>1740.9971355959724</v>
      </c>
      <c r="J549" s="367">
        <v>89222416.301407874</v>
      </c>
      <c r="K549" s="367">
        <v>220.33221951649372</v>
      </c>
      <c r="L549" s="354"/>
      <c r="M549" s="354"/>
      <c r="N549" s="354"/>
      <c r="O549" s="354"/>
      <c r="P549" s="354"/>
      <c r="Q549" s="354"/>
      <c r="R549" s="354"/>
      <c r="S549" s="354"/>
      <c r="T549" s="354"/>
      <c r="U549" s="354"/>
      <c r="V549" s="354"/>
      <c r="W549" s="354"/>
      <c r="X549" s="354"/>
      <c r="Y549" s="354"/>
      <c r="Z549" s="354"/>
    </row>
    <row r="550" spans="1:26" ht="12.75" x14ac:dyDescent="0.2">
      <c r="A550" s="354"/>
      <c r="B550" s="354"/>
      <c r="C550" s="379">
        <v>150</v>
      </c>
      <c r="D550" s="369">
        <v>1511.4759955309844</v>
      </c>
      <c r="E550" s="370">
        <v>62629843.434270538</v>
      </c>
      <c r="F550" s="370">
        <v>193.28704693796044</v>
      </c>
      <c r="G550" s="358"/>
      <c r="H550" s="368">
        <v>-0.05</v>
      </c>
      <c r="I550" s="369">
        <v>1576.9822626631321</v>
      </c>
      <c r="J550" s="370">
        <v>73185079.895905137</v>
      </c>
      <c r="K550" s="370">
        <v>196.71180580710194</v>
      </c>
      <c r="L550" s="354"/>
      <c r="M550" s="354"/>
      <c r="N550" s="354"/>
      <c r="O550" s="354"/>
      <c r="P550" s="354"/>
      <c r="Q550" s="354"/>
      <c r="R550" s="354"/>
      <c r="S550" s="354"/>
      <c r="T550" s="354"/>
      <c r="U550" s="354"/>
      <c r="V550" s="354"/>
      <c r="W550" s="354"/>
      <c r="X550" s="354"/>
      <c r="Y550" s="354"/>
      <c r="Z550" s="354"/>
    </row>
    <row r="551" spans="1:26" ht="12.75" x14ac:dyDescent="0.2">
      <c r="A551" s="354"/>
      <c r="B551" s="354"/>
      <c r="C551" s="380">
        <v>157.54</v>
      </c>
      <c r="D551" s="372">
        <v>1372.1483125058162</v>
      </c>
      <c r="E551" s="373">
        <v>53094452.597189017</v>
      </c>
      <c r="F551" s="373">
        <v>171.81461297828341</v>
      </c>
      <c r="G551" s="358"/>
      <c r="H551" s="371">
        <v>0</v>
      </c>
      <c r="I551" s="372">
        <v>1372.1483125058162</v>
      </c>
      <c r="J551" s="373">
        <v>53094452.597189017</v>
      </c>
      <c r="K551" s="373">
        <v>171.81461297828341</v>
      </c>
      <c r="L551" s="354"/>
      <c r="M551" s="354"/>
      <c r="N551" s="354"/>
      <c r="O551" s="354"/>
      <c r="P551" s="354"/>
      <c r="Q551" s="354"/>
      <c r="R551" s="354"/>
      <c r="S551" s="354"/>
      <c r="T551" s="354"/>
      <c r="U551" s="354"/>
      <c r="V551" s="354"/>
      <c r="W551" s="354"/>
      <c r="X551" s="354"/>
      <c r="Y551" s="354"/>
      <c r="Z551" s="354"/>
    </row>
    <row r="552" spans="1:26" ht="12.75" x14ac:dyDescent="0.2">
      <c r="A552" s="354"/>
      <c r="B552" s="354"/>
      <c r="C552" s="379">
        <v>165</v>
      </c>
      <c r="D552" s="369">
        <v>1246.8306713956458</v>
      </c>
      <c r="E552" s="370">
        <v>44517889.341265641</v>
      </c>
      <c r="F552" s="370">
        <v>152.50133140857139</v>
      </c>
      <c r="G552" s="358"/>
      <c r="H552" s="597">
        <v>0.05</v>
      </c>
      <c r="I552" s="369">
        <v>1115.4879572640111</v>
      </c>
      <c r="J552" s="370">
        <v>27836457.670276552</v>
      </c>
      <c r="K552" s="370">
        <v>145.64064103003824</v>
      </c>
      <c r="L552" s="354"/>
      <c r="M552" s="354"/>
      <c r="N552" s="354"/>
      <c r="O552" s="354"/>
      <c r="P552" s="354"/>
      <c r="Q552" s="354"/>
      <c r="R552" s="354"/>
      <c r="S552" s="354"/>
      <c r="T552" s="354"/>
      <c r="U552" s="354"/>
      <c r="V552" s="354"/>
      <c r="W552" s="354"/>
      <c r="X552" s="354"/>
      <c r="Y552" s="354"/>
      <c r="Z552" s="354"/>
    </row>
    <row r="553" spans="1:26" ht="12.75" x14ac:dyDescent="0.2">
      <c r="A553" s="354"/>
      <c r="B553" s="354"/>
      <c r="C553" s="379">
        <v>175</v>
      </c>
      <c r="D553" s="369">
        <v>1095.604771889738</v>
      </c>
      <c r="E553" s="370">
        <v>34168201.288119979</v>
      </c>
      <c r="F553" s="370">
        <v>129.19520824892069</v>
      </c>
      <c r="G553" s="358"/>
      <c r="H553" s="368">
        <v>0.1</v>
      </c>
      <c r="I553" s="369">
        <v>793.22463823423334</v>
      </c>
      <c r="J553" s="370">
        <v>-3988146.7793343472</v>
      </c>
      <c r="K553" s="370">
        <v>118.18988996236666</v>
      </c>
      <c r="L553" s="354"/>
      <c r="M553" s="354"/>
      <c r="N553" s="354"/>
      <c r="O553" s="354"/>
      <c r="P553" s="354"/>
      <c r="Q553" s="354"/>
      <c r="R553" s="354"/>
      <c r="S553" s="354"/>
      <c r="T553" s="354"/>
      <c r="U553" s="354"/>
      <c r="V553" s="354"/>
      <c r="W553" s="354"/>
      <c r="X553" s="354"/>
      <c r="Y553" s="354"/>
      <c r="Z553" s="354"/>
    </row>
    <row r="554" spans="1:26" ht="12.75" x14ac:dyDescent="0.2">
      <c r="A554" s="354"/>
      <c r="B554" s="354"/>
      <c r="C554" s="381">
        <v>185</v>
      </c>
      <c r="D554" s="376">
        <v>960.72761827636089</v>
      </c>
      <c r="E554" s="377">
        <v>24937398.429908983</v>
      </c>
      <c r="F554" s="377">
        <v>108.40866597139424</v>
      </c>
      <c r="G554" s="358"/>
      <c r="H554" s="375">
        <v>0.15</v>
      </c>
      <c r="I554" s="376">
        <v>388.2152759698161</v>
      </c>
      <c r="J554" s="377">
        <v>-44126116.347530477</v>
      </c>
      <c r="K554" s="377">
        <v>89.462359775268652</v>
      </c>
      <c r="L554" s="354"/>
      <c r="M554" s="354"/>
      <c r="N554" s="354"/>
      <c r="O554" s="354"/>
      <c r="P554" s="354"/>
      <c r="Q554" s="354"/>
      <c r="R554" s="354"/>
      <c r="S554" s="354"/>
      <c r="T554" s="354"/>
      <c r="U554" s="354"/>
      <c r="V554" s="354"/>
      <c r="W554" s="354"/>
      <c r="X554" s="354"/>
      <c r="Y554" s="354"/>
      <c r="Z554" s="354"/>
    </row>
    <row r="555" spans="1:26" ht="12.75" x14ac:dyDescent="0.2">
      <c r="A555" s="354"/>
      <c r="B555" s="354"/>
      <c r="C555" s="354"/>
      <c r="D555" s="354"/>
      <c r="E555" s="354"/>
      <c r="F555" s="354"/>
      <c r="G555" s="354"/>
      <c r="H555" s="354"/>
      <c r="I555" s="354"/>
      <c r="J555" s="354"/>
      <c r="K555" s="354"/>
      <c r="L555" s="354"/>
      <c r="M555" s="354"/>
      <c r="N555" s="354"/>
      <c r="O555" s="354"/>
      <c r="P555" s="354"/>
      <c r="Q555" s="354"/>
      <c r="R555" s="354"/>
      <c r="S555" s="354"/>
      <c r="T555" s="354"/>
      <c r="U555" s="354"/>
      <c r="V555" s="354"/>
      <c r="W555" s="354"/>
      <c r="X555" s="354"/>
      <c r="Y555" s="354"/>
      <c r="Z555" s="354"/>
    </row>
    <row r="556" spans="1:26" ht="25.5" x14ac:dyDescent="0.2">
      <c r="A556" s="354"/>
      <c r="B556" s="354"/>
      <c r="C556" s="359" t="s">
        <v>21</v>
      </c>
      <c r="D556" s="360" t="s">
        <v>812</v>
      </c>
      <c r="E556" s="361" t="s">
        <v>813</v>
      </c>
      <c r="F556" s="361" t="s">
        <v>814</v>
      </c>
      <c r="G556" s="358"/>
      <c r="H556" s="359" t="s">
        <v>23</v>
      </c>
      <c r="I556" s="360" t="s">
        <v>812</v>
      </c>
      <c r="J556" s="361" t="s">
        <v>813</v>
      </c>
      <c r="K556" s="361" t="s">
        <v>814</v>
      </c>
      <c r="L556" s="354"/>
      <c r="M556" s="354"/>
      <c r="N556" s="354"/>
      <c r="O556" s="354"/>
      <c r="P556" s="354"/>
      <c r="Q556" s="354"/>
      <c r="R556" s="354"/>
      <c r="S556" s="354"/>
      <c r="T556" s="354"/>
      <c r="U556" s="354"/>
      <c r="V556" s="354"/>
      <c r="W556" s="354"/>
      <c r="X556" s="354"/>
      <c r="Y556" s="354"/>
      <c r="Z556" s="354"/>
    </row>
    <row r="557" spans="1:26" ht="12.75" x14ac:dyDescent="0.2">
      <c r="A557" s="354"/>
      <c r="B557" s="354"/>
      <c r="C557" s="362"/>
      <c r="D557" s="363">
        <f>$F$396</f>
        <v>1372.1483125058162</v>
      </c>
      <c r="E557" s="364">
        <f>$F$531</f>
        <v>53094452.597189017</v>
      </c>
      <c r="F557" s="364">
        <f>$H$393*1000/$F$10</f>
        <v>171.81461297828341</v>
      </c>
      <c r="G557" s="358"/>
      <c r="H557" s="362"/>
      <c r="I557" s="363">
        <f>$F$396</f>
        <v>1372.1483125058162</v>
      </c>
      <c r="J557" s="364">
        <f>$F$531</f>
        <v>53094452.597189017</v>
      </c>
      <c r="K557" s="364">
        <f>$H$393*1000/$F$10</f>
        <v>171.81461297828341</v>
      </c>
      <c r="L557" s="354"/>
      <c r="M557" s="354"/>
      <c r="N557" s="354"/>
      <c r="O557" s="354"/>
      <c r="P557" s="354"/>
      <c r="Q557" s="354"/>
      <c r="R557" s="354"/>
      <c r="S557" s="354"/>
      <c r="T557" s="354"/>
      <c r="U557" s="354"/>
      <c r="V557" s="354"/>
      <c r="W557" s="354"/>
      <c r="X557" s="354"/>
      <c r="Y557" s="354"/>
      <c r="Z557" s="354"/>
    </row>
    <row r="558" spans="1:26" ht="12.75" x14ac:dyDescent="0.2">
      <c r="A558" s="354"/>
      <c r="B558" s="354"/>
      <c r="C558" s="382">
        <v>7.0000000000000007E-2</v>
      </c>
      <c r="D558" s="366">
        <f t="dataTable" ref="D558:F563" dt2D="0" dtr="0" r1="F19" ca="1"/>
        <v>2121.8579290679445</v>
      </c>
      <c r="E558" s="367">
        <v>53094452.597189017</v>
      </c>
      <c r="F558" s="367">
        <v>171.81461297828341</v>
      </c>
      <c r="G558" s="358"/>
      <c r="H558" s="365">
        <v>0.06</v>
      </c>
      <c r="I558" s="366">
        <f t="dataTable" ref="I558:K563" dt2D="0" dtr="0" r1="F20" ca="1"/>
        <v>1372.1483125058162</v>
      </c>
      <c r="J558" s="367">
        <v>85424915.34919852</v>
      </c>
      <c r="K558" s="367">
        <v>171.81461297828341</v>
      </c>
      <c r="L558" s="354"/>
      <c r="M558" s="354"/>
      <c r="N558" s="354"/>
      <c r="O558" s="354"/>
      <c r="P558" s="354"/>
      <c r="Q558" s="354"/>
      <c r="R558" s="354"/>
      <c r="S558" s="354"/>
      <c r="T558" s="354"/>
      <c r="U558" s="354"/>
      <c r="V558" s="354"/>
      <c r="W558" s="354"/>
      <c r="X558" s="354"/>
      <c r="Y558" s="354"/>
      <c r="Z558" s="354"/>
    </row>
    <row r="559" spans="1:26" ht="12.75" x14ac:dyDescent="0.2">
      <c r="A559" s="354"/>
      <c r="B559" s="354"/>
      <c r="C559" s="383">
        <v>0.1</v>
      </c>
      <c r="D559" s="369">
        <v>1837.9763909480575</v>
      </c>
      <c r="E559" s="370">
        <v>53094452.597189017</v>
      </c>
      <c r="F559" s="370">
        <v>171.81461297828341</v>
      </c>
      <c r="G559" s="358"/>
      <c r="H559" s="368">
        <v>0.08</v>
      </c>
      <c r="I559" s="369">
        <v>1372.1483125058162</v>
      </c>
      <c r="J559" s="370">
        <v>72584767.701644629</v>
      </c>
      <c r="K559" s="370">
        <v>171.81461297828341</v>
      </c>
      <c r="L559" s="354"/>
      <c r="M559" s="354"/>
      <c r="N559" s="354"/>
      <c r="O559" s="354"/>
      <c r="P559" s="354"/>
      <c r="Q559" s="354"/>
      <c r="R559" s="354"/>
      <c r="S559" s="354"/>
      <c r="T559" s="354"/>
      <c r="U559" s="354"/>
      <c r="V559" s="354"/>
      <c r="W559" s="354"/>
      <c r="X559" s="354"/>
      <c r="Y559" s="354"/>
      <c r="Z559" s="354"/>
    </row>
    <row r="560" spans="1:26" ht="12.75" x14ac:dyDescent="0.2">
      <c r="A560" s="354"/>
      <c r="B560" s="354"/>
      <c r="C560" s="384">
        <v>0.12</v>
      </c>
      <c r="D560" s="385">
        <v>1678.7782850313847</v>
      </c>
      <c r="E560" s="386">
        <v>53094452.597189017</v>
      </c>
      <c r="F560" s="386">
        <v>171.81461297828341</v>
      </c>
      <c r="G560" s="358"/>
      <c r="H560" s="368">
        <v>0.1</v>
      </c>
      <c r="I560" s="369">
        <v>1372.1483125058162</v>
      </c>
      <c r="J560" s="370">
        <v>61949473.820470169</v>
      </c>
      <c r="K560" s="370">
        <v>171.81461297828341</v>
      </c>
      <c r="L560" s="354"/>
      <c r="M560" s="354"/>
      <c r="N560" s="354"/>
      <c r="O560" s="354"/>
      <c r="P560" s="354"/>
      <c r="Q560" s="354"/>
      <c r="R560" s="354"/>
      <c r="S560" s="354"/>
      <c r="T560" s="354"/>
      <c r="U560" s="354"/>
      <c r="V560" s="354"/>
      <c r="W560" s="354"/>
      <c r="X560" s="354"/>
      <c r="Y560" s="354"/>
      <c r="Z560" s="354"/>
    </row>
    <row r="561" spans="1:26" ht="12.75" x14ac:dyDescent="0.2">
      <c r="A561" s="354"/>
      <c r="B561" s="354"/>
      <c r="C561" s="387">
        <v>0.16800000000000001</v>
      </c>
      <c r="D561" s="372">
        <v>1372.1483125058162</v>
      </c>
      <c r="E561" s="373">
        <v>53094452.597189017</v>
      </c>
      <c r="F561" s="373">
        <v>171.81461297828341</v>
      </c>
      <c r="G561" s="358"/>
      <c r="H561" s="371">
        <v>0.12</v>
      </c>
      <c r="I561" s="372">
        <v>1372.1483125058162</v>
      </c>
      <c r="J561" s="373">
        <v>53094452.597189017</v>
      </c>
      <c r="K561" s="373">
        <v>171.81461297828341</v>
      </c>
      <c r="L561" s="354"/>
      <c r="M561" s="354"/>
      <c r="N561" s="354"/>
      <c r="O561" s="354"/>
      <c r="P561" s="354"/>
      <c r="Q561" s="354"/>
      <c r="R561" s="354"/>
      <c r="S561" s="354"/>
      <c r="T561" s="354"/>
      <c r="U561" s="354"/>
      <c r="V561" s="354"/>
      <c r="W561" s="354"/>
      <c r="X561" s="354"/>
      <c r="Y561" s="354"/>
      <c r="Z561" s="354"/>
    </row>
    <row r="562" spans="1:26" ht="12.75" x14ac:dyDescent="0.2">
      <c r="A562" s="354"/>
      <c r="B562" s="354"/>
      <c r="C562" s="383">
        <v>0.2</v>
      </c>
      <c r="D562" s="369">
        <v>1213.419348249178</v>
      </c>
      <c r="E562" s="370">
        <v>53094452.597189017</v>
      </c>
      <c r="F562" s="370">
        <v>171.81461297828341</v>
      </c>
      <c r="G562" s="358"/>
      <c r="H562" s="368">
        <v>0.14000000000000001</v>
      </c>
      <c r="I562" s="369">
        <v>1372.1483125058162</v>
      </c>
      <c r="J562" s="370">
        <v>45684688.516705044</v>
      </c>
      <c r="K562" s="370">
        <v>171.81461297828341</v>
      </c>
      <c r="L562" s="354"/>
      <c r="M562" s="354"/>
      <c r="N562" s="354"/>
      <c r="O562" s="354"/>
      <c r="P562" s="354"/>
      <c r="Q562" s="354"/>
      <c r="R562" s="354"/>
      <c r="S562" s="354"/>
      <c r="T562" s="354"/>
      <c r="U562" s="354"/>
      <c r="V562" s="354"/>
      <c r="W562" s="354"/>
      <c r="X562" s="354"/>
      <c r="Y562" s="354"/>
      <c r="Z562" s="354"/>
    </row>
    <row r="563" spans="1:26" ht="12.75" x14ac:dyDescent="0.2">
      <c r="A563" s="354"/>
      <c r="B563" s="354"/>
      <c r="C563" s="388">
        <v>0.25</v>
      </c>
      <c r="D563" s="376">
        <v>1018.3252598111103</v>
      </c>
      <c r="E563" s="377">
        <v>53094452.597189017</v>
      </c>
      <c r="F563" s="377">
        <v>171.81461297828341</v>
      </c>
      <c r="G563" s="358"/>
      <c r="H563" s="375">
        <v>0.16</v>
      </c>
      <c r="I563" s="376">
        <v>1372.1483125058162</v>
      </c>
      <c r="J563" s="377">
        <v>39454351.801918633</v>
      </c>
      <c r="K563" s="377">
        <v>171.81461297828341</v>
      </c>
      <c r="L563" s="354"/>
      <c r="M563" s="354"/>
      <c r="N563" s="354"/>
      <c r="O563" s="354"/>
      <c r="P563" s="354"/>
      <c r="Q563" s="354"/>
      <c r="R563" s="354"/>
      <c r="S563" s="354"/>
      <c r="T563" s="354"/>
      <c r="U563" s="354"/>
      <c r="V563" s="354"/>
      <c r="W563" s="354"/>
      <c r="X563" s="354"/>
      <c r="Y563" s="354"/>
      <c r="Z563" s="354"/>
    </row>
    <row r="564" spans="1:26" ht="12.75" x14ac:dyDescent="0.2">
      <c r="A564" s="122"/>
      <c r="B564" s="122"/>
      <c r="C564" s="122"/>
      <c r="D564" s="122"/>
      <c r="E564" s="122"/>
      <c r="F564" s="122"/>
      <c r="G564" s="122"/>
      <c r="H564" s="122"/>
      <c r="I564" s="122"/>
      <c r="J564" s="122"/>
      <c r="K564" s="122"/>
      <c r="L564" s="122"/>
      <c r="M564" s="122"/>
      <c r="N564" s="122"/>
      <c r="O564" s="122"/>
      <c r="P564" s="122"/>
      <c r="Q564" s="122"/>
      <c r="R564" s="122"/>
      <c r="S564" s="122"/>
      <c r="T564" s="122"/>
      <c r="U564" s="122"/>
      <c r="V564" s="122"/>
      <c r="W564" s="122"/>
      <c r="X564" s="122"/>
      <c r="Y564" s="122"/>
      <c r="Z564" s="122"/>
    </row>
    <row r="565" spans="1:26" customFormat="1" ht="38.25" x14ac:dyDescent="0.2">
      <c r="A565" s="246"/>
      <c r="B565" s="3"/>
      <c r="C565" s="359" t="s">
        <v>950</v>
      </c>
      <c r="D565" s="360" t="s">
        <v>812</v>
      </c>
      <c r="E565" s="361" t="s">
        <v>813</v>
      </c>
      <c r="F565" s="361" t="s">
        <v>814</v>
      </c>
      <c r="G565" s="3"/>
      <c r="H565" s="359" t="s">
        <v>911</v>
      </c>
      <c r="I565" s="360" t="s">
        <v>812</v>
      </c>
      <c r="J565" s="361" t="s">
        <v>813</v>
      </c>
      <c r="K565" s="361" t="s">
        <v>814</v>
      </c>
      <c r="L565" s="3"/>
      <c r="M565" s="3"/>
      <c r="N565" s="3"/>
      <c r="O565" s="3"/>
      <c r="P565" s="3"/>
      <c r="Q565" s="3"/>
      <c r="R565" s="3"/>
      <c r="S565" s="3"/>
      <c r="T565" s="3"/>
      <c r="U565" s="3"/>
      <c r="V565" s="3"/>
      <c r="W565" s="3"/>
      <c r="X565" s="3"/>
      <c r="Y565" s="3"/>
      <c r="Z565" s="3"/>
    </row>
    <row r="566" spans="1:26" customFormat="1" ht="12.75" x14ac:dyDescent="0.2">
      <c r="A566" s="246"/>
      <c r="B566" s="3"/>
      <c r="C566" s="362"/>
      <c r="D566" s="363">
        <f>$F$396</f>
        <v>1372.1483125058162</v>
      </c>
      <c r="E566" s="364">
        <f>$F$531</f>
        <v>53094452.597189017</v>
      </c>
      <c r="F566" s="364">
        <f>$H$393*1000/$F$10</f>
        <v>171.81461297828341</v>
      </c>
      <c r="G566" s="3"/>
      <c r="H566" s="362"/>
      <c r="I566" s="363">
        <f>$F$396</f>
        <v>1372.1483125058162</v>
      </c>
      <c r="J566" s="364">
        <f>$F$531</f>
        <v>53094452.597189017</v>
      </c>
      <c r="K566" s="364">
        <f>$H$393*1000/$F$10</f>
        <v>171.81461297828341</v>
      </c>
      <c r="L566" s="3"/>
      <c r="M566" s="3"/>
      <c r="N566" s="3"/>
      <c r="O566" s="3"/>
      <c r="P566" s="3"/>
      <c r="Q566" s="3"/>
      <c r="R566" s="3"/>
      <c r="S566" s="3"/>
      <c r="T566" s="3"/>
      <c r="U566" s="3"/>
      <c r="V566" s="3"/>
      <c r="W566" s="3"/>
      <c r="X566" s="3"/>
      <c r="Y566" s="3"/>
      <c r="Z566" s="3"/>
    </row>
    <row r="567" spans="1:26" customFormat="1" ht="12.75" x14ac:dyDescent="0.2">
      <c r="A567" s="246"/>
      <c r="B567" s="3"/>
      <c r="C567" s="382">
        <v>-0.03</v>
      </c>
      <c r="D567" s="621">
        <f t="dataTable" ref="D567:F574" dt2D="0" dtr="0" r1="F54" ca="1"/>
        <v>1451.7276415285398</v>
      </c>
      <c r="E567" s="622">
        <v>58314120.245435767</v>
      </c>
      <c r="F567" s="622">
        <v>184.51990164590754</v>
      </c>
      <c r="G567" s="3"/>
      <c r="H567" s="382">
        <v>-0.1</v>
      </c>
      <c r="I567" s="621">
        <f t="dataTable" ref="I567:K574" dt2D="0" dtr="0" r1="F77" ca="1"/>
        <v>1518.7197355760879</v>
      </c>
      <c r="J567" s="622">
        <v>66504967.369730353</v>
      </c>
      <c r="K567" s="622">
        <v>198.55601262381973</v>
      </c>
      <c r="L567" s="3"/>
      <c r="M567" s="3"/>
      <c r="N567" s="3"/>
      <c r="O567" s="3"/>
      <c r="P567" s="3"/>
      <c r="Q567" s="3"/>
      <c r="R567" s="3"/>
      <c r="S567" s="3"/>
      <c r="T567" s="3"/>
      <c r="U567" s="3"/>
      <c r="V567" s="3"/>
      <c r="W567" s="3"/>
      <c r="X567" s="3"/>
      <c r="Y567" s="3"/>
      <c r="Z567" s="3"/>
    </row>
    <row r="568" spans="1:26" customFormat="1" ht="12.75" x14ac:dyDescent="0.2">
      <c r="A568" s="246"/>
      <c r="B568" s="3"/>
      <c r="C568" s="383">
        <v>-0.02</v>
      </c>
      <c r="D568" s="613">
        <v>1426.2841946944222</v>
      </c>
      <c r="E568" s="614">
        <v>56647673.750254966</v>
      </c>
      <c r="F568" s="614">
        <v>180.32780132410269</v>
      </c>
      <c r="G568" s="3"/>
      <c r="H568" s="383">
        <v>-0.05</v>
      </c>
      <c r="I568" s="613">
        <v>1445.4340240409522</v>
      </c>
      <c r="J568" s="614">
        <v>59799709.983459681</v>
      </c>
      <c r="K568" s="614">
        <v>185.18531280105148</v>
      </c>
      <c r="L568" s="3"/>
      <c r="M568" s="3"/>
      <c r="N568" s="3"/>
      <c r="O568" s="3"/>
      <c r="P568" s="3"/>
      <c r="Q568" s="3"/>
      <c r="R568" s="3"/>
      <c r="S568" s="3"/>
      <c r="T568" s="3"/>
      <c r="U568" s="3"/>
      <c r="V568" s="3"/>
      <c r="W568" s="3"/>
      <c r="X568" s="3"/>
      <c r="Y568" s="3"/>
      <c r="Z568" s="3"/>
    </row>
    <row r="569" spans="1:26" customFormat="1" ht="12.75" x14ac:dyDescent="0.2">
      <c r="A569" s="246"/>
      <c r="B569" s="3"/>
      <c r="C569" s="384">
        <v>-0.01</v>
      </c>
      <c r="D569" s="615">
        <v>1399.7745693637619</v>
      </c>
      <c r="E569" s="616">
        <v>54908956.599612348</v>
      </c>
      <c r="F569" s="616">
        <v>176.09270510156108</v>
      </c>
      <c r="G569" s="3"/>
      <c r="H569" s="384">
        <v>-0.01</v>
      </c>
      <c r="I569" s="615">
        <v>1386.8054548128439</v>
      </c>
      <c r="J569" s="616">
        <v>54435504.074443147</v>
      </c>
      <c r="K569" s="616">
        <v>174.48875294283707</v>
      </c>
      <c r="L569" s="3"/>
      <c r="M569" s="3"/>
      <c r="N569" s="3"/>
      <c r="O569" s="3"/>
      <c r="P569" s="3"/>
      <c r="Q569" s="3"/>
      <c r="R569" s="3"/>
      <c r="S569" s="3"/>
      <c r="T569" s="3"/>
      <c r="U569" s="3"/>
      <c r="V569" s="3"/>
      <c r="W569" s="3"/>
      <c r="X569" s="3"/>
      <c r="Y569" s="3"/>
      <c r="Z569" s="3"/>
    </row>
    <row r="570" spans="1:26" customFormat="1" ht="12.75" x14ac:dyDescent="0.2">
      <c r="A570" s="246"/>
      <c r="B570" s="3"/>
      <c r="C570" s="602">
        <v>0</v>
      </c>
      <c r="D570" s="617">
        <v>1372.1483125058162</v>
      </c>
      <c r="E570" s="618">
        <v>53094452.597189017</v>
      </c>
      <c r="F570" s="618">
        <v>171.81461297828341</v>
      </c>
      <c r="G570" s="3"/>
      <c r="H570" s="602">
        <v>0</v>
      </c>
      <c r="I570" s="617">
        <v>1372.1483125058162</v>
      </c>
      <c r="J570" s="618">
        <v>53094452.597189017</v>
      </c>
      <c r="K570" s="618">
        <v>171.81461297828341</v>
      </c>
      <c r="L570" s="3"/>
      <c r="M570" s="3"/>
      <c r="N570" s="3"/>
      <c r="O570" s="3"/>
      <c r="P570" s="3"/>
      <c r="Q570" s="3"/>
      <c r="R570" s="3"/>
      <c r="S570" s="3"/>
      <c r="T570" s="3"/>
      <c r="U570" s="3"/>
      <c r="V570" s="3"/>
      <c r="W570" s="3"/>
      <c r="X570" s="3"/>
      <c r="Y570" s="3"/>
      <c r="Z570" s="3"/>
    </row>
    <row r="571" spans="1:26" customFormat="1" ht="12.75" x14ac:dyDescent="0.2">
      <c r="A571" s="246"/>
      <c r="B571" s="3"/>
      <c r="C571" s="383">
        <v>0.01</v>
      </c>
      <c r="D571" s="613">
        <v>1343.3526526073349</v>
      </c>
      <c r="E571" s="614">
        <v>51200480.791832499</v>
      </c>
      <c r="F571" s="614">
        <v>167.49352495426933</v>
      </c>
      <c r="G571" s="3"/>
      <c r="H571" s="383">
        <v>0.01</v>
      </c>
      <c r="I571" s="613">
        <v>1357.4911701987892</v>
      </c>
      <c r="J571" s="614">
        <v>51753401.119934872</v>
      </c>
      <c r="K571" s="614">
        <v>169.14047301372966</v>
      </c>
      <c r="L571" s="3"/>
      <c r="M571" s="3"/>
      <c r="N571" s="3"/>
      <c r="O571" s="3"/>
      <c r="P571" s="3"/>
      <c r="Q571" s="3"/>
      <c r="R571" s="3"/>
      <c r="S571" s="3"/>
      <c r="T571" s="3"/>
      <c r="U571" s="3"/>
      <c r="V571" s="3"/>
      <c r="W571" s="3"/>
      <c r="X571" s="3"/>
      <c r="Y571" s="3"/>
      <c r="Z571" s="3"/>
    </row>
    <row r="572" spans="1:26" customFormat="1" ht="12.75" x14ac:dyDescent="0.2">
      <c r="A572" s="246"/>
      <c r="B572" s="3"/>
      <c r="C572" s="383">
        <v>0.02</v>
      </c>
      <c r="D572" s="613">
        <v>1313.3324052520957</v>
      </c>
      <c r="E572" s="614">
        <v>49223188.674970977</v>
      </c>
      <c r="F572" s="614">
        <v>163.12944102951849</v>
      </c>
      <c r="G572" s="3"/>
      <c r="H572" s="702">
        <v>2.5000000000000001E-2</v>
      </c>
      <c r="I572" s="613">
        <v>1335.5054567382488</v>
      </c>
      <c r="J572" s="614">
        <v>49741823.904053695</v>
      </c>
      <c r="K572" s="614">
        <v>165.12926306689943</v>
      </c>
      <c r="L572" s="3"/>
      <c r="M572" s="3"/>
      <c r="N572" s="3"/>
      <c r="O572" s="3"/>
      <c r="P572" s="3"/>
      <c r="Q572" s="3"/>
      <c r="R572" s="3"/>
      <c r="S572" s="3"/>
      <c r="T572" s="3"/>
      <c r="U572" s="3"/>
      <c r="V572" s="3"/>
      <c r="W572" s="3"/>
      <c r="X572" s="3"/>
      <c r="Y572" s="3"/>
      <c r="Z572" s="3"/>
    </row>
    <row r="573" spans="1:26" customFormat="1" ht="12.75" x14ac:dyDescent="0.2">
      <c r="A573" s="246"/>
      <c r="B573" s="3"/>
      <c r="C573" s="383">
        <v>0.03</v>
      </c>
      <c r="D573" s="613">
        <v>1282.0298755193458</v>
      </c>
      <c r="E573" s="614">
        <v>47158545.146517627</v>
      </c>
      <c r="F573" s="614">
        <v>158.72236120403122</v>
      </c>
      <c r="G573" s="3"/>
      <c r="H573" s="383">
        <v>0.05</v>
      </c>
      <c r="I573" s="613">
        <v>1298.8626009706807</v>
      </c>
      <c r="J573" s="614">
        <v>46389195.210918345</v>
      </c>
      <c r="K573" s="614">
        <v>158.44391315551545</v>
      </c>
      <c r="L573" s="3"/>
      <c r="M573" s="3"/>
      <c r="N573" s="3"/>
      <c r="O573" s="3"/>
      <c r="P573" s="3"/>
      <c r="Q573" s="3"/>
      <c r="R573" s="3"/>
      <c r="S573" s="3"/>
      <c r="T573" s="3"/>
      <c r="U573" s="3"/>
      <c r="V573" s="3"/>
      <c r="W573" s="3"/>
      <c r="X573" s="3"/>
      <c r="Y573" s="3"/>
      <c r="Z573" s="3"/>
    </row>
    <row r="574" spans="1:26" customFormat="1" ht="12.75" x14ac:dyDescent="0.2">
      <c r="A574" s="246"/>
      <c r="B574" s="3"/>
      <c r="C574" s="388">
        <v>0.04</v>
      </c>
      <c r="D574" s="619">
        <v>1249.3847571190727</v>
      </c>
      <c r="E574" s="620">
        <v>45002333.243247285</v>
      </c>
      <c r="F574" s="620">
        <v>154.27228547780751</v>
      </c>
      <c r="G574" s="3"/>
      <c r="H574" s="388">
        <v>0.1</v>
      </c>
      <c r="I574" s="619">
        <v>1225.5768894355447</v>
      </c>
      <c r="J574" s="620">
        <v>39683937.824647643</v>
      </c>
      <c r="K574" s="620">
        <v>145.07321333274692</v>
      </c>
      <c r="L574" s="3"/>
      <c r="M574" s="3"/>
      <c r="N574" s="3"/>
      <c r="O574" s="3"/>
      <c r="P574" s="3"/>
      <c r="Q574" s="3"/>
      <c r="R574" s="3"/>
      <c r="S574" s="3"/>
      <c r="T574" s="3"/>
      <c r="U574" s="3"/>
      <c r="V574" s="3"/>
      <c r="W574" s="3"/>
      <c r="X574" s="3"/>
      <c r="Y574" s="3"/>
      <c r="Z574" s="3"/>
    </row>
    <row r="575" spans="1:26" customFormat="1" ht="12.75" x14ac:dyDescent="0.2">
      <c r="A575" s="246"/>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customFormat="1" ht="51" x14ac:dyDescent="0.2">
      <c r="A576" s="246"/>
      <c r="B576" s="3"/>
      <c r="C576" s="359" t="s">
        <v>997</v>
      </c>
      <c r="D576" s="360" t="s">
        <v>812</v>
      </c>
      <c r="E576" s="361" t="s">
        <v>813</v>
      </c>
      <c r="F576" s="361" t="s">
        <v>814</v>
      </c>
      <c r="G576" s="3"/>
      <c r="H576" s="359" t="s">
        <v>936</v>
      </c>
      <c r="I576" s="360" t="s">
        <v>812</v>
      </c>
      <c r="J576" s="361" t="s">
        <v>813</v>
      </c>
      <c r="K576" s="361" t="s">
        <v>814</v>
      </c>
      <c r="L576" s="3"/>
      <c r="M576" s="3"/>
      <c r="N576" s="3"/>
      <c r="O576" s="3"/>
      <c r="P576" s="3"/>
      <c r="Q576" s="3"/>
      <c r="R576" s="3"/>
      <c r="S576" s="3"/>
      <c r="T576" s="3"/>
      <c r="U576" s="3"/>
      <c r="V576" s="3"/>
      <c r="W576" s="3"/>
      <c r="X576" s="3"/>
      <c r="Y576" s="3"/>
      <c r="Z576" s="3"/>
    </row>
    <row r="577" spans="1:26" customFormat="1" ht="12.75" x14ac:dyDescent="0.2">
      <c r="A577" s="246"/>
      <c r="B577" s="3"/>
      <c r="C577" s="362"/>
      <c r="D577" s="363">
        <f>$F$396</f>
        <v>1372.1483125058162</v>
      </c>
      <c r="E577" s="364">
        <f>$F$531</f>
        <v>53094452.597189017</v>
      </c>
      <c r="F577" s="364">
        <f>$H$393*1000/$F$10</f>
        <v>171.81461297828341</v>
      </c>
      <c r="G577" s="3"/>
      <c r="H577" s="362"/>
      <c r="I577" s="363">
        <f>$F$396</f>
        <v>1372.1483125058162</v>
      </c>
      <c r="J577" s="364">
        <f>$F$531</f>
        <v>53094452.597189017</v>
      </c>
      <c r="K577" s="364">
        <f>$H$393*1000/$F$10</f>
        <v>171.81461297828341</v>
      </c>
      <c r="L577" s="3"/>
      <c r="M577" s="3"/>
      <c r="N577" s="3"/>
      <c r="O577" s="3"/>
      <c r="P577" s="3"/>
      <c r="Q577" s="3"/>
      <c r="R577" s="3"/>
      <c r="S577" s="3"/>
      <c r="T577" s="3"/>
      <c r="U577" s="3"/>
      <c r="V577" s="3"/>
      <c r="W577" s="3"/>
      <c r="X577" s="3"/>
      <c r="Y577" s="3"/>
      <c r="Z577" s="3"/>
    </row>
    <row r="578" spans="1:26" customFormat="1" ht="12.75" x14ac:dyDescent="0.2">
      <c r="A578" s="246"/>
      <c r="B578" s="3"/>
      <c r="C578" s="382">
        <v>-0.1</v>
      </c>
      <c r="D578" s="621">
        <f t="dataTable" ref="D578:F585" dt2D="0" dtr="0" r1="F92" ca="1"/>
        <v>942.02732812361523</v>
      </c>
      <c r="E578" s="622">
        <v>24098680.510033537</v>
      </c>
      <c r="F578" s="622">
        <v>98.563977156185743</v>
      </c>
      <c r="G578" s="3"/>
      <c r="H578" s="382">
        <v>-0.1</v>
      </c>
      <c r="I578" s="621">
        <f t="dataTable" ref="I578:K585" dt2D="0" dtr="0" r1="F76" ca="1"/>
        <v>1415.4708220972386</v>
      </c>
      <c r="J578" s="622">
        <v>55941474.886728607</v>
      </c>
      <c r="K578" s="622">
        <v>177.51316572679164</v>
      </c>
      <c r="L578" s="3"/>
      <c r="M578" s="3"/>
      <c r="N578" s="3"/>
      <c r="O578" s="3"/>
      <c r="P578" s="3"/>
      <c r="Q578" s="3"/>
      <c r="R578" s="3"/>
      <c r="S578" s="3"/>
      <c r="T578" s="3"/>
      <c r="U578" s="3"/>
      <c r="V578" s="3"/>
      <c r="W578" s="3"/>
      <c r="X578" s="3"/>
      <c r="Y578" s="3"/>
      <c r="Z578" s="3"/>
    </row>
    <row r="579" spans="1:26" customFormat="1" ht="12.75" x14ac:dyDescent="0.2">
      <c r="A579" s="246"/>
      <c r="B579" s="3"/>
      <c r="C579" s="383">
        <v>-0.05</v>
      </c>
      <c r="D579" s="613">
        <v>1157.0878203147163</v>
      </c>
      <c r="E579" s="614">
        <v>38596566.553611286</v>
      </c>
      <c r="F579" s="614">
        <v>135.18929506723461</v>
      </c>
      <c r="G579" s="3"/>
      <c r="H579" s="383">
        <v>-0.05</v>
      </c>
      <c r="I579" s="613">
        <v>1396.206734858896</v>
      </c>
      <c r="J579" s="614">
        <v>54680388.254811786</v>
      </c>
      <c r="K579" s="614">
        <v>174.73887030975482</v>
      </c>
      <c r="L579" s="3"/>
      <c r="M579" s="3"/>
      <c r="N579" s="3"/>
      <c r="O579" s="3"/>
      <c r="P579" s="3"/>
      <c r="Q579" s="3"/>
      <c r="R579" s="3"/>
      <c r="S579" s="3"/>
      <c r="T579" s="3"/>
      <c r="U579" s="3"/>
      <c r="V579" s="3"/>
      <c r="W579" s="3"/>
      <c r="X579" s="3"/>
      <c r="Y579" s="3"/>
      <c r="Z579" s="3"/>
    </row>
    <row r="580" spans="1:26" customFormat="1" ht="12.75" x14ac:dyDescent="0.2">
      <c r="A580" s="246"/>
      <c r="B580" s="3"/>
      <c r="C580" s="703">
        <v>-2.5000000000000001E-2</v>
      </c>
      <c r="D580" s="615">
        <v>1264.6180664102667</v>
      </c>
      <c r="E580" s="616">
        <v>45845509.575400122</v>
      </c>
      <c r="F580" s="616">
        <v>153.50195402275887</v>
      </c>
      <c r="G580" s="3"/>
      <c r="H580" s="703">
        <v>-2.5000000000000001E-2</v>
      </c>
      <c r="I580" s="615">
        <v>1384.8507410412078</v>
      </c>
      <c r="J580" s="616">
        <v>53933169.176991627</v>
      </c>
      <c r="K580" s="616">
        <v>173.29548688332329</v>
      </c>
      <c r="L580" s="3"/>
      <c r="M580" s="3"/>
      <c r="N580" s="3"/>
      <c r="O580" s="3"/>
      <c r="P580" s="3"/>
      <c r="Q580" s="3"/>
      <c r="R580" s="3"/>
      <c r="S580" s="3"/>
      <c r="T580" s="3"/>
      <c r="U580" s="3"/>
      <c r="V580" s="3"/>
      <c r="W580" s="3"/>
      <c r="X580" s="3"/>
      <c r="Y580" s="3"/>
      <c r="Z580" s="3"/>
    </row>
    <row r="581" spans="1:26" customFormat="1" ht="12.75" x14ac:dyDescent="0.2">
      <c r="A581" s="246"/>
      <c r="B581" s="3"/>
      <c r="C581" s="602">
        <v>0</v>
      </c>
      <c r="D581" s="617">
        <v>1372.1483125058162</v>
      </c>
      <c r="E581" s="618">
        <v>53094452.597189017</v>
      </c>
      <c r="F581" s="618">
        <v>171.81461297828341</v>
      </c>
      <c r="G581" s="3"/>
      <c r="H581" s="602">
        <v>0</v>
      </c>
      <c r="I581" s="617">
        <v>1372.1483125058162</v>
      </c>
      <c r="J581" s="618">
        <v>53094452.597189017</v>
      </c>
      <c r="K581" s="618">
        <v>171.81461297828341</v>
      </c>
      <c r="L581" s="3"/>
      <c r="M581" s="3"/>
      <c r="N581" s="3"/>
      <c r="O581" s="3"/>
      <c r="P581" s="3"/>
      <c r="Q581" s="3"/>
      <c r="R581" s="3"/>
      <c r="S581" s="3"/>
      <c r="T581" s="3"/>
      <c r="U581" s="3"/>
      <c r="V581" s="3"/>
      <c r="W581" s="3"/>
      <c r="X581" s="3"/>
      <c r="Y581" s="3"/>
      <c r="Z581" s="3"/>
    </row>
    <row r="582" spans="1:26" customFormat="1" ht="12.75" x14ac:dyDescent="0.2">
      <c r="A582" s="246"/>
      <c r="B582" s="3"/>
      <c r="C582" s="383">
        <v>0.01</v>
      </c>
      <c r="D582" s="613">
        <v>1415.1604109440366</v>
      </c>
      <c r="E582" s="614">
        <v>55994029.805904597</v>
      </c>
      <c r="F582" s="614">
        <v>179.13967656049294</v>
      </c>
      <c r="G582" s="3"/>
      <c r="H582" s="383">
        <v>0.01</v>
      </c>
      <c r="I582" s="613">
        <v>1366.6528507550979</v>
      </c>
      <c r="J582" s="614">
        <v>52730732.619973026</v>
      </c>
      <c r="K582" s="614">
        <v>171.21176608225693</v>
      </c>
      <c r="L582" s="3"/>
      <c r="M582" s="3"/>
      <c r="N582" s="3"/>
      <c r="O582" s="3"/>
      <c r="P582" s="3"/>
      <c r="Q582" s="3"/>
      <c r="R582" s="3"/>
      <c r="S582" s="3"/>
      <c r="T582" s="3"/>
      <c r="U582" s="3"/>
      <c r="V582" s="3"/>
      <c r="W582" s="3"/>
      <c r="X582" s="3"/>
      <c r="Y582" s="3"/>
      <c r="Z582" s="3"/>
    </row>
    <row r="583" spans="1:26" customFormat="1" ht="12.75" x14ac:dyDescent="0.2">
      <c r="A583" s="246"/>
      <c r="B583" s="3"/>
      <c r="C583" s="383">
        <v>2.5000000000000001E-2</v>
      </c>
      <c r="D583" s="613">
        <v>1479.6785586013661</v>
      </c>
      <c r="E583" s="614">
        <v>60343395.618977852</v>
      </c>
      <c r="F583" s="614">
        <v>190.12727193380749</v>
      </c>
      <c r="G583" s="3"/>
      <c r="H583" s="383">
        <v>2.5000000000000001E-2</v>
      </c>
      <c r="I583" s="613">
        <v>1357.9291497269194</v>
      </c>
      <c r="J583" s="614">
        <v>52152359.752349973</v>
      </c>
      <c r="K583" s="614">
        <v>170.29624859463487</v>
      </c>
      <c r="L583" s="3"/>
      <c r="M583" s="3"/>
      <c r="N583" s="3"/>
      <c r="O583" s="3"/>
      <c r="P583" s="3"/>
      <c r="Q583" s="3"/>
      <c r="R583" s="3"/>
      <c r="S583" s="3"/>
      <c r="T583" s="3"/>
      <c r="U583" s="3"/>
      <c r="V583" s="3"/>
      <c r="W583" s="3"/>
      <c r="X583" s="3"/>
      <c r="Y583" s="3"/>
      <c r="Z583" s="3"/>
    </row>
    <row r="584" spans="1:26" customFormat="1" ht="12.75" x14ac:dyDescent="0.2">
      <c r="A584" s="246"/>
      <c r="B584" s="3"/>
      <c r="C584" s="383">
        <v>0.05</v>
      </c>
      <c r="D584" s="613">
        <v>1587.208804696917</v>
      </c>
      <c r="E584" s="614">
        <v>67592338.640766814</v>
      </c>
      <c r="F584" s="614">
        <v>208.43993088933209</v>
      </c>
      <c r="G584" s="3"/>
      <c r="H584" s="383">
        <v>0.05</v>
      </c>
      <c r="I584" s="613">
        <v>1342.0027081128128</v>
      </c>
      <c r="J584" s="614">
        <v>51093572.415962197</v>
      </c>
      <c r="K584" s="614">
        <v>168.7403937323777</v>
      </c>
      <c r="L584" s="3"/>
      <c r="M584" s="3"/>
      <c r="N584" s="3"/>
      <c r="O584" s="3"/>
      <c r="P584" s="3"/>
      <c r="Q584" s="3"/>
      <c r="R584" s="3"/>
      <c r="S584" s="3"/>
      <c r="T584" s="3"/>
      <c r="U584" s="3"/>
      <c r="V584" s="3"/>
      <c r="W584" s="3"/>
      <c r="X584" s="3"/>
      <c r="Y584" s="3"/>
      <c r="Z584" s="3"/>
    </row>
    <row r="585" spans="1:26" customFormat="1" ht="12.75" x14ac:dyDescent="0.2">
      <c r="A585" s="246"/>
      <c r="B585" s="3"/>
      <c r="C585" s="388">
        <v>0.1</v>
      </c>
      <c r="D585" s="619">
        <v>1802.2692968880187</v>
      </c>
      <c r="E585" s="620">
        <v>82090224.68434459</v>
      </c>
      <c r="F585" s="620">
        <v>245.06524880038126</v>
      </c>
      <c r="G585" s="3"/>
      <c r="H585" s="388">
        <v>0.1</v>
      </c>
      <c r="I585" s="619">
        <v>1304.1518194677953</v>
      </c>
      <c r="J585" s="620">
        <v>48564523.69567281</v>
      </c>
      <c r="K585" s="620">
        <v>165.5162125720374</v>
      </c>
      <c r="L585" s="3"/>
      <c r="M585" s="3"/>
      <c r="N585" s="3"/>
      <c r="O585" s="3"/>
      <c r="P585" s="3"/>
      <c r="Q585" s="3"/>
      <c r="R585" s="3"/>
      <c r="S585" s="3"/>
      <c r="T585" s="3"/>
      <c r="U585" s="3"/>
      <c r="V585" s="3"/>
      <c r="W585" s="3"/>
      <c r="X585" s="3"/>
      <c r="Y585" s="3"/>
      <c r="Z585" s="3"/>
    </row>
    <row r="586" spans="1:26" customFormat="1" ht="12.75" x14ac:dyDescent="0.2">
      <c r="A586" s="246"/>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customFormat="1" ht="63.75" x14ac:dyDescent="0.2">
      <c r="A587" s="246"/>
      <c r="B587" s="3"/>
      <c r="C587" s="359" t="s">
        <v>998</v>
      </c>
      <c r="D587" s="360" t="s">
        <v>812</v>
      </c>
      <c r="E587" s="361" t="s">
        <v>813</v>
      </c>
      <c r="F587" s="361" t="s">
        <v>814</v>
      </c>
      <c r="G587" s="3"/>
      <c r="H587" s="359" t="s">
        <v>999</v>
      </c>
      <c r="I587" s="360" t="s">
        <v>812</v>
      </c>
      <c r="J587" s="361" t="s">
        <v>813</v>
      </c>
      <c r="K587" s="361" t="s">
        <v>814</v>
      </c>
      <c r="L587" s="3"/>
      <c r="M587" s="3"/>
      <c r="N587" s="3"/>
      <c r="O587" s="3"/>
      <c r="P587" s="3"/>
      <c r="Q587" s="3"/>
      <c r="R587" s="3"/>
      <c r="S587" s="3"/>
      <c r="T587" s="3"/>
      <c r="U587" s="3"/>
      <c r="V587" s="3"/>
      <c r="W587" s="3"/>
      <c r="X587" s="3"/>
      <c r="Y587" s="3"/>
      <c r="Z587" s="3"/>
    </row>
    <row r="588" spans="1:26" customFormat="1" ht="12.75" x14ac:dyDescent="0.2">
      <c r="A588" s="246"/>
      <c r="B588" s="3"/>
      <c r="C588" s="362"/>
      <c r="D588" s="363">
        <f>$F$396</f>
        <v>1372.1483125058162</v>
      </c>
      <c r="E588" s="364">
        <f>$F$531</f>
        <v>53094452.597189017</v>
      </c>
      <c r="F588" s="364">
        <f>$H$393*1000/$F$10</f>
        <v>171.81461297828341</v>
      </c>
      <c r="G588" s="3"/>
      <c r="H588" s="362"/>
      <c r="I588" s="363">
        <f>$F$396</f>
        <v>1372.1483125058162</v>
      </c>
      <c r="J588" s="364">
        <f>$F$531</f>
        <v>53094452.597189017</v>
      </c>
      <c r="K588" s="364">
        <f>$H$393*1000/$F$10</f>
        <v>171.81461297828341</v>
      </c>
      <c r="L588" s="3"/>
      <c r="M588" s="3"/>
      <c r="N588" s="3"/>
      <c r="O588" s="3"/>
      <c r="P588" s="3"/>
      <c r="Q588" s="3"/>
      <c r="R588" s="3"/>
      <c r="S588" s="3"/>
      <c r="T588" s="3"/>
      <c r="U588" s="3"/>
      <c r="V588" s="3"/>
      <c r="W588" s="3"/>
      <c r="X588" s="3"/>
      <c r="Y588" s="3"/>
      <c r="Z588" s="3"/>
    </row>
    <row r="589" spans="1:26" customFormat="1" ht="12.75" x14ac:dyDescent="0.2">
      <c r="A589" s="246"/>
      <c r="B589" s="3"/>
      <c r="C589" s="382">
        <v>-0.02</v>
      </c>
      <c r="D589" s="621">
        <f t="dataTable" ref="D589:F595" dt2D="0" dtr="0" r1="F35" ca="1"/>
        <v>1760.9036024600725</v>
      </c>
      <c r="E589" s="622">
        <v>79827722.845675021</v>
      </c>
      <c r="F589" s="622">
        <v>214.87483911162539</v>
      </c>
      <c r="G589" s="3"/>
      <c r="H589" s="382">
        <v>-0.02</v>
      </c>
      <c r="I589" s="621">
        <f t="dataTable" ref="I589:K595" dt2D="0" dtr="0" r1="I36" ca="1"/>
        <v>181.28305413307345</v>
      </c>
      <c r="J589" s="622">
        <v>-28882549.163902864</v>
      </c>
      <c r="K589" s="622">
        <v>43.29374741961847</v>
      </c>
      <c r="L589" s="3"/>
      <c r="M589" s="3"/>
      <c r="N589" s="3"/>
      <c r="O589" s="3"/>
      <c r="P589" s="3"/>
      <c r="Q589" s="3"/>
      <c r="R589" s="3"/>
      <c r="S589" s="3"/>
      <c r="T589" s="3"/>
      <c r="U589" s="3"/>
      <c r="V589" s="3"/>
      <c r="W589" s="3"/>
      <c r="X589" s="3"/>
      <c r="Y589" s="3"/>
      <c r="Z589" s="3"/>
    </row>
    <row r="590" spans="1:26" customFormat="1" ht="12.75" x14ac:dyDescent="0.2">
      <c r="A590" s="246"/>
      <c r="B590" s="3"/>
      <c r="C590" s="383">
        <v>-0.01</v>
      </c>
      <c r="D590" s="613">
        <v>1682.856301969478</v>
      </c>
      <c r="E590" s="614">
        <v>74476355.99871546</v>
      </c>
      <c r="F590" s="614">
        <v>205.41088341113741</v>
      </c>
      <c r="G590" s="3"/>
      <c r="H590" s="383">
        <v>0</v>
      </c>
      <c r="I590" s="613">
        <v>542.11698305483742</v>
      </c>
      <c r="J590" s="614">
        <v>-4112164.5821905476</v>
      </c>
      <c r="K590" s="614">
        <v>85.260574407056069</v>
      </c>
      <c r="L590" s="3"/>
      <c r="M590" s="3"/>
      <c r="N590" s="3"/>
      <c r="O590" s="3"/>
      <c r="P590" s="3"/>
      <c r="Q590" s="3"/>
      <c r="R590" s="3"/>
      <c r="S590" s="3"/>
      <c r="T590" s="3"/>
      <c r="U590" s="3"/>
      <c r="V590" s="3"/>
      <c r="W590" s="3"/>
      <c r="X590" s="3"/>
      <c r="Y590" s="3"/>
      <c r="Z590" s="3"/>
    </row>
    <row r="591" spans="1:26" customFormat="1" ht="12.75" x14ac:dyDescent="0.2">
      <c r="A591" s="246"/>
      <c r="B591" s="3"/>
      <c r="C591" s="384">
        <v>0</v>
      </c>
      <c r="D591" s="615">
        <v>1602.8135750674426</v>
      </c>
      <c r="E591" s="616">
        <v>68972931.622600347</v>
      </c>
      <c r="F591" s="616">
        <v>196.48560636829393</v>
      </c>
      <c r="G591" s="3"/>
      <c r="H591" s="384">
        <v>0.02</v>
      </c>
      <c r="I591" s="615">
        <v>938.67325778725581</v>
      </c>
      <c r="J591" s="616">
        <v>23178346.903447628</v>
      </c>
      <c r="K591" s="616">
        <v>128.10086292661131</v>
      </c>
      <c r="L591" s="3"/>
      <c r="M591" s="3"/>
      <c r="N591" s="3"/>
      <c r="O591" s="3"/>
      <c r="P591" s="3"/>
      <c r="Q591" s="3"/>
      <c r="R591" s="3"/>
      <c r="S591" s="3"/>
      <c r="T591" s="3"/>
      <c r="U591" s="3"/>
      <c r="V591" s="3"/>
      <c r="W591" s="3"/>
      <c r="X591" s="3"/>
      <c r="Y591" s="3"/>
      <c r="Z591" s="3"/>
    </row>
    <row r="592" spans="1:26" customFormat="1" ht="12.75" x14ac:dyDescent="0.2">
      <c r="A592" s="246"/>
      <c r="B592" s="3"/>
      <c r="C592" s="717">
        <v>0.01</v>
      </c>
      <c r="D592" s="613">
        <v>1516.5673078063469</v>
      </c>
      <c r="E592" s="614">
        <v>63045838.451072238</v>
      </c>
      <c r="F592" s="614">
        <v>186.82948913074011</v>
      </c>
      <c r="G592" s="3"/>
      <c r="H592" s="602">
        <v>0.04</v>
      </c>
      <c r="I592" s="617">
        <v>1372.1483125058162</v>
      </c>
      <c r="J592" s="618">
        <v>53094452.597189017</v>
      </c>
      <c r="K592" s="618">
        <v>171.81461297828341</v>
      </c>
      <c r="L592" s="3"/>
      <c r="M592" s="3"/>
      <c r="N592" s="3"/>
      <c r="O592" s="3"/>
      <c r="P592" s="3"/>
      <c r="Q592" s="3"/>
      <c r="R592" s="3"/>
      <c r="S592" s="3"/>
      <c r="T592" s="3"/>
      <c r="U592" s="3"/>
      <c r="V592" s="3"/>
      <c r="W592" s="3"/>
      <c r="X592" s="3"/>
      <c r="Y592" s="3"/>
      <c r="Z592" s="3"/>
    </row>
    <row r="593" spans="1:26" customFormat="1" ht="12.75" x14ac:dyDescent="0.2">
      <c r="A593" s="246"/>
      <c r="B593" s="3"/>
      <c r="C593" s="387">
        <v>2.5999999999999999E-2</v>
      </c>
      <c r="D593" s="617">
        <v>1372.1483125058162</v>
      </c>
      <c r="E593" s="618">
        <v>53094452.597189017</v>
      </c>
      <c r="F593" s="618">
        <v>171.81461297828341</v>
      </c>
      <c r="G593" s="3"/>
      <c r="H593" s="383">
        <v>0.06</v>
      </c>
      <c r="I593" s="613">
        <v>1846.2648775388129</v>
      </c>
      <c r="J593" s="614">
        <v>85908493.821443319</v>
      </c>
      <c r="K593" s="614">
        <v>215.76706513589534</v>
      </c>
      <c r="L593" s="3"/>
      <c r="M593" s="3"/>
      <c r="N593" s="3"/>
      <c r="O593" s="3"/>
      <c r="P593" s="3"/>
      <c r="Q593" s="3"/>
      <c r="R593" s="3"/>
      <c r="S593" s="3"/>
      <c r="T593" s="3"/>
      <c r="U593" s="3"/>
      <c r="V593" s="3"/>
      <c r="W593" s="3"/>
      <c r="X593" s="3"/>
      <c r="Y593" s="3"/>
      <c r="Z593" s="3"/>
    </row>
    <row r="594" spans="1:26" customFormat="1" ht="12.75" x14ac:dyDescent="0.2">
      <c r="A594" s="246"/>
      <c r="B594" s="3"/>
      <c r="C594" s="383">
        <v>0.03</v>
      </c>
      <c r="D594" s="613">
        <v>1334.3001157349031</v>
      </c>
      <c r="E594" s="614">
        <v>50482515.136830851</v>
      </c>
      <c r="F594" s="614">
        <v>167.86377177621159</v>
      </c>
      <c r="G594" s="3"/>
      <c r="H594" s="383">
        <v>0.08</v>
      </c>
      <c r="I594" s="613">
        <v>2366.9657908505246</v>
      </c>
      <c r="J594" s="614">
        <v>122032633.06506269</v>
      </c>
      <c r="K594" s="614">
        <v>261.22773825180099</v>
      </c>
      <c r="L594" s="3"/>
      <c r="M594" s="3"/>
      <c r="N594" s="3"/>
      <c r="O594" s="3"/>
      <c r="P594" s="3"/>
      <c r="Q594" s="3"/>
      <c r="R594" s="3"/>
      <c r="S594" s="3"/>
      <c r="T594" s="3"/>
      <c r="U594" s="3"/>
      <c r="V594" s="3"/>
      <c r="W594" s="3"/>
      <c r="X594" s="3"/>
      <c r="Y594" s="3"/>
      <c r="Z594" s="3"/>
    </row>
    <row r="595" spans="1:26" customFormat="1" ht="12.75" x14ac:dyDescent="0.2">
      <c r="A595" s="246"/>
      <c r="B595" s="3"/>
      <c r="C595" s="388">
        <v>0.04</v>
      </c>
      <c r="D595" s="619">
        <v>1237.4119590266364</v>
      </c>
      <c r="E595" s="620">
        <v>43788572.469865583</v>
      </c>
      <c r="F595" s="620">
        <v>158.55417165923669</v>
      </c>
      <c r="G595" s="3"/>
      <c r="H595" s="388">
        <v>0.1</v>
      </c>
      <c r="I595" s="619">
        <v>2798.9477395947474</v>
      </c>
      <c r="J595" s="620">
        <v>151201538.96821123</v>
      </c>
      <c r="K595" s="620">
        <v>306.92711347364656</v>
      </c>
      <c r="L595" s="3"/>
      <c r="M595" s="3"/>
      <c r="N595" s="117"/>
      <c r="O595" s="3"/>
      <c r="P595" s="3"/>
      <c r="Q595" s="3"/>
      <c r="R595" s="3"/>
      <c r="S595" s="3"/>
      <c r="T595" s="3"/>
      <c r="U595" s="3"/>
      <c r="V595" s="3"/>
      <c r="W595" s="3"/>
      <c r="X595" s="3"/>
      <c r="Y595" s="3"/>
      <c r="Z595" s="3"/>
    </row>
    <row r="596" spans="1:26" customFormat="1" ht="12.75" x14ac:dyDescent="0.2">
      <c r="A596" s="246"/>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customFormat="1" ht="51" x14ac:dyDescent="0.2">
      <c r="A597" s="246"/>
      <c r="B597" s="3"/>
      <c r="C597" s="359" t="s">
        <v>935</v>
      </c>
      <c r="D597" s="360" t="s">
        <v>812</v>
      </c>
      <c r="E597" s="361" t="s">
        <v>813</v>
      </c>
      <c r="F597" s="361" t="s">
        <v>814</v>
      </c>
      <c r="G597" s="3"/>
      <c r="H597" s="359" t="s">
        <v>948</v>
      </c>
      <c r="I597" s="360" t="s">
        <v>812</v>
      </c>
      <c r="J597" s="361" t="s">
        <v>813</v>
      </c>
      <c r="K597" s="361" t="s">
        <v>814</v>
      </c>
      <c r="L597" s="3"/>
      <c r="M597" s="3"/>
      <c r="N597" s="3"/>
      <c r="O597" s="3"/>
      <c r="P597" s="3"/>
      <c r="Q597" s="3"/>
      <c r="R597" s="3"/>
      <c r="S597" s="3"/>
      <c r="T597" s="3"/>
      <c r="U597" s="3"/>
      <c r="V597" s="3"/>
      <c r="W597" s="3"/>
      <c r="X597" s="3"/>
      <c r="Y597" s="3"/>
      <c r="Z597" s="3"/>
    </row>
    <row r="598" spans="1:26" customFormat="1" ht="12.75" x14ac:dyDescent="0.2">
      <c r="A598" s="246"/>
      <c r="B598" s="3"/>
      <c r="C598" s="362"/>
      <c r="D598" s="363">
        <f>$F$396</f>
        <v>1372.1483125058162</v>
      </c>
      <c r="E598" s="364">
        <f>$F$531</f>
        <v>53094452.597189017</v>
      </c>
      <c r="F598" s="364">
        <f>$H$393*1000/$F$10</f>
        <v>171.81461297828341</v>
      </c>
      <c r="G598" s="3"/>
      <c r="H598" s="362"/>
      <c r="I598" s="363">
        <f>$F$396</f>
        <v>1372.1483125058162</v>
      </c>
      <c r="J598" s="364">
        <f>$F$531</f>
        <v>53094452.597189017</v>
      </c>
      <c r="K598" s="364">
        <f>$H$393*1000/$F$10</f>
        <v>171.81461297828341</v>
      </c>
      <c r="L598" s="3"/>
      <c r="M598" s="3"/>
      <c r="N598" s="3"/>
      <c r="O598" s="3"/>
      <c r="P598" s="3"/>
      <c r="Q598" s="3"/>
      <c r="R598" s="3"/>
      <c r="S598" s="3"/>
      <c r="T598" s="3"/>
      <c r="U598" s="3"/>
      <c r="V598" s="3"/>
      <c r="W598" s="3"/>
      <c r="X598" s="3"/>
      <c r="Y598" s="3"/>
      <c r="Z598" s="3"/>
    </row>
    <row r="599" spans="1:26" customFormat="1" ht="12.75" x14ac:dyDescent="0.2">
      <c r="A599" s="246"/>
      <c r="B599" s="3"/>
      <c r="C599" s="604">
        <v>3</v>
      </c>
      <c r="D599" s="613">
        <f t="dataTable" ref="D599:F604" dt2D="0" dtr="0" r1="I32" ca="1"/>
        <v>1186.271475492086</v>
      </c>
      <c r="E599" s="614">
        <v>39538528.294795275</v>
      </c>
      <c r="F599" s="614">
        <v>171.81461297828341</v>
      </c>
      <c r="G599" s="3"/>
      <c r="H599" s="706">
        <v>-0.4</v>
      </c>
      <c r="I599" s="613">
        <f t="dataTable" ref="I599:K604" dt2D="0" dtr="0" r1="I115" ca="1"/>
        <v>1372.1483125058162</v>
      </c>
      <c r="J599" s="614">
        <v>29271256.986798037</v>
      </c>
      <c r="K599" s="614">
        <v>171.81461297828341</v>
      </c>
      <c r="L599" s="3"/>
      <c r="M599" s="3"/>
      <c r="N599" s="3"/>
      <c r="O599" s="3"/>
      <c r="P599" s="3"/>
      <c r="Q599" s="3"/>
      <c r="R599" s="3"/>
      <c r="S599" s="3"/>
      <c r="T599" s="3"/>
      <c r="U599" s="3"/>
      <c r="V599" s="3"/>
      <c r="W599" s="3"/>
      <c r="X599" s="3"/>
      <c r="Y599" s="3"/>
      <c r="Z599" s="3"/>
    </row>
    <row r="600" spans="1:26" customFormat="1" ht="12.75" x14ac:dyDescent="0.2">
      <c r="A600" s="246"/>
      <c r="B600" s="3"/>
      <c r="C600" s="604">
        <v>3.5</v>
      </c>
      <c r="D600" s="613">
        <v>1366.0138568737455</v>
      </c>
      <c r="E600" s="614">
        <v>52622142.564214416</v>
      </c>
      <c r="F600" s="614">
        <v>171.81461297828341</v>
      </c>
      <c r="G600" s="3"/>
      <c r="H600" s="706">
        <v>-0.2</v>
      </c>
      <c r="I600" s="613">
        <v>1372.1483125058162</v>
      </c>
      <c r="J600" s="614">
        <v>41182854.791993521</v>
      </c>
      <c r="K600" s="614">
        <v>171.81461297828341</v>
      </c>
      <c r="L600" s="3"/>
      <c r="M600" s="3"/>
      <c r="N600" s="3"/>
      <c r="O600" s="3"/>
      <c r="P600" s="3"/>
      <c r="Q600" s="3"/>
      <c r="R600" s="3"/>
      <c r="S600" s="3"/>
      <c r="T600" s="3"/>
      <c r="U600" s="3"/>
      <c r="V600" s="3"/>
      <c r="W600" s="3"/>
      <c r="X600" s="3"/>
      <c r="Y600" s="3"/>
      <c r="Z600" s="3"/>
    </row>
    <row r="601" spans="1:26" customFormat="1" ht="12.75" x14ac:dyDescent="0.2">
      <c r="A601" s="246"/>
      <c r="B601" s="3"/>
      <c r="C601" s="605">
        <v>4</v>
      </c>
      <c r="D601" s="615">
        <v>1372.1483125058162</v>
      </c>
      <c r="E601" s="616">
        <v>53094452.597189017</v>
      </c>
      <c r="F601" s="616">
        <v>171.81461297828341</v>
      </c>
      <c r="G601" s="3"/>
      <c r="H601" s="705">
        <v>-0.1</v>
      </c>
      <c r="I601" s="615">
        <v>1372.1483125058162</v>
      </c>
      <c r="J601" s="616">
        <v>47138653.694591284</v>
      </c>
      <c r="K601" s="616">
        <v>171.81461297828341</v>
      </c>
      <c r="L601" s="3"/>
      <c r="M601" s="3"/>
      <c r="N601" s="3"/>
      <c r="O601" s="3"/>
      <c r="P601" s="3"/>
      <c r="Q601" s="3"/>
      <c r="R601" s="3"/>
      <c r="S601" s="3"/>
      <c r="T601" s="3"/>
      <c r="U601" s="3"/>
      <c r="V601" s="3"/>
      <c r="W601" s="3"/>
      <c r="X601" s="3"/>
      <c r="Y601" s="3"/>
      <c r="Z601" s="3"/>
    </row>
    <row r="602" spans="1:26" customFormat="1" ht="12.75" x14ac:dyDescent="0.2">
      <c r="A602" s="246"/>
      <c r="B602" s="3"/>
      <c r="C602" s="606">
        <v>5</v>
      </c>
      <c r="D602" s="617">
        <v>1372.1483125058162</v>
      </c>
      <c r="E602" s="618">
        <v>53094452.597189017</v>
      </c>
      <c r="F602" s="618">
        <v>171.81461297828341</v>
      </c>
      <c r="G602" s="3"/>
      <c r="H602" s="704">
        <v>0</v>
      </c>
      <c r="I602" s="617">
        <v>1372.1483125058162</v>
      </c>
      <c r="J602" s="618">
        <v>53094452.597189017</v>
      </c>
      <c r="K602" s="618">
        <v>171.81461297828341</v>
      </c>
      <c r="L602" s="3"/>
      <c r="M602" s="3"/>
      <c r="N602" s="3"/>
      <c r="O602" s="3"/>
      <c r="P602" s="3"/>
      <c r="Q602" s="3"/>
      <c r="R602" s="3"/>
      <c r="S602" s="3"/>
      <c r="T602" s="3"/>
      <c r="U602" s="3"/>
      <c r="V602" s="3"/>
      <c r="W602" s="3"/>
      <c r="X602" s="3"/>
      <c r="Y602" s="3"/>
      <c r="Z602" s="3"/>
    </row>
    <row r="603" spans="1:26" customFormat="1" ht="12.75" x14ac:dyDescent="0.2">
      <c r="A603" s="246"/>
      <c r="B603" s="3"/>
      <c r="C603" s="604">
        <v>6</v>
      </c>
      <c r="D603" s="613">
        <v>1372.1483125058162</v>
      </c>
      <c r="E603" s="614">
        <v>53094452.597189017</v>
      </c>
      <c r="F603" s="614">
        <v>171.81461297828341</v>
      </c>
      <c r="G603" s="3"/>
      <c r="H603" s="706">
        <v>0.1</v>
      </c>
      <c r="I603" s="613">
        <v>1372.1483125058162</v>
      </c>
      <c r="J603" s="614">
        <v>59050251.499786764</v>
      </c>
      <c r="K603" s="614">
        <v>171.81461297828341</v>
      </c>
      <c r="L603" s="3"/>
      <c r="M603" s="3"/>
      <c r="N603" s="3"/>
      <c r="O603" s="3"/>
      <c r="P603" s="3"/>
      <c r="Q603" s="3"/>
      <c r="R603" s="3"/>
      <c r="S603" s="3"/>
      <c r="T603" s="3"/>
      <c r="U603" s="3"/>
      <c r="V603" s="3"/>
      <c r="W603" s="3"/>
      <c r="X603" s="3"/>
      <c r="Y603" s="3"/>
      <c r="Z603" s="3"/>
    </row>
    <row r="604" spans="1:26" customFormat="1" ht="12.75" x14ac:dyDescent="0.2">
      <c r="A604" s="246"/>
      <c r="B604" s="3"/>
      <c r="C604" s="607">
        <v>8</v>
      </c>
      <c r="D604" s="619">
        <v>1372.1483125058162</v>
      </c>
      <c r="E604" s="620">
        <v>53094452.597189017</v>
      </c>
      <c r="F604" s="620">
        <v>171.81461297828341</v>
      </c>
      <c r="G604" s="3"/>
      <c r="H604" s="707">
        <v>0.2</v>
      </c>
      <c r="I604" s="619">
        <v>1372.1483125058162</v>
      </c>
      <c r="J604" s="620">
        <v>65006050.40238449</v>
      </c>
      <c r="K604" s="620">
        <v>171.81461297828341</v>
      </c>
      <c r="L604" s="3"/>
      <c r="M604" s="3"/>
      <c r="N604" s="3"/>
      <c r="O604" s="3"/>
      <c r="P604" s="3"/>
      <c r="Q604" s="3"/>
      <c r="R604" s="3"/>
      <c r="S604" s="3"/>
      <c r="T604" s="3"/>
      <c r="U604" s="3"/>
      <c r="V604" s="3"/>
      <c r="W604" s="3"/>
      <c r="X604" s="3"/>
      <c r="Y604" s="3"/>
      <c r="Z604" s="3"/>
    </row>
    <row r="605" spans="1:26" customFormat="1" ht="12.75" x14ac:dyDescent="0.2">
      <c r="A605" s="246"/>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customFormat="1" ht="51.75" customHeight="1" x14ac:dyDescent="0.2">
      <c r="A606" s="246"/>
      <c r="B606" s="3"/>
      <c r="C606" s="359" t="s">
        <v>171</v>
      </c>
      <c r="D606" s="662" t="s">
        <v>812</v>
      </c>
      <c r="E606" s="361" t="s">
        <v>813</v>
      </c>
      <c r="F606" s="657" t="s">
        <v>814</v>
      </c>
      <c r="G606" s="3"/>
      <c r="H606" s="359" t="s">
        <v>939</v>
      </c>
      <c r="I606" s="662" t="s">
        <v>812</v>
      </c>
      <c r="J606" s="361" t="s">
        <v>813</v>
      </c>
      <c r="K606" s="657" t="s">
        <v>814</v>
      </c>
      <c r="L606" s="3"/>
      <c r="M606" s="3"/>
      <c r="N606" s="3"/>
      <c r="O606" s="3"/>
      <c r="P606" s="3"/>
      <c r="Q606" s="3"/>
      <c r="R606" s="3"/>
      <c r="S606" s="3"/>
      <c r="T606" s="3"/>
      <c r="U606" s="3"/>
      <c r="V606" s="3"/>
      <c r="W606" s="3"/>
      <c r="X606" s="3"/>
      <c r="Y606" s="3"/>
      <c r="Z606" s="3"/>
    </row>
    <row r="607" spans="1:26" customFormat="1" ht="12.75" x14ac:dyDescent="0.2">
      <c r="A607" s="246"/>
      <c r="B607" s="3"/>
      <c r="C607" s="362"/>
      <c r="D607" s="363">
        <f>$F$396</f>
        <v>1372.1483125058162</v>
      </c>
      <c r="E607" s="364">
        <f>$F$531</f>
        <v>53094452.597189017</v>
      </c>
      <c r="F607" s="364">
        <f>$H$393*1000/$F$10</f>
        <v>171.81461297828341</v>
      </c>
      <c r="G607" s="3"/>
      <c r="H607" s="362"/>
      <c r="I607" s="363">
        <f>$F$396</f>
        <v>1372.1483125058162</v>
      </c>
      <c r="J607" s="364">
        <f>$F$531</f>
        <v>53094452.597189017</v>
      </c>
      <c r="K607" s="364">
        <f>$H$393*1000/$F$10</f>
        <v>171.81461297828341</v>
      </c>
      <c r="L607" s="3"/>
      <c r="M607" s="3"/>
      <c r="N607" s="3"/>
      <c r="O607" s="3"/>
      <c r="P607" s="3"/>
      <c r="Q607" s="3"/>
      <c r="R607" s="3"/>
      <c r="S607" s="3"/>
      <c r="T607" s="3"/>
      <c r="U607" s="3"/>
      <c r="V607" s="3"/>
      <c r="W607" s="3"/>
      <c r="X607" s="3"/>
      <c r="Y607" s="3"/>
      <c r="Z607" s="3"/>
    </row>
    <row r="608" spans="1:26" customFormat="1" ht="12.75" x14ac:dyDescent="0.2">
      <c r="A608" s="246"/>
      <c r="B608" s="3"/>
      <c r="C608" s="383">
        <v>0.5</v>
      </c>
      <c r="D608" s="663">
        <f t="dataTable" ref="D608:F613" dt2D="0" dtr="0" r1="I108" ca="1"/>
        <v>1372.1483125058162</v>
      </c>
      <c r="E608" s="614">
        <v>26624235.252310153</v>
      </c>
      <c r="F608" s="658">
        <v>171.81461297828341</v>
      </c>
      <c r="G608" s="3"/>
      <c r="H608" s="383">
        <v>-0.3</v>
      </c>
      <c r="I608" s="663">
        <f t="dataTable" ref="I608:K614" dt2D="0" dtr="0" r1="I112" ca="1"/>
        <v>1372.1483125058162</v>
      </c>
      <c r="J608" s="614">
        <v>55033513.525825538</v>
      </c>
      <c r="K608" s="658">
        <v>171.81461297828341</v>
      </c>
      <c r="L608" s="3"/>
      <c r="M608" s="3"/>
      <c r="N608" s="3"/>
      <c r="O608" s="3"/>
      <c r="P608" s="3"/>
      <c r="Q608" s="3"/>
      <c r="R608" s="3"/>
      <c r="S608" s="3"/>
      <c r="T608" s="3"/>
      <c r="U608" s="3"/>
      <c r="V608" s="3"/>
      <c r="W608" s="3"/>
      <c r="X608" s="3"/>
      <c r="Y608" s="3"/>
      <c r="Z608" s="3"/>
    </row>
    <row r="609" spans="1:26" customFormat="1" ht="12.75" x14ac:dyDescent="0.2">
      <c r="A609" s="246"/>
      <c r="B609" s="3"/>
      <c r="C609" s="383">
        <v>0.6</v>
      </c>
      <c r="D609" s="663">
        <v>1372.1483125058162</v>
      </c>
      <c r="E609" s="614">
        <v>33241789.588529862</v>
      </c>
      <c r="F609" s="658">
        <v>171.81461297828341</v>
      </c>
      <c r="G609" s="3"/>
      <c r="H609" s="383">
        <v>-0.2</v>
      </c>
      <c r="I609" s="663">
        <v>1372.1483125058162</v>
      </c>
      <c r="J609" s="614">
        <v>54387159.8829467</v>
      </c>
      <c r="K609" s="658">
        <v>171.81461297828341</v>
      </c>
      <c r="L609" s="3"/>
      <c r="M609" s="3"/>
      <c r="N609" s="3"/>
      <c r="O609" s="3"/>
      <c r="P609" s="3"/>
      <c r="Q609" s="3"/>
      <c r="R609" s="3"/>
      <c r="S609" s="3"/>
      <c r="T609" s="3"/>
      <c r="U609" s="3"/>
      <c r="V609" s="3"/>
      <c r="W609" s="3"/>
      <c r="X609" s="3"/>
      <c r="Y609" s="3"/>
      <c r="Z609" s="3"/>
    </row>
    <row r="610" spans="1:26" customFormat="1" ht="12.75" x14ac:dyDescent="0.2">
      <c r="A610" s="246"/>
      <c r="B610" s="3"/>
      <c r="C610" s="383">
        <v>0.7</v>
      </c>
      <c r="D610" s="664">
        <v>1372.1483125058162</v>
      </c>
      <c r="E610" s="616">
        <v>39859343.924749568</v>
      </c>
      <c r="F610" s="659">
        <v>171.81461297828341</v>
      </c>
      <c r="G610" s="3"/>
      <c r="H610" s="384">
        <v>-0.1</v>
      </c>
      <c r="I610" s="664">
        <v>1372.1483125058162</v>
      </c>
      <c r="J610" s="616">
        <v>53740806.240067847</v>
      </c>
      <c r="K610" s="659">
        <v>171.81461297828341</v>
      </c>
      <c r="L610" s="3"/>
      <c r="M610" s="3"/>
      <c r="N610" s="3"/>
      <c r="O610" s="3"/>
      <c r="P610" s="3"/>
      <c r="Q610" s="3"/>
      <c r="R610" s="3"/>
      <c r="S610" s="3"/>
      <c r="T610" s="3"/>
      <c r="U610" s="3"/>
      <c r="V610" s="3"/>
      <c r="W610" s="3"/>
      <c r="X610" s="3"/>
      <c r="Y610" s="3"/>
      <c r="Z610" s="3"/>
    </row>
    <row r="611" spans="1:26" customFormat="1" ht="12.75" x14ac:dyDescent="0.2">
      <c r="A611" s="246"/>
      <c r="B611" s="3"/>
      <c r="C611" s="384">
        <v>0.8</v>
      </c>
      <c r="D611" s="663">
        <v>1372.1483125058162</v>
      </c>
      <c r="E611" s="614">
        <v>46476898.260969296</v>
      </c>
      <c r="F611" s="658">
        <v>171.81461297828341</v>
      </c>
      <c r="G611" s="3"/>
      <c r="H611" s="608">
        <v>0</v>
      </c>
      <c r="I611" s="665">
        <v>1372.1483125058162</v>
      </c>
      <c r="J611" s="618">
        <v>53094452.597189017</v>
      </c>
      <c r="K611" s="660">
        <v>171.81461297828341</v>
      </c>
      <c r="L611" s="3"/>
      <c r="M611" s="3"/>
      <c r="N611" s="3"/>
      <c r="O611" s="3"/>
      <c r="P611" s="3"/>
      <c r="Q611" s="3"/>
      <c r="R611" s="3"/>
      <c r="S611" s="3"/>
      <c r="T611" s="3"/>
      <c r="U611" s="3"/>
      <c r="V611" s="3"/>
      <c r="W611" s="3"/>
      <c r="X611" s="3"/>
      <c r="Y611" s="3"/>
      <c r="Z611" s="3"/>
    </row>
    <row r="612" spans="1:26" customFormat="1" ht="12.75" x14ac:dyDescent="0.2">
      <c r="A612" s="246"/>
      <c r="B612" s="3"/>
      <c r="C612" s="608">
        <v>0.9</v>
      </c>
      <c r="D612" s="665">
        <v>1372.1483125058162</v>
      </c>
      <c r="E612" s="618">
        <v>53094452.597189017</v>
      </c>
      <c r="F612" s="660">
        <v>171.81461297828341</v>
      </c>
      <c r="G612" s="3"/>
      <c r="H612" s="383">
        <v>0.1</v>
      </c>
      <c r="I612" s="663">
        <v>1372.1483125058162</v>
      </c>
      <c r="J612" s="614">
        <v>52448098.954310179</v>
      </c>
      <c r="K612" s="658">
        <v>171.81461297828341</v>
      </c>
      <c r="L612" s="3"/>
      <c r="M612" s="3"/>
      <c r="N612" s="3"/>
      <c r="O612" s="3"/>
      <c r="P612" s="3"/>
      <c r="Q612" s="3"/>
      <c r="R612" s="3"/>
      <c r="S612" s="3"/>
      <c r="T612" s="3"/>
      <c r="U612" s="3"/>
      <c r="V612" s="3"/>
      <c r="W612" s="3"/>
      <c r="X612" s="3"/>
      <c r="Y612" s="3"/>
      <c r="Z612" s="3"/>
    </row>
    <row r="613" spans="1:26" customFormat="1" ht="12.75" x14ac:dyDescent="0.2">
      <c r="A613" s="246"/>
      <c r="B613" s="3"/>
      <c r="C613" s="609">
        <v>0.95</v>
      </c>
      <c r="D613" s="666">
        <v>1372.1483125058162</v>
      </c>
      <c r="E613" s="620">
        <v>56403229.765298881</v>
      </c>
      <c r="F613" s="661">
        <v>171.81461297828341</v>
      </c>
      <c r="G613" s="3"/>
      <c r="H613" s="383">
        <v>0.2</v>
      </c>
      <c r="I613" s="663">
        <v>1372.1483125058162</v>
      </c>
      <c r="J613" s="614">
        <v>51801745.311431333</v>
      </c>
      <c r="K613" s="658">
        <v>171.81461297828341</v>
      </c>
      <c r="L613" s="3"/>
      <c r="M613" s="3"/>
      <c r="N613" s="3"/>
      <c r="O613" s="3"/>
      <c r="P613" s="3"/>
      <c r="Q613" s="3"/>
      <c r="R613" s="3"/>
      <c r="S613" s="3"/>
      <c r="T613" s="3"/>
      <c r="U613" s="3"/>
      <c r="V613" s="3"/>
      <c r="W613" s="3"/>
      <c r="X613" s="3"/>
      <c r="Y613" s="3"/>
      <c r="Z613" s="3"/>
    </row>
    <row r="614" spans="1:26" customFormat="1" ht="12.75" x14ac:dyDescent="0.2">
      <c r="A614" s="246"/>
      <c r="B614" s="3"/>
      <c r="C614" s="3"/>
      <c r="D614" s="3"/>
      <c r="E614" s="3"/>
      <c r="F614" s="3"/>
      <c r="G614" s="3"/>
      <c r="H614" s="388">
        <v>0.5</v>
      </c>
      <c r="I614" s="666">
        <v>1372.1483125058162</v>
      </c>
      <c r="J614" s="620">
        <v>49862684.382794812</v>
      </c>
      <c r="K614" s="661">
        <v>171.81461297828341</v>
      </c>
      <c r="L614" s="3"/>
      <c r="M614" s="3"/>
      <c r="N614" s="3"/>
      <c r="O614" s="3"/>
      <c r="P614" s="3"/>
      <c r="Q614" s="3"/>
      <c r="R614" s="3"/>
      <c r="S614" s="3"/>
      <c r="T614" s="3"/>
      <c r="U614" s="3"/>
      <c r="V614" s="3"/>
      <c r="W614" s="3"/>
      <c r="X614" s="3"/>
      <c r="Y614" s="3"/>
      <c r="Z614" s="3"/>
    </row>
    <row r="615" spans="1:26" customFormat="1" ht="12.75" x14ac:dyDescent="0.2">
      <c r="A615" s="246"/>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customFormat="1" ht="12.75" x14ac:dyDescent="0.2">
      <c r="A616" s="246"/>
      <c r="B616" s="611" t="s">
        <v>943</v>
      </c>
      <c r="C616" s="610"/>
      <c r="D616" s="610"/>
      <c r="E616" s="610"/>
      <c r="F616" s="610"/>
      <c r="G616" s="610"/>
      <c r="H616" s="610"/>
      <c r="I616" s="610"/>
      <c r="J616" s="610"/>
      <c r="K616" s="610"/>
      <c r="L616" s="610"/>
      <c r="M616" s="610"/>
      <c r="N616" s="3"/>
      <c r="O616" s="3"/>
      <c r="P616" s="3"/>
      <c r="Q616" s="3"/>
      <c r="R616" s="3"/>
      <c r="S616" s="3"/>
      <c r="T616" s="3"/>
      <c r="U616" s="3"/>
      <c r="V616" s="3"/>
      <c r="W616" s="3"/>
      <c r="X616" s="3"/>
      <c r="Y616" s="3"/>
      <c r="Z616" s="3"/>
    </row>
    <row r="617" spans="1:26" customFormat="1" ht="12.75" x14ac:dyDescent="0.2">
      <c r="A617" s="246"/>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customFormat="1" ht="25.5" x14ac:dyDescent="0.2">
      <c r="A618" s="246"/>
      <c r="B618" s="3"/>
      <c r="C618" s="359"/>
      <c r="D618" s="359" t="s">
        <v>812</v>
      </c>
      <c r="E618" s="644" t="s">
        <v>947</v>
      </c>
      <c r="F618" s="639"/>
      <c r="G618" s="640"/>
      <c r="H618" s="643"/>
      <c r="I618" s="639"/>
      <c r="J618" s="639"/>
      <c r="K618" s="639"/>
      <c r="L618" s="639"/>
      <c r="M618" s="641"/>
      <c r="N618" s="3"/>
      <c r="O618" s="3"/>
      <c r="P618" s="3"/>
      <c r="Q618" s="3"/>
      <c r="R618" s="3"/>
      <c r="S618" s="3"/>
      <c r="T618" s="3"/>
      <c r="U618" s="3"/>
      <c r="V618" s="3"/>
      <c r="W618" s="3"/>
      <c r="X618" s="3"/>
      <c r="Y618" s="3"/>
      <c r="Z618" s="3"/>
    </row>
    <row r="619" spans="1:26" customFormat="1" ht="12.75" x14ac:dyDescent="0.2">
      <c r="A619" s="246"/>
      <c r="B619" s="3"/>
      <c r="C619" s="364"/>
      <c r="D619" s="363">
        <f>$F$396</f>
        <v>1372.1483125058162</v>
      </c>
      <c r="E619" s="623">
        <v>-0.05</v>
      </c>
      <c r="F619" s="624">
        <v>-0.02</v>
      </c>
      <c r="G619" s="624">
        <v>-0.01</v>
      </c>
      <c r="H619" s="626">
        <v>0</v>
      </c>
      <c r="I619" s="624">
        <v>0.01</v>
      </c>
      <c r="J619" s="624">
        <v>0.02</v>
      </c>
      <c r="K619" s="624">
        <v>0.03</v>
      </c>
      <c r="L619" s="624">
        <v>0.04</v>
      </c>
      <c r="M619" s="625">
        <v>0.05</v>
      </c>
      <c r="N619" s="3"/>
      <c r="O619" s="3"/>
      <c r="P619" s="3"/>
      <c r="Q619" s="3"/>
      <c r="R619" s="3"/>
      <c r="S619" s="3"/>
      <c r="T619" s="3"/>
      <c r="U619" s="3"/>
      <c r="V619" s="3"/>
      <c r="W619" s="3"/>
      <c r="X619" s="3"/>
      <c r="Y619" s="3"/>
      <c r="Z619" s="3"/>
    </row>
    <row r="620" spans="1:26" customFormat="1" ht="12.75" x14ac:dyDescent="0.2">
      <c r="A620" s="246"/>
      <c r="B620" s="3"/>
      <c r="C620" s="857"/>
      <c r="D620" s="382">
        <v>-0.05</v>
      </c>
      <c r="E620" s="627">
        <f t="dataTable" ref="E620:M628" dt2D="1" dtr="1" r1="F76" r2="F54" ca="1"/>
        <v>1523.6651866693689</v>
      </c>
      <c r="F620" s="628">
        <v>1509.8815960271334</v>
      </c>
      <c r="G620" s="628">
        <v>1504.8597750938786</v>
      </c>
      <c r="H620" s="629">
        <v>1499.6067643162894</v>
      </c>
      <c r="I620" s="628">
        <v>1494.1113025655704</v>
      </c>
      <c r="J620" s="628">
        <v>1488.3616110364992</v>
      </c>
      <c r="K620" s="628">
        <v>1482.3453723074872</v>
      </c>
      <c r="L620" s="628">
        <v>1476.0497087005533</v>
      </c>
      <c r="M620" s="621">
        <v>1469.4611599232855</v>
      </c>
      <c r="N620" s="3"/>
      <c r="O620" s="3"/>
      <c r="P620" s="3"/>
      <c r="Q620" s="3"/>
      <c r="R620" s="3"/>
      <c r="S620" s="3"/>
      <c r="T620" s="3"/>
      <c r="U620" s="3"/>
      <c r="V620" s="3"/>
      <c r="W620" s="3"/>
      <c r="X620" s="3"/>
      <c r="Y620" s="3"/>
      <c r="Z620" s="3"/>
    </row>
    <row r="621" spans="1:26" customFormat="1" ht="12.75" x14ac:dyDescent="0.2">
      <c r="A621" s="246"/>
      <c r="B621" s="3"/>
      <c r="C621" s="802"/>
      <c r="D621" s="383">
        <v>-0.02</v>
      </c>
      <c r="E621" s="630">
        <v>1450.342617047502</v>
      </c>
      <c r="F621" s="631">
        <v>1436.5590264052662</v>
      </c>
      <c r="G621" s="631">
        <v>1431.5372054720117</v>
      </c>
      <c r="H621" s="632">
        <v>1426.2841946944222</v>
      </c>
      <c r="I621" s="631">
        <v>1420.7887329437035</v>
      </c>
      <c r="J621" s="631">
        <v>1415.039041414632</v>
      </c>
      <c r="K621" s="631">
        <v>1409.02280268562</v>
      </c>
      <c r="L621" s="631">
        <v>1402.7271390786862</v>
      </c>
      <c r="M621" s="613">
        <v>1396.1385903014184</v>
      </c>
      <c r="N621" s="3"/>
      <c r="O621" s="3"/>
      <c r="P621" s="3"/>
      <c r="Q621" s="3"/>
      <c r="R621" s="3"/>
      <c r="S621" s="3"/>
      <c r="T621" s="3"/>
      <c r="U621" s="3"/>
      <c r="V621" s="3"/>
      <c r="W621" s="3"/>
      <c r="X621" s="3"/>
      <c r="Y621" s="3"/>
      <c r="Z621" s="3"/>
    </row>
    <row r="622" spans="1:26" customFormat="1" ht="12.75" x14ac:dyDescent="0.2">
      <c r="A622" s="246"/>
      <c r="B622" s="3"/>
      <c r="C622" s="802"/>
      <c r="D622" s="384">
        <v>-0.01</v>
      </c>
      <c r="E622" s="633">
        <v>1423.8329917168408</v>
      </c>
      <c r="F622" s="634">
        <v>1410.0494010746056</v>
      </c>
      <c r="G622" s="634">
        <v>1405.0275801413509</v>
      </c>
      <c r="H622" s="632">
        <v>1399.7745693637619</v>
      </c>
      <c r="I622" s="634">
        <v>1394.2791076130429</v>
      </c>
      <c r="J622" s="634">
        <v>1388.5294160839712</v>
      </c>
      <c r="K622" s="634">
        <v>1382.5131773549595</v>
      </c>
      <c r="L622" s="634">
        <v>1376.2175137480258</v>
      </c>
      <c r="M622" s="615">
        <v>1369.6289649707578</v>
      </c>
      <c r="N622" s="3"/>
      <c r="O622" s="3"/>
      <c r="P622" s="3"/>
      <c r="Q622" s="3"/>
      <c r="R622" s="3"/>
      <c r="S622" s="3"/>
      <c r="T622" s="3"/>
      <c r="U622" s="3"/>
      <c r="V622" s="3"/>
      <c r="W622" s="3"/>
      <c r="X622" s="3"/>
      <c r="Y622" s="3"/>
      <c r="Z622" s="3"/>
    </row>
    <row r="623" spans="1:26" customFormat="1" ht="12.75" x14ac:dyDescent="0.2">
      <c r="A623" s="246"/>
      <c r="B623" s="3"/>
      <c r="C623" s="802"/>
      <c r="D623" s="608">
        <v>0</v>
      </c>
      <c r="E623" s="635">
        <v>1396.206734858896</v>
      </c>
      <c r="F623" s="632">
        <v>1382.4231442166601</v>
      </c>
      <c r="G623" s="632">
        <v>1377.4013232834059</v>
      </c>
      <c r="H623" s="632">
        <v>1372.1483125058162</v>
      </c>
      <c r="I623" s="632">
        <v>1366.6528507550979</v>
      </c>
      <c r="J623" s="632">
        <v>1360.9031592260264</v>
      </c>
      <c r="K623" s="632">
        <v>1354.8869204970142</v>
      </c>
      <c r="L623" s="632">
        <v>1348.5912568900803</v>
      </c>
      <c r="M623" s="617">
        <v>1342.0027081128128</v>
      </c>
      <c r="N623" s="3"/>
      <c r="O623" s="3"/>
      <c r="P623" s="3"/>
      <c r="Q623" s="3"/>
      <c r="R623" s="3"/>
      <c r="S623" s="3"/>
      <c r="T623" s="3"/>
      <c r="U623" s="3"/>
      <c r="V623" s="3"/>
      <c r="W623" s="3"/>
      <c r="X623" s="3"/>
      <c r="Y623" s="3"/>
      <c r="Z623" s="3"/>
    </row>
    <row r="624" spans="1:26" customFormat="1" ht="25.5" customHeight="1" x14ac:dyDescent="0.2">
      <c r="A624" s="246"/>
      <c r="B624" s="3"/>
      <c r="C624" s="858" t="s">
        <v>945</v>
      </c>
      <c r="D624" s="383">
        <v>0.01</v>
      </c>
      <c r="E624" s="630">
        <v>1367.411074960414</v>
      </c>
      <c r="F624" s="631">
        <v>1353.6274843181786</v>
      </c>
      <c r="G624" s="631">
        <v>1348.6056633849244</v>
      </c>
      <c r="H624" s="632">
        <v>1343.3526526073349</v>
      </c>
      <c r="I624" s="631">
        <v>1337.8571908566159</v>
      </c>
      <c r="J624" s="631">
        <v>1332.1074993275442</v>
      </c>
      <c r="K624" s="631">
        <v>1326.0912605985325</v>
      </c>
      <c r="L624" s="631">
        <v>1319.7955969915984</v>
      </c>
      <c r="M624" s="613">
        <v>1313.2070482143308</v>
      </c>
      <c r="N624" s="3"/>
      <c r="O624" s="3"/>
      <c r="P624" s="3"/>
      <c r="Q624" s="3"/>
      <c r="R624" s="3"/>
      <c r="S624" s="3"/>
      <c r="T624" s="3"/>
      <c r="U624" s="3"/>
      <c r="V624" s="3"/>
      <c r="W624" s="3"/>
      <c r="X624" s="3"/>
      <c r="Y624" s="3"/>
      <c r="Z624" s="3"/>
    </row>
    <row r="625" spans="1:26" customFormat="1" ht="12.75" x14ac:dyDescent="0.2">
      <c r="A625" s="246"/>
      <c r="B625" s="3"/>
      <c r="C625" s="859" t="s">
        <v>944</v>
      </c>
      <c r="D625" s="383">
        <v>0.02</v>
      </c>
      <c r="E625" s="630">
        <v>1337.3908276051748</v>
      </c>
      <c r="F625" s="631">
        <v>1323.6072369629394</v>
      </c>
      <c r="G625" s="631">
        <v>1318.5854160296847</v>
      </c>
      <c r="H625" s="632">
        <v>1313.3324052520957</v>
      </c>
      <c r="I625" s="631">
        <v>1307.8369435013767</v>
      </c>
      <c r="J625" s="631">
        <v>1302.0872519723052</v>
      </c>
      <c r="K625" s="631">
        <v>1296.0710132432926</v>
      </c>
      <c r="L625" s="631">
        <v>1289.7753496363594</v>
      </c>
      <c r="M625" s="613">
        <v>1283.1868008590916</v>
      </c>
      <c r="N625" s="3"/>
      <c r="O625" s="3"/>
      <c r="P625" s="3"/>
      <c r="Q625" s="3"/>
      <c r="R625" s="3"/>
      <c r="S625" s="3"/>
      <c r="T625" s="3"/>
      <c r="U625" s="3"/>
      <c r="V625" s="3"/>
      <c r="W625" s="3"/>
      <c r="X625" s="3"/>
      <c r="Y625" s="3"/>
      <c r="Z625" s="3"/>
    </row>
    <row r="626" spans="1:26" customFormat="1" ht="12.75" x14ac:dyDescent="0.2">
      <c r="A626" s="246"/>
      <c r="B626" s="3"/>
      <c r="C626" s="808"/>
      <c r="D626" s="383">
        <v>0.03</v>
      </c>
      <c r="E626" s="630">
        <v>1306.0882978724253</v>
      </c>
      <c r="F626" s="631">
        <v>1292.3047072301899</v>
      </c>
      <c r="G626" s="631">
        <v>1287.282886296935</v>
      </c>
      <c r="H626" s="632">
        <v>1282.0298755193458</v>
      </c>
      <c r="I626" s="631">
        <v>1276.5344137686268</v>
      </c>
      <c r="J626" s="631">
        <v>1270.7847222395553</v>
      </c>
      <c r="K626" s="631">
        <v>1264.7684835105438</v>
      </c>
      <c r="L626" s="631">
        <v>1258.4728199036097</v>
      </c>
      <c r="M626" s="613">
        <v>1251.8842711263421</v>
      </c>
      <c r="N626" s="3"/>
      <c r="O626" s="3"/>
      <c r="P626" s="3"/>
      <c r="Q626" s="3"/>
      <c r="R626" s="3"/>
      <c r="S626" s="3"/>
      <c r="T626" s="3"/>
      <c r="U626" s="3"/>
      <c r="V626" s="3"/>
      <c r="W626" s="3"/>
      <c r="X626" s="3"/>
      <c r="Y626" s="3"/>
      <c r="Z626" s="3"/>
    </row>
    <row r="627" spans="1:26" customFormat="1" ht="12.75" x14ac:dyDescent="0.2">
      <c r="A627" s="246"/>
      <c r="B627" s="3"/>
      <c r="C627" s="802"/>
      <c r="D627" s="383">
        <v>0.04</v>
      </c>
      <c r="E627" s="630">
        <v>1273.443179472152</v>
      </c>
      <c r="F627" s="631">
        <v>1259.6595888299162</v>
      </c>
      <c r="G627" s="631">
        <v>1254.6377678966619</v>
      </c>
      <c r="H627" s="632">
        <v>1249.3847571190727</v>
      </c>
      <c r="I627" s="631">
        <v>1243.8892953683537</v>
      </c>
      <c r="J627" s="631">
        <v>1238.1396038392825</v>
      </c>
      <c r="K627" s="631">
        <v>1232.1233651102698</v>
      </c>
      <c r="L627" s="631">
        <v>1225.827701503337</v>
      </c>
      <c r="M627" s="613">
        <v>1219.2391527260686</v>
      </c>
      <c r="N627" s="3"/>
      <c r="O627" s="3"/>
      <c r="P627" s="3"/>
      <c r="Q627" s="3"/>
      <c r="R627" s="3"/>
      <c r="S627" s="3"/>
      <c r="T627" s="3"/>
      <c r="U627" s="3"/>
      <c r="V627" s="3"/>
      <c r="W627" s="3"/>
      <c r="X627" s="3"/>
      <c r="Y627" s="3"/>
      <c r="Z627" s="3"/>
    </row>
    <row r="628" spans="1:26" customFormat="1" ht="12.75" x14ac:dyDescent="0.2">
      <c r="A628" s="246"/>
      <c r="B628" s="3"/>
      <c r="C628" s="860"/>
      <c r="D628" s="388">
        <v>0.05</v>
      </c>
      <c r="E628" s="636">
        <v>1239.3924505336993</v>
      </c>
      <c r="F628" s="637">
        <v>1225.6088598914641</v>
      </c>
      <c r="G628" s="637">
        <v>1220.5870389582094</v>
      </c>
      <c r="H628" s="638">
        <v>1215.3340281806206</v>
      </c>
      <c r="I628" s="637">
        <v>1209.8385664299017</v>
      </c>
      <c r="J628" s="637">
        <v>1204.0888749008298</v>
      </c>
      <c r="K628" s="637">
        <v>1198.072636171818</v>
      </c>
      <c r="L628" s="637">
        <v>1191.7769725648841</v>
      </c>
      <c r="M628" s="619">
        <v>1185.1884237876163</v>
      </c>
      <c r="N628" s="3"/>
      <c r="O628" s="3"/>
      <c r="P628" s="3"/>
      <c r="Q628" s="3"/>
      <c r="R628" s="3"/>
      <c r="S628" s="3"/>
      <c r="T628" s="3"/>
      <c r="U628" s="3"/>
      <c r="V628" s="3"/>
      <c r="W628" s="3"/>
      <c r="X628" s="3"/>
      <c r="Y628" s="3"/>
      <c r="Z628" s="3"/>
    </row>
    <row r="629" spans="1:26" customFormat="1" ht="12.75" x14ac:dyDescent="0.2">
      <c r="A629" s="246"/>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customFormat="1" ht="25.5" x14ac:dyDescent="0.2">
      <c r="A630" s="246"/>
      <c r="B630" s="3"/>
      <c r="C630" s="359"/>
      <c r="D630" s="359" t="s">
        <v>812</v>
      </c>
      <c r="E630" s="644" t="s">
        <v>947</v>
      </c>
      <c r="F630" s="639"/>
      <c r="G630" s="640"/>
      <c r="H630" s="643"/>
      <c r="I630" s="639"/>
      <c r="J630" s="639"/>
      <c r="K630" s="639"/>
      <c r="L630" s="639"/>
      <c r="M630" s="641"/>
      <c r="N630" s="3"/>
      <c r="O630" s="3"/>
      <c r="P630" s="3"/>
      <c r="Q630" s="3"/>
      <c r="R630" s="3"/>
      <c r="S630" s="3"/>
      <c r="T630" s="3"/>
      <c r="U630" s="3"/>
      <c r="V630" s="3"/>
      <c r="W630" s="3"/>
      <c r="X630" s="3"/>
      <c r="Y630" s="3"/>
      <c r="Z630" s="3"/>
    </row>
    <row r="631" spans="1:26" customFormat="1" ht="12.75" x14ac:dyDescent="0.2">
      <c r="A631" s="246"/>
      <c r="B631" s="3"/>
      <c r="C631" s="364"/>
      <c r="D631" s="363">
        <f>$F$396</f>
        <v>1372.1483125058162</v>
      </c>
      <c r="E631" s="623">
        <v>-0.05</v>
      </c>
      <c r="F631" s="624">
        <v>-0.02</v>
      </c>
      <c r="G631" s="624">
        <v>-0.01</v>
      </c>
      <c r="H631" s="626">
        <v>0</v>
      </c>
      <c r="I631" s="624">
        <v>0.01</v>
      </c>
      <c r="J631" s="624">
        <v>0.02</v>
      </c>
      <c r="K631" s="624">
        <v>0.03</v>
      </c>
      <c r="L631" s="624">
        <v>0.04</v>
      </c>
      <c r="M631" s="625">
        <v>0.05</v>
      </c>
      <c r="N631" s="3"/>
      <c r="O631" s="3"/>
      <c r="P631" s="3"/>
      <c r="Q631" s="3"/>
      <c r="R631" s="3"/>
      <c r="S631" s="3"/>
      <c r="T631" s="3"/>
      <c r="U631" s="3"/>
      <c r="V631" s="3"/>
      <c r="W631" s="3"/>
      <c r="X631" s="3"/>
      <c r="Y631" s="3"/>
      <c r="Z631" s="3"/>
    </row>
    <row r="632" spans="1:26" customFormat="1" ht="12.75" x14ac:dyDescent="0.2">
      <c r="A632" s="246"/>
      <c r="B632" s="3"/>
      <c r="C632" s="857"/>
      <c r="D632" s="382">
        <v>-0.15</v>
      </c>
      <c r="E632" s="627">
        <f t="dataTable" ref="E632:M640" dt2D="1" dtr="1" r1="F76" r2="F92" ca="1"/>
        <v>751.02525828559408</v>
      </c>
      <c r="F632" s="628">
        <v>737.24166764335826</v>
      </c>
      <c r="G632" s="628">
        <v>732.21984671010421</v>
      </c>
      <c r="H632" s="629">
        <v>726.96683593251464</v>
      </c>
      <c r="I632" s="628">
        <v>721.47137418179591</v>
      </c>
      <c r="J632" s="628">
        <v>715.72168265272433</v>
      </c>
      <c r="K632" s="628">
        <v>709.70544392371198</v>
      </c>
      <c r="L632" s="628">
        <v>703.40978031677855</v>
      </c>
      <c r="M632" s="621">
        <v>696.82123153951056</v>
      </c>
      <c r="N632" s="3"/>
      <c r="O632" s="3"/>
      <c r="P632" s="3"/>
      <c r="Q632" s="3"/>
      <c r="R632" s="3"/>
      <c r="S632" s="3"/>
      <c r="T632" s="3"/>
      <c r="U632" s="3"/>
      <c r="V632" s="3"/>
      <c r="W632" s="3"/>
      <c r="X632" s="3"/>
      <c r="Y632" s="3"/>
      <c r="Z632" s="3"/>
    </row>
    <row r="633" spans="1:26" customFormat="1" ht="12.75" x14ac:dyDescent="0.2">
      <c r="A633" s="246"/>
      <c r="B633" s="3"/>
      <c r="C633" s="802"/>
      <c r="D633" s="383">
        <v>-0.1</v>
      </c>
      <c r="E633" s="630">
        <v>966.08575047669501</v>
      </c>
      <c r="F633" s="631">
        <v>952.30215983445942</v>
      </c>
      <c r="G633" s="631">
        <v>947.28033890120503</v>
      </c>
      <c r="H633" s="632">
        <v>942.02732812361523</v>
      </c>
      <c r="I633" s="631">
        <v>936.53186637289696</v>
      </c>
      <c r="J633" s="631">
        <v>930.78217484382515</v>
      </c>
      <c r="K633" s="631">
        <v>924.76593611481303</v>
      </c>
      <c r="L633" s="631">
        <v>918.47027250787903</v>
      </c>
      <c r="M633" s="613">
        <v>911.88172373061172</v>
      </c>
      <c r="N633" s="3"/>
      <c r="O633" s="3"/>
      <c r="P633" s="3"/>
      <c r="Q633" s="3"/>
      <c r="R633" s="3"/>
      <c r="S633" s="3"/>
      <c r="T633" s="3"/>
      <c r="U633" s="3"/>
      <c r="V633" s="3"/>
      <c r="W633" s="3"/>
      <c r="X633" s="3"/>
      <c r="Y633" s="3"/>
      <c r="Z633" s="3"/>
    </row>
    <row r="634" spans="1:26" customFormat="1" ht="12.75" x14ac:dyDescent="0.2">
      <c r="A634" s="246"/>
      <c r="B634" s="3"/>
      <c r="C634" s="802"/>
      <c r="D634" s="384">
        <v>-0.05</v>
      </c>
      <c r="E634" s="633">
        <v>1181.1462426677951</v>
      </c>
      <c r="F634" s="634">
        <v>1167.3626520255596</v>
      </c>
      <c r="G634" s="634">
        <v>1162.3408310923055</v>
      </c>
      <c r="H634" s="632">
        <v>1157.0878203147163</v>
      </c>
      <c r="I634" s="634">
        <v>1151.5923585639971</v>
      </c>
      <c r="J634" s="634">
        <v>1145.8426670349254</v>
      </c>
      <c r="K634" s="634">
        <v>1139.8264283059129</v>
      </c>
      <c r="L634" s="634">
        <v>1133.53076469898</v>
      </c>
      <c r="M634" s="615">
        <v>1126.942215921712</v>
      </c>
      <c r="N634" s="3"/>
      <c r="O634" s="3"/>
      <c r="P634" s="3"/>
      <c r="Q634" s="3"/>
      <c r="R634" s="3"/>
      <c r="S634" s="3"/>
      <c r="T634" s="3"/>
      <c r="U634" s="3"/>
      <c r="V634" s="3"/>
      <c r="W634" s="3"/>
      <c r="X634" s="3"/>
      <c r="Y634" s="3"/>
      <c r="Z634" s="3"/>
    </row>
    <row r="635" spans="1:26" customFormat="1" ht="12.75" x14ac:dyDescent="0.2">
      <c r="A635" s="246"/>
      <c r="B635" s="3"/>
      <c r="C635" s="802"/>
      <c r="D635" s="608">
        <v>0</v>
      </c>
      <c r="E635" s="635">
        <v>1396.206734858896</v>
      </c>
      <c r="F635" s="632">
        <v>1382.4231442166601</v>
      </c>
      <c r="G635" s="632">
        <v>1377.4013232834059</v>
      </c>
      <c r="H635" s="632">
        <v>1372.1483125058162</v>
      </c>
      <c r="I635" s="632">
        <v>1366.6528507550979</v>
      </c>
      <c r="J635" s="632">
        <v>1360.9031592260264</v>
      </c>
      <c r="K635" s="632">
        <v>1354.8869204970142</v>
      </c>
      <c r="L635" s="632">
        <v>1348.5912568900803</v>
      </c>
      <c r="M635" s="617">
        <v>1342.0027081128128</v>
      </c>
      <c r="N635" s="3"/>
      <c r="O635" s="3"/>
      <c r="P635" s="3"/>
      <c r="Q635" s="3"/>
      <c r="R635" s="3"/>
      <c r="S635" s="3"/>
      <c r="T635" s="3"/>
      <c r="U635" s="3"/>
      <c r="V635" s="3"/>
      <c r="W635" s="3"/>
      <c r="X635" s="3"/>
      <c r="Y635" s="3"/>
      <c r="Z635" s="3"/>
    </row>
    <row r="636" spans="1:26" customFormat="1" ht="12.75" x14ac:dyDescent="0.2">
      <c r="A636" s="246"/>
      <c r="B636" s="3"/>
      <c r="C636" s="858" t="s">
        <v>992</v>
      </c>
      <c r="D636" s="383">
        <v>0.05</v>
      </c>
      <c r="E636" s="630">
        <v>1611.2672270499966</v>
      </c>
      <c r="F636" s="631">
        <v>1597.4836364077612</v>
      </c>
      <c r="G636" s="631">
        <v>1592.4618154745069</v>
      </c>
      <c r="H636" s="632">
        <v>1587.208804696917</v>
      </c>
      <c r="I636" s="631">
        <v>1581.713342946199</v>
      </c>
      <c r="J636" s="631">
        <v>1575.963651417127</v>
      </c>
      <c r="K636" s="631">
        <v>1569.947412688115</v>
      </c>
      <c r="L636" s="631">
        <v>1563.6517490811812</v>
      </c>
      <c r="M636" s="613">
        <v>1557.0632003039136</v>
      </c>
      <c r="N636" s="3"/>
      <c r="O636" s="3"/>
      <c r="P636" s="3"/>
      <c r="Q636" s="3"/>
      <c r="R636" s="3"/>
      <c r="S636" s="3"/>
      <c r="T636" s="3"/>
      <c r="U636" s="3"/>
      <c r="V636" s="3"/>
      <c r="W636" s="3"/>
      <c r="X636" s="3"/>
      <c r="Y636" s="3"/>
      <c r="Z636" s="3"/>
    </row>
    <row r="637" spans="1:26" customFormat="1" ht="12.75" x14ac:dyDescent="0.2">
      <c r="A637" s="246"/>
      <c r="B637" s="3"/>
      <c r="C637" s="859" t="s">
        <v>944</v>
      </c>
      <c r="D637" s="383">
        <v>0.1</v>
      </c>
      <c r="E637" s="630">
        <v>1826.3277192410983</v>
      </c>
      <c r="F637" s="631">
        <v>1812.5441285988622</v>
      </c>
      <c r="G637" s="631">
        <v>1807.522307665608</v>
      </c>
      <c r="H637" s="632">
        <v>1802.2692968880187</v>
      </c>
      <c r="I637" s="631">
        <v>1796.7738351373</v>
      </c>
      <c r="J637" s="631">
        <v>1791.0241436082281</v>
      </c>
      <c r="K637" s="631">
        <v>1785.0079048792161</v>
      </c>
      <c r="L637" s="631">
        <v>1778.7122412722827</v>
      </c>
      <c r="M637" s="613">
        <v>1772.1236924950144</v>
      </c>
      <c r="N637" s="3"/>
      <c r="O637" s="3"/>
      <c r="P637" s="3"/>
      <c r="Q637" s="3"/>
      <c r="R637" s="3"/>
      <c r="S637" s="3"/>
      <c r="T637" s="3"/>
      <c r="U637" s="3"/>
      <c r="V637" s="3"/>
      <c r="W637" s="3"/>
      <c r="X637" s="3"/>
      <c r="Y637" s="3"/>
      <c r="Z637" s="3"/>
    </row>
    <row r="638" spans="1:26" customFormat="1" ht="12.75" x14ac:dyDescent="0.2">
      <c r="A638" s="246"/>
      <c r="B638" s="3"/>
      <c r="C638" s="802"/>
      <c r="D638" s="383">
        <v>0.15</v>
      </c>
      <c r="E638" s="630">
        <v>2041.388211432198</v>
      </c>
      <c r="F638" s="631">
        <v>2027.6046207899628</v>
      </c>
      <c r="G638" s="631">
        <v>2022.5827998567079</v>
      </c>
      <c r="H638" s="632">
        <v>2017.3297890791187</v>
      </c>
      <c r="I638" s="631">
        <v>2011.8343273284004</v>
      </c>
      <c r="J638" s="631">
        <v>2006.0846357993287</v>
      </c>
      <c r="K638" s="631">
        <v>2000.0683970703165</v>
      </c>
      <c r="L638" s="631">
        <v>1993.772733463383</v>
      </c>
      <c r="M638" s="613">
        <v>1987.1841846861146</v>
      </c>
      <c r="N638" s="3"/>
      <c r="O638" s="3"/>
      <c r="P638" s="3"/>
      <c r="Q638" s="3"/>
      <c r="R638" s="3"/>
      <c r="S638" s="3"/>
      <c r="T638" s="3"/>
      <c r="U638" s="3"/>
      <c r="V638" s="3"/>
      <c r="W638" s="3"/>
      <c r="X638" s="3"/>
      <c r="Y638" s="3"/>
      <c r="Z638" s="3"/>
    </row>
    <row r="639" spans="1:26" customFormat="1" ht="12.75" x14ac:dyDescent="0.2">
      <c r="A639" s="246"/>
      <c r="B639" s="3"/>
      <c r="C639" s="802"/>
      <c r="D639" s="383">
        <v>0.2</v>
      </c>
      <c r="E639" s="630">
        <v>2256.4487036232986</v>
      </c>
      <c r="F639" s="631">
        <v>2242.6651129810643</v>
      </c>
      <c r="G639" s="631">
        <v>2237.6432920478092</v>
      </c>
      <c r="H639" s="632">
        <v>2232.3902812702199</v>
      </c>
      <c r="I639" s="631">
        <v>2226.8948195195017</v>
      </c>
      <c r="J639" s="631">
        <v>2221.1451279904295</v>
      </c>
      <c r="K639" s="631">
        <v>2215.128889261418</v>
      </c>
      <c r="L639" s="631">
        <v>2208.8332256544832</v>
      </c>
      <c r="M639" s="613">
        <v>2202.2446768772156</v>
      </c>
      <c r="N639" s="3"/>
      <c r="O639" s="3"/>
      <c r="P639" s="3"/>
      <c r="Q639" s="3"/>
      <c r="R639" s="3"/>
      <c r="S639" s="3"/>
      <c r="T639" s="3"/>
      <c r="U639" s="3"/>
      <c r="V639" s="3"/>
      <c r="W639" s="3"/>
      <c r="X639" s="3"/>
      <c r="Y639" s="3"/>
      <c r="Z639" s="3"/>
    </row>
    <row r="640" spans="1:26" customFormat="1" ht="12.75" x14ac:dyDescent="0.2">
      <c r="A640" s="246"/>
      <c r="B640" s="3"/>
      <c r="C640" s="860"/>
      <c r="D640" s="388">
        <v>0.25</v>
      </c>
      <c r="E640" s="636">
        <v>2471.5091958143998</v>
      </c>
      <c r="F640" s="637">
        <v>2457.7256051721643</v>
      </c>
      <c r="G640" s="637">
        <v>2452.70378423891</v>
      </c>
      <c r="H640" s="638">
        <v>2447.4507734613203</v>
      </c>
      <c r="I640" s="637">
        <v>2441.9553117106016</v>
      </c>
      <c r="J640" s="637">
        <v>2436.2056201815299</v>
      </c>
      <c r="K640" s="637">
        <v>2430.1893814525179</v>
      </c>
      <c r="L640" s="637">
        <v>2423.8937178455844</v>
      </c>
      <c r="M640" s="619">
        <v>2417.3051690683164</v>
      </c>
      <c r="N640" s="3"/>
      <c r="O640" s="3"/>
      <c r="P640" s="3"/>
      <c r="Q640" s="3"/>
      <c r="R640" s="3"/>
      <c r="S640" s="3"/>
      <c r="T640" s="3"/>
      <c r="U640" s="3"/>
      <c r="V640" s="3"/>
      <c r="W640" s="3"/>
      <c r="X640" s="3"/>
      <c r="Y640" s="3"/>
      <c r="Z640" s="3"/>
    </row>
    <row r="641" spans="1:26" customFormat="1" ht="12.75" x14ac:dyDescent="0.2">
      <c r="A641" s="246"/>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customFormat="1" ht="25.5" x14ac:dyDescent="0.2">
      <c r="A642" s="246"/>
      <c r="B642" s="3"/>
      <c r="C642" s="359"/>
      <c r="D642" s="359" t="s">
        <v>812</v>
      </c>
      <c r="E642" s="644" t="s">
        <v>993</v>
      </c>
      <c r="F642" s="639"/>
      <c r="G642" s="640"/>
      <c r="H642" s="643"/>
      <c r="I642" s="639"/>
      <c r="J642" s="639"/>
      <c r="K642" s="639"/>
      <c r="L642" s="639"/>
      <c r="M642" s="641"/>
      <c r="N642" s="3"/>
      <c r="O642" s="3"/>
      <c r="P642" s="3"/>
      <c r="Q642" s="3"/>
      <c r="R642" s="3"/>
      <c r="S642" s="3"/>
      <c r="T642" s="3"/>
      <c r="U642" s="3"/>
      <c r="V642" s="3"/>
      <c r="W642" s="3"/>
      <c r="X642" s="3"/>
      <c r="Y642" s="3"/>
      <c r="Z642" s="3"/>
    </row>
    <row r="643" spans="1:26" customFormat="1" ht="12.75" x14ac:dyDescent="0.2">
      <c r="A643" s="246"/>
      <c r="B643" s="3"/>
      <c r="C643" s="364"/>
      <c r="D643" s="363">
        <f>$F$396</f>
        <v>1372.1483125058162</v>
      </c>
      <c r="E643" s="655">
        <v>1.5</v>
      </c>
      <c r="F643" s="652">
        <v>1.75</v>
      </c>
      <c r="G643" s="851">
        <v>2</v>
      </c>
      <c r="H643" s="654">
        <v>2.5</v>
      </c>
      <c r="I643" s="652">
        <v>2.75</v>
      </c>
      <c r="J643" s="652">
        <v>3</v>
      </c>
      <c r="K643" s="650">
        <v>3.5</v>
      </c>
      <c r="L643" s="650">
        <v>4</v>
      </c>
      <c r="M643" s="651">
        <v>5</v>
      </c>
      <c r="N643" s="3"/>
      <c r="O643" s="3"/>
      <c r="P643" s="3"/>
      <c r="Q643" s="3"/>
      <c r="R643" s="3"/>
      <c r="S643" s="3"/>
      <c r="T643" s="3"/>
      <c r="U643" s="3"/>
      <c r="V643" s="3"/>
      <c r="W643" s="3"/>
      <c r="X643" s="3"/>
      <c r="Y643" s="3"/>
      <c r="Z643" s="3"/>
    </row>
    <row r="644" spans="1:26" customFormat="1" ht="12.75" x14ac:dyDescent="0.2">
      <c r="A644" s="246"/>
      <c r="B644" s="3"/>
      <c r="C644" s="857"/>
      <c r="D644" s="382">
        <v>-0.15</v>
      </c>
      <c r="E644" s="627">
        <f t="dataTable" ref="E644:M652" dt2D="1" dtr="1" r1="I31" r2="F92" ca="1"/>
        <v>-1222.7783965987421</v>
      </c>
      <c r="F644" s="628">
        <v>-735.68119862432093</v>
      </c>
      <c r="G644" s="628">
        <v>-247.45021752004959</v>
      </c>
      <c r="H644" s="629">
        <v>726.96683593251464</v>
      </c>
      <c r="I644" s="628">
        <v>1214.605508858715</v>
      </c>
      <c r="J644" s="628">
        <v>1701.6455600045995</v>
      </c>
      <c r="K644" s="628">
        <v>2676.4609779580242</v>
      </c>
      <c r="L644" s="628">
        <v>3502.8616129231868</v>
      </c>
      <c r="M644" s="621">
        <v>4214.5459851564301</v>
      </c>
      <c r="N644" s="3"/>
      <c r="O644" s="3"/>
      <c r="P644" s="3"/>
      <c r="Q644" s="3"/>
      <c r="R644" s="3"/>
      <c r="S644" s="3"/>
      <c r="T644" s="3"/>
      <c r="U644" s="3"/>
      <c r="V644" s="3"/>
      <c r="W644" s="3"/>
      <c r="X644" s="3"/>
      <c r="Y644" s="3"/>
      <c r="Z644" s="3"/>
    </row>
    <row r="645" spans="1:26" customFormat="1" ht="12.75" x14ac:dyDescent="0.2">
      <c r="A645" s="246"/>
      <c r="B645" s="3"/>
      <c r="C645" s="802"/>
      <c r="D645" s="383">
        <v>-0.1</v>
      </c>
      <c r="E645" s="630">
        <v>-1152.5337096247633</v>
      </c>
      <c r="F645" s="631">
        <v>-629.23256034606118</v>
      </c>
      <c r="G645" s="631">
        <v>-104.79762793750955</v>
      </c>
      <c r="H645" s="632">
        <v>942.02732812361523</v>
      </c>
      <c r="I645" s="631">
        <v>1465.8699523540954</v>
      </c>
      <c r="J645" s="631">
        <v>1989.1139548042615</v>
      </c>
      <c r="K645" s="631">
        <v>3036.337275366247</v>
      </c>
      <c r="L645" s="631">
        <v>3925.4086267145976</v>
      </c>
      <c r="M645" s="613">
        <v>4700.8909413288093</v>
      </c>
      <c r="N645" s="3"/>
      <c r="O645" s="3"/>
      <c r="P645" s="3"/>
      <c r="Q645" s="3"/>
      <c r="R645" s="3"/>
      <c r="S645" s="3"/>
      <c r="T645" s="3"/>
      <c r="U645" s="3"/>
      <c r="V645" s="3"/>
      <c r="W645" s="3"/>
      <c r="X645" s="3"/>
      <c r="Y645" s="3"/>
      <c r="Z645" s="3"/>
    </row>
    <row r="646" spans="1:26" customFormat="1" ht="12.75" x14ac:dyDescent="0.2">
      <c r="A646" s="246"/>
      <c r="B646" s="3"/>
      <c r="C646" s="802"/>
      <c r="D646" s="384">
        <v>-0.05</v>
      </c>
      <c r="E646" s="633">
        <v>-1082.289022650785</v>
      </c>
      <c r="F646" s="634">
        <v>-522.78392206780279</v>
      </c>
      <c r="G646" s="634">
        <v>37.85496164502969</v>
      </c>
      <c r="H646" s="632">
        <v>1157.0878203147163</v>
      </c>
      <c r="I646" s="634">
        <v>1717.1343958494756</v>
      </c>
      <c r="J646" s="634">
        <v>2276.582349603922</v>
      </c>
      <c r="K646" s="634">
        <v>3396.2135727744694</v>
      </c>
      <c r="L646" s="634">
        <v>4347.9556405060066</v>
      </c>
      <c r="M646" s="615">
        <v>5187.2358975011857</v>
      </c>
      <c r="N646" s="3"/>
      <c r="O646" s="3"/>
      <c r="P646" s="3"/>
      <c r="Q646" s="3"/>
      <c r="R646" s="3"/>
      <c r="S646" s="3"/>
      <c r="T646" s="3"/>
      <c r="U646" s="3"/>
      <c r="V646" s="3"/>
      <c r="W646" s="3"/>
      <c r="X646" s="3"/>
      <c r="Y646" s="3"/>
      <c r="Z646" s="3"/>
    </row>
    <row r="647" spans="1:26" customFormat="1" ht="12.75" x14ac:dyDescent="0.2">
      <c r="A647" s="246"/>
      <c r="B647" s="3"/>
      <c r="C647" s="802"/>
      <c r="D647" s="608">
        <v>0</v>
      </c>
      <c r="E647" s="635">
        <v>-1012.0443356768059</v>
      </c>
      <c r="F647" s="632">
        <v>-416.33528378954264</v>
      </c>
      <c r="G647" s="632">
        <v>180.50755122756982</v>
      </c>
      <c r="H647" s="632">
        <v>1372.1483125058162</v>
      </c>
      <c r="I647" s="632">
        <v>1968.3988393448578</v>
      </c>
      <c r="J647" s="632">
        <v>2564.0507444035838</v>
      </c>
      <c r="K647" s="632">
        <v>3756.0898701826927</v>
      </c>
      <c r="L647" s="632">
        <v>4770.5026542974138</v>
      </c>
      <c r="M647" s="617">
        <v>5673.5808536735622</v>
      </c>
      <c r="N647" s="3"/>
      <c r="O647" s="3"/>
      <c r="P647" s="3"/>
      <c r="Q647" s="3"/>
      <c r="R647" s="3"/>
      <c r="S647" s="3"/>
      <c r="T647" s="3"/>
      <c r="U647" s="3"/>
      <c r="V647" s="3"/>
      <c r="W647" s="3"/>
      <c r="X647" s="3"/>
      <c r="Y647" s="3"/>
      <c r="Z647" s="3"/>
    </row>
    <row r="648" spans="1:26" customFormat="1" ht="12.75" x14ac:dyDescent="0.2">
      <c r="A648" s="246"/>
      <c r="B648" s="3"/>
      <c r="C648" s="858" t="s">
        <v>992</v>
      </c>
      <c r="D648" s="383">
        <v>0.05</v>
      </c>
      <c r="E648" s="630">
        <v>-941.79964870282663</v>
      </c>
      <c r="F648" s="631">
        <v>-309.88664551128386</v>
      </c>
      <c r="G648" s="631">
        <v>323.16014081010934</v>
      </c>
      <c r="H648" s="632">
        <v>1587.208804696917</v>
      </c>
      <c r="I648" s="631">
        <v>2219.6632828402389</v>
      </c>
      <c r="J648" s="631">
        <v>2851.5191392032466</v>
      </c>
      <c r="K648" s="631">
        <v>4115.9661675909147</v>
      </c>
      <c r="L648" s="631">
        <v>5193.0496680888245</v>
      </c>
      <c r="M648" s="613">
        <v>6159.9258098459395</v>
      </c>
      <c r="N648" s="3"/>
      <c r="O648" s="3"/>
      <c r="P648" s="3"/>
      <c r="Q648" s="3"/>
      <c r="R648" s="3"/>
      <c r="S648" s="3"/>
      <c r="T648" s="3"/>
      <c r="U648" s="3"/>
      <c r="V648" s="3"/>
      <c r="W648" s="3"/>
      <c r="X648" s="3"/>
      <c r="Y648" s="3"/>
      <c r="Z648" s="3"/>
    </row>
    <row r="649" spans="1:26" customFormat="1" ht="12.75" x14ac:dyDescent="0.2">
      <c r="A649" s="246"/>
      <c r="B649" s="3"/>
      <c r="C649" s="859" t="s">
        <v>944</v>
      </c>
      <c r="D649" s="383">
        <v>0.1</v>
      </c>
      <c r="E649" s="630">
        <v>-871.55496172884807</v>
      </c>
      <c r="F649" s="631">
        <v>-203.43800723302428</v>
      </c>
      <c r="G649" s="631">
        <v>465.81273039265</v>
      </c>
      <c r="H649" s="632">
        <v>1802.2692968880187</v>
      </c>
      <c r="I649" s="631">
        <v>2470.9277263356212</v>
      </c>
      <c r="J649" s="631">
        <v>3138.9875340029089</v>
      </c>
      <c r="K649" s="631">
        <v>4475.8424649991375</v>
      </c>
      <c r="L649" s="631">
        <v>5615.5966818802362</v>
      </c>
      <c r="M649" s="613">
        <v>6646.2707660183178</v>
      </c>
      <c r="N649" s="3"/>
      <c r="O649" s="3"/>
      <c r="P649" s="3"/>
      <c r="Q649" s="3"/>
      <c r="R649" s="3"/>
      <c r="S649" s="3"/>
      <c r="T649" s="3"/>
      <c r="U649" s="3"/>
      <c r="V649" s="3"/>
      <c r="W649" s="3"/>
      <c r="X649" s="3"/>
      <c r="Y649" s="3"/>
      <c r="Z649" s="3"/>
    </row>
    <row r="650" spans="1:26" customFormat="1" ht="12.75" x14ac:dyDescent="0.2">
      <c r="A650" s="246"/>
      <c r="B650" s="3"/>
      <c r="C650" s="802"/>
      <c r="D650" s="383">
        <v>0.15</v>
      </c>
      <c r="E650" s="630">
        <v>-801.31027475486951</v>
      </c>
      <c r="F650" s="631">
        <v>-96.989368954765339</v>
      </c>
      <c r="G650" s="631">
        <v>608.46531997518912</v>
      </c>
      <c r="H650" s="632">
        <v>2017.3297890791187</v>
      </c>
      <c r="I650" s="631">
        <v>2722.1921698310011</v>
      </c>
      <c r="J650" s="631">
        <v>3426.4559288025689</v>
      </c>
      <c r="K650" s="631">
        <v>4835.7187624073613</v>
      </c>
      <c r="L650" s="631">
        <v>6038.1436956716416</v>
      </c>
      <c r="M650" s="613">
        <v>7132.6157221906951</v>
      </c>
      <c r="N650" s="3"/>
      <c r="O650" s="3"/>
      <c r="P650" s="3"/>
      <c r="Q650" s="3"/>
      <c r="R650" s="3"/>
      <c r="S650" s="3"/>
      <c r="T650" s="3"/>
      <c r="U650" s="3"/>
      <c r="V650" s="3"/>
      <c r="W650" s="3"/>
      <c r="X650" s="3"/>
      <c r="Y650" s="3"/>
      <c r="Z650" s="3"/>
    </row>
    <row r="651" spans="1:26" customFormat="1" ht="12.75" x14ac:dyDescent="0.2">
      <c r="A651" s="246"/>
      <c r="B651" s="3"/>
      <c r="C651" s="802"/>
      <c r="D651" s="383">
        <v>0.2</v>
      </c>
      <c r="E651" s="630">
        <v>-731.06558778089038</v>
      </c>
      <c r="F651" s="631">
        <v>9.4592693234944552</v>
      </c>
      <c r="G651" s="631">
        <v>751.11790955772938</v>
      </c>
      <c r="H651" s="632">
        <v>2232.3902812702199</v>
      </c>
      <c r="I651" s="631">
        <v>2973.4566133263829</v>
      </c>
      <c r="J651" s="631">
        <v>3713.9243236022307</v>
      </c>
      <c r="K651" s="631">
        <v>5195.5950598155832</v>
      </c>
      <c r="L651" s="631">
        <v>6460.6907094630542</v>
      </c>
      <c r="M651" s="613">
        <v>7618.9606783630734</v>
      </c>
      <c r="N651" s="3"/>
      <c r="O651" s="3"/>
      <c r="P651" s="3"/>
      <c r="Q651" s="3"/>
      <c r="R651" s="3"/>
      <c r="S651" s="3"/>
      <c r="T651" s="3"/>
      <c r="U651" s="3"/>
      <c r="V651" s="3"/>
      <c r="W651" s="3"/>
      <c r="X651" s="3"/>
      <c r="Y651" s="3"/>
      <c r="Z651" s="3"/>
    </row>
    <row r="652" spans="1:26" customFormat="1" ht="12.75" x14ac:dyDescent="0.2">
      <c r="A652" s="246"/>
      <c r="B652" s="3"/>
      <c r="C652" s="860"/>
      <c r="D652" s="388">
        <v>0.25</v>
      </c>
      <c r="E652" s="636">
        <v>-660.8209008069116</v>
      </c>
      <c r="F652" s="637">
        <v>115.90790760175355</v>
      </c>
      <c r="G652" s="637">
        <v>893.77049914026895</v>
      </c>
      <c r="H652" s="638">
        <v>2447.4507734613203</v>
      </c>
      <c r="I652" s="637">
        <v>3224.7210568217643</v>
      </c>
      <c r="J652" s="637">
        <v>4001.3927184018926</v>
      </c>
      <c r="K652" s="637">
        <v>5555.4713572238043</v>
      </c>
      <c r="L652" s="637">
        <v>6883.2377232544613</v>
      </c>
      <c r="M652" s="619">
        <v>8105.3056345354498</v>
      </c>
      <c r="N652" s="3"/>
      <c r="O652" s="3"/>
      <c r="P652" s="3"/>
      <c r="Q652" s="3"/>
      <c r="R652" s="3"/>
      <c r="S652" s="3"/>
      <c r="T652" s="3"/>
      <c r="U652" s="3"/>
      <c r="V652" s="3"/>
      <c r="W652" s="3"/>
      <c r="X652" s="3"/>
      <c r="Y652" s="3"/>
      <c r="Z652" s="3"/>
    </row>
    <row r="653" spans="1:26" s="159" customFormat="1" ht="12.75" x14ac:dyDescent="0.2">
      <c r="A653" s="122"/>
      <c r="B653" s="122"/>
      <c r="C653" s="122"/>
      <c r="D653" s="122"/>
      <c r="E653" s="122"/>
      <c r="F653" s="122"/>
      <c r="G653" s="122"/>
      <c r="H653" s="122"/>
      <c r="I653" s="122"/>
      <c r="J653" s="122"/>
      <c r="K653" s="122"/>
      <c r="L653" s="122"/>
      <c r="M653" s="122"/>
      <c r="N653" s="122"/>
      <c r="O653" s="122"/>
      <c r="P653" s="122"/>
      <c r="Q653" s="122"/>
      <c r="R653" s="122"/>
      <c r="S653" s="122"/>
      <c r="T653" s="173"/>
      <c r="U653" s="173"/>
      <c r="V653" s="173"/>
      <c r="W653" s="173"/>
      <c r="X653" s="173"/>
      <c r="Y653" s="173"/>
      <c r="Z653" s="173"/>
    </row>
    <row r="654" spans="1:26" ht="12.75" x14ac:dyDescent="0.2">
      <c r="A654" s="122"/>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row>
    <row r="655" spans="1:26" ht="12.75" x14ac:dyDescent="0.2">
      <c r="A655" s="122"/>
      <c r="B655" s="122"/>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row>
    <row r="656" spans="1:26" ht="12.75" x14ac:dyDescent="0.2">
      <c r="A656" s="122"/>
      <c r="B656" s="122"/>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row>
    <row r="657" spans="1:26" ht="12.75" x14ac:dyDescent="0.2">
      <c r="A657" s="122"/>
      <c r="B657" s="122"/>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row>
    <row r="658" spans="1:26" ht="12.75" x14ac:dyDescent="0.2">
      <c r="A658" s="122"/>
      <c r="B658" s="122"/>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row>
    <row r="659" spans="1:26" ht="12.75" x14ac:dyDescent="0.2">
      <c r="A659" s="122"/>
      <c r="B659" s="122"/>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row>
    <row r="660" spans="1:26" ht="12.75" x14ac:dyDescent="0.2">
      <c r="A660" s="122"/>
      <c r="B660" s="122"/>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row>
    <row r="661" spans="1:26" ht="12.75" x14ac:dyDescent="0.2">
      <c r="A661" s="122"/>
      <c r="B661" s="122"/>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row>
    <row r="662" spans="1:26" ht="12.75" x14ac:dyDescent="0.2">
      <c r="A662" s="122"/>
      <c r="B662" s="122"/>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row>
    <row r="663" spans="1:26" ht="12.75" x14ac:dyDescent="0.2">
      <c r="A663" s="122"/>
      <c r="B663" s="122"/>
      <c r="C663" s="122"/>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row>
    <row r="664" spans="1:26" ht="12.75" x14ac:dyDescent="0.2">
      <c r="A664" s="122"/>
      <c r="B664" s="122"/>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row>
    <row r="665" spans="1:26" ht="12.75" x14ac:dyDescent="0.2">
      <c r="A665" s="122"/>
      <c r="B665" s="122"/>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row>
    <row r="666" spans="1:26" ht="12.75" x14ac:dyDescent="0.2">
      <c r="A666" s="122"/>
      <c r="B666" s="122"/>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row>
    <row r="667" spans="1:26" ht="12.75" x14ac:dyDescent="0.2">
      <c r="A667" s="122"/>
      <c r="B667" s="122"/>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row>
    <row r="668" spans="1:26" ht="12.75" x14ac:dyDescent="0.2">
      <c r="A668" s="122"/>
      <c r="B668" s="122"/>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row>
    <row r="669" spans="1:26" ht="12.75" x14ac:dyDescent="0.2">
      <c r="A669" s="122"/>
      <c r="B669" s="122"/>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row>
    <row r="670" spans="1:26" ht="12.75" x14ac:dyDescent="0.2">
      <c r="A670" s="122"/>
      <c r="B670" s="122"/>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row>
    <row r="671" spans="1:26" ht="12.75" x14ac:dyDescent="0.2">
      <c r="A671" s="122"/>
      <c r="B671" s="122"/>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row>
    <row r="672" spans="1:26" ht="12.75" x14ac:dyDescent="0.2">
      <c r="A672" s="122"/>
      <c r="B672" s="122"/>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row>
    <row r="673" spans="1:26" ht="12.75" x14ac:dyDescent="0.2">
      <c r="A673" s="122"/>
      <c r="B673" s="122"/>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row>
    <row r="674" spans="1:26" ht="12.75" x14ac:dyDescent="0.2">
      <c r="A674" s="122"/>
      <c r="B674" s="122"/>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row>
    <row r="675" spans="1:26" ht="12.75" x14ac:dyDescent="0.2">
      <c r="A675" s="122"/>
      <c r="B675" s="122"/>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row>
    <row r="676" spans="1:26" ht="12.75" x14ac:dyDescent="0.2">
      <c r="A676" s="122"/>
      <c r="B676" s="122"/>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row>
    <row r="677" spans="1:26" ht="12.75" x14ac:dyDescent="0.2">
      <c r="A677" s="122"/>
      <c r="B677" s="122"/>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row>
    <row r="678" spans="1:26" ht="12.75" x14ac:dyDescent="0.2">
      <c r="A678" s="122"/>
      <c r="B678" s="122"/>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row>
    <row r="679" spans="1:26" ht="12.75" x14ac:dyDescent="0.2">
      <c r="A679" s="122"/>
      <c r="B679" s="122"/>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row>
    <row r="680" spans="1:26" ht="12.75" x14ac:dyDescent="0.2">
      <c r="A680" s="122"/>
      <c r="B680" s="122"/>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row>
    <row r="681" spans="1:26" ht="12.75" x14ac:dyDescent="0.2">
      <c r="A681" s="122"/>
      <c r="B681" s="122"/>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row>
    <row r="682" spans="1:26" ht="12.75" x14ac:dyDescent="0.2">
      <c r="A682" s="122"/>
      <c r="B682" s="122"/>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row>
    <row r="683" spans="1:26" ht="12.75" x14ac:dyDescent="0.2">
      <c r="A683" s="122"/>
      <c r="B683" s="122"/>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row>
    <row r="684" spans="1:26" ht="12.75" x14ac:dyDescent="0.2">
      <c r="A684" s="122"/>
      <c r="B684" s="122"/>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row>
    <row r="685" spans="1:26" ht="12.75" x14ac:dyDescent="0.2">
      <c r="A685" s="122"/>
      <c r="B685" s="122"/>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row>
    <row r="686" spans="1:26" ht="12.75" x14ac:dyDescent="0.2">
      <c r="A686" s="122"/>
      <c r="B686" s="122"/>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row>
    <row r="687" spans="1:26" ht="12.75" x14ac:dyDescent="0.2">
      <c r="A687" s="122"/>
      <c r="B687" s="122"/>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row>
    <row r="688" spans="1:26" ht="12.75" x14ac:dyDescent="0.2">
      <c r="A688" s="122"/>
      <c r="B688" s="122"/>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row>
    <row r="689" spans="1:26" ht="12.75" x14ac:dyDescent="0.2">
      <c r="A689" s="122"/>
      <c r="B689" s="122"/>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row>
    <row r="690" spans="1:26" ht="12.75" x14ac:dyDescent="0.2">
      <c r="A690" s="122"/>
      <c r="B690" s="122"/>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row>
    <row r="691" spans="1:26" ht="12.75" x14ac:dyDescent="0.2">
      <c r="A691" s="122"/>
      <c r="B691" s="122"/>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row>
    <row r="692" spans="1:26" ht="12.75" x14ac:dyDescent="0.2">
      <c r="A692" s="122"/>
      <c r="B692" s="122"/>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row>
    <row r="693" spans="1:26" ht="12.75" x14ac:dyDescent="0.2">
      <c r="A693" s="122"/>
      <c r="B693" s="122"/>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row>
    <row r="694" spans="1:26" ht="12.75" x14ac:dyDescent="0.2">
      <c r="A694" s="122"/>
      <c r="B694" s="122"/>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row>
    <row r="695" spans="1:26" ht="12.75" x14ac:dyDescent="0.2">
      <c r="A695" s="122"/>
      <c r="B695" s="122"/>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row>
    <row r="696" spans="1:26" ht="12.75" x14ac:dyDescent="0.2">
      <c r="A696" s="122"/>
      <c r="B696" s="122"/>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row>
    <row r="697" spans="1:26" ht="12.75" x14ac:dyDescent="0.2">
      <c r="A697" s="122"/>
      <c r="B697" s="122"/>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row>
    <row r="698" spans="1:26" ht="12.75" x14ac:dyDescent="0.2">
      <c r="A698" s="122"/>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row>
    <row r="699" spans="1:26" ht="12.75" x14ac:dyDescent="0.2">
      <c r="A699" s="122"/>
      <c r="B699" s="122"/>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row>
    <row r="700" spans="1:26" ht="12.75" x14ac:dyDescent="0.2">
      <c r="A700" s="122"/>
      <c r="B700" s="122"/>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row>
    <row r="701" spans="1:26" ht="12.75" x14ac:dyDescent="0.2">
      <c r="A701" s="122"/>
      <c r="B701" s="122"/>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row>
    <row r="702" spans="1:26" ht="12.75" x14ac:dyDescent="0.2">
      <c r="A702" s="122"/>
      <c r="B702" s="122"/>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row>
    <row r="703" spans="1:26" ht="12.75" x14ac:dyDescent="0.2">
      <c r="A703" s="122"/>
      <c r="B703" s="122"/>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row>
    <row r="704" spans="1:26" ht="12.75" x14ac:dyDescent="0.2">
      <c r="A704" s="122"/>
      <c r="B704" s="122"/>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row>
    <row r="705" spans="1:26" ht="12.75" x14ac:dyDescent="0.2">
      <c r="A705" s="122"/>
      <c r="B705" s="122"/>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row>
    <row r="706" spans="1:26" ht="12.75" x14ac:dyDescent="0.2">
      <c r="A706" s="122"/>
      <c r="B706" s="122"/>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row>
    <row r="707" spans="1:26" ht="12.75" x14ac:dyDescent="0.2">
      <c r="A707" s="122"/>
      <c r="B707" s="122"/>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row>
    <row r="708" spans="1:26" ht="12.75" x14ac:dyDescent="0.2">
      <c r="A708" s="122"/>
      <c r="B708" s="122"/>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row>
    <row r="709" spans="1:26" ht="12.75" x14ac:dyDescent="0.2">
      <c r="A709" s="122"/>
      <c r="B709" s="122"/>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row>
    <row r="710" spans="1:26" ht="12.75" x14ac:dyDescent="0.2">
      <c r="A710" s="122"/>
      <c r="B710" s="122"/>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row>
    <row r="711" spans="1:26" ht="12.75" x14ac:dyDescent="0.2">
      <c r="A711" s="122"/>
      <c r="B711" s="122"/>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row>
    <row r="712" spans="1:26" ht="12.75" x14ac:dyDescent="0.2">
      <c r="A712" s="122"/>
      <c r="B712" s="122"/>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row>
    <row r="713" spans="1:26" ht="12.75" x14ac:dyDescent="0.2">
      <c r="A713" s="122"/>
      <c r="B713" s="122"/>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row>
    <row r="714" spans="1:26" ht="12.75" x14ac:dyDescent="0.2">
      <c r="A714" s="122"/>
      <c r="B714" s="122"/>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row>
    <row r="715" spans="1:26" ht="12.75" x14ac:dyDescent="0.2">
      <c r="A715" s="122"/>
      <c r="B715" s="122"/>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row>
    <row r="716" spans="1:26" ht="12.75" x14ac:dyDescent="0.2">
      <c r="A716" s="122"/>
      <c r="B716" s="122"/>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row>
    <row r="717" spans="1:26" ht="12.75" x14ac:dyDescent="0.2">
      <c r="A717" s="122"/>
      <c r="B717" s="122"/>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row>
    <row r="718" spans="1:26" ht="12.75" x14ac:dyDescent="0.2">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row>
    <row r="719" spans="1:26" ht="12.75" x14ac:dyDescent="0.2">
      <c r="A719" s="122"/>
      <c r="B719" s="122"/>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row>
    <row r="720" spans="1:26" ht="12.75" x14ac:dyDescent="0.2">
      <c r="A720" s="122"/>
      <c r="B720" s="122"/>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row>
    <row r="721" spans="1:26" ht="12.75" x14ac:dyDescent="0.2">
      <c r="A721" s="122"/>
      <c r="B721" s="122"/>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row>
    <row r="722" spans="1:26" ht="12.75" x14ac:dyDescent="0.2">
      <c r="A722" s="122"/>
      <c r="B722" s="122"/>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row>
    <row r="723" spans="1:26" ht="12.75" x14ac:dyDescent="0.2">
      <c r="A723" s="122"/>
      <c r="B723" s="122"/>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row>
    <row r="724" spans="1:26" ht="12.75" x14ac:dyDescent="0.2">
      <c r="A724" s="122"/>
      <c r="B724" s="122"/>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row>
    <row r="725" spans="1:26" ht="12.75" x14ac:dyDescent="0.2">
      <c r="A725" s="122"/>
      <c r="B725" s="122"/>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row>
    <row r="726" spans="1:26" ht="12.75" x14ac:dyDescent="0.2">
      <c r="A726" s="122"/>
      <c r="B726" s="122"/>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row>
    <row r="727" spans="1:26" ht="12.75" x14ac:dyDescent="0.2">
      <c r="A727" s="122"/>
      <c r="B727" s="122"/>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row>
    <row r="728" spans="1:26" ht="12.75" x14ac:dyDescent="0.2">
      <c r="A728" s="122"/>
      <c r="B728" s="122"/>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row>
    <row r="729" spans="1:26" ht="12.75" x14ac:dyDescent="0.2">
      <c r="A729" s="122"/>
      <c r="B729" s="122"/>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row>
    <row r="730" spans="1:26" ht="12.75" x14ac:dyDescent="0.2">
      <c r="A730" s="122"/>
      <c r="B730" s="122"/>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row>
    <row r="731" spans="1:26" ht="12.75" x14ac:dyDescent="0.2">
      <c r="A731" s="122"/>
      <c r="B731" s="122"/>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row>
    <row r="732" spans="1:26" ht="12.75" x14ac:dyDescent="0.2">
      <c r="A732" s="122"/>
      <c r="B732" s="122"/>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row>
    <row r="733" spans="1:26" ht="12.75" x14ac:dyDescent="0.2">
      <c r="A733" s="122"/>
      <c r="B733" s="122"/>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row>
    <row r="734" spans="1:26" ht="12.75" x14ac:dyDescent="0.2">
      <c r="A734" s="122"/>
      <c r="B734" s="122"/>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row>
    <row r="735" spans="1:26" ht="12.75" x14ac:dyDescent="0.2">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row>
    <row r="736" spans="1:26" ht="12.75" x14ac:dyDescent="0.2">
      <c r="A736" s="122"/>
      <c r="B736" s="122"/>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row>
    <row r="737" spans="1:26" ht="12.75" x14ac:dyDescent="0.2">
      <c r="A737" s="122"/>
      <c r="B737" s="122"/>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row>
    <row r="738" spans="1:26" ht="12.75" x14ac:dyDescent="0.2">
      <c r="A738" s="122"/>
      <c r="B738" s="122"/>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row>
    <row r="739" spans="1:26" ht="12.75" x14ac:dyDescent="0.2">
      <c r="A739" s="122"/>
      <c r="B739" s="122"/>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row>
    <row r="740" spans="1:26" ht="12.75" x14ac:dyDescent="0.2">
      <c r="A740" s="122"/>
      <c r="B740" s="122"/>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row>
    <row r="741" spans="1:26" ht="12.75" x14ac:dyDescent="0.2">
      <c r="A741" s="122"/>
      <c r="B741" s="122"/>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row>
    <row r="742" spans="1:26" ht="12.75" x14ac:dyDescent="0.2">
      <c r="A742" s="122"/>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row>
    <row r="743" spans="1:26" ht="12.75" x14ac:dyDescent="0.2">
      <c r="A743" s="122"/>
      <c r="B743" s="122"/>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row>
    <row r="744" spans="1:26" ht="12.75" x14ac:dyDescent="0.2">
      <c r="A744" s="122"/>
      <c r="B744" s="122"/>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row>
    <row r="745" spans="1:26" ht="12.75" x14ac:dyDescent="0.2">
      <c r="A745" s="122"/>
      <c r="B745" s="122"/>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row>
    <row r="746" spans="1:26" ht="12.75" x14ac:dyDescent="0.2">
      <c r="A746" s="122"/>
      <c r="B746" s="122"/>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row>
    <row r="747" spans="1:26" ht="12.75" x14ac:dyDescent="0.2">
      <c r="A747" s="122"/>
      <c r="B747" s="122"/>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row>
    <row r="748" spans="1:26" ht="12.75" x14ac:dyDescent="0.2">
      <c r="A748" s="122"/>
      <c r="B748" s="122"/>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row>
    <row r="749" spans="1:26" ht="12.75" x14ac:dyDescent="0.2">
      <c r="A749" s="122"/>
      <c r="B749" s="122"/>
      <c r="C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row>
    <row r="750" spans="1:26" ht="12.75" x14ac:dyDescent="0.2">
      <c r="A750" s="122"/>
      <c r="B750" s="122"/>
      <c r="C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row>
    <row r="751" spans="1:26" ht="12.75" x14ac:dyDescent="0.2">
      <c r="A751" s="122"/>
      <c r="B751" s="122"/>
      <c r="C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row>
    <row r="752" spans="1:26" ht="12.75" x14ac:dyDescent="0.2">
      <c r="A752" s="122"/>
      <c r="B752" s="122"/>
      <c r="C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row>
    <row r="753" spans="1:26" ht="12.75" x14ac:dyDescent="0.2">
      <c r="A753" s="122"/>
      <c r="B753" s="122"/>
      <c r="C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row>
    <row r="754" spans="1:26" ht="12.75" x14ac:dyDescent="0.2">
      <c r="A754" s="122"/>
      <c r="B754" s="122"/>
      <c r="C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row>
    <row r="755" spans="1:26" ht="12.75" x14ac:dyDescent="0.2">
      <c r="A755" s="122"/>
      <c r="B755" s="122"/>
      <c r="C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row>
    <row r="756" spans="1:26" ht="12.75" x14ac:dyDescent="0.2">
      <c r="A756" s="122"/>
      <c r="B756" s="122"/>
      <c r="C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row>
    <row r="757" spans="1:26" ht="12.75" x14ac:dyDescent="0.2">
      <c r="A757" s="122"/>
      <c r="B757" s="122"/>
      <c r="C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row>
    <row r="758" spans="1:26" ht="12.75" x14ac:dyDescent="0.2">
      <c r="A758" s="122"/>
      <c r="B758" s="122"/>
      <c r="C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row>
    <row r="759" spans="1:26" ht="12.75" x14ac:dyDescent="0.2">
      <c r="A759" s="122"/>
      <c r="B759" s="122"/>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row>
    <row r="760" spans="1:26" ht="12.75" x14ac:dyDescent="0.2">
      <c r="A760" s="122"/>
      <c r="B760" s="122"/>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row>
    <row r="761" spans="1:26" ht="12.75" x14ac:dyDescent="0.2">
      <c r="A761" s="122"/>
      <c r="B761" s="122"/>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row>
    <row r="762" spans="1:26" ht="12.75" x14ac:dyDescent="0.2">
      <c r="A762" s="122"/>
      <c r="B762" s="122"/>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row>
    <row r="763" spans="1:26" ht="12.75" x14ac:dyDescent="0.2">
      <c r="A763" s="122"/>
      <c r="B763" s="122"/>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row>
    <row r="764" spans="1:26" ht="12.75" x14ac:dyDescent="0.2">
      <c r="A764" s="122"/>
      <c r="B764" s="122"/>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row>
    <row r="765" spans="1:26" ht="12.75" x14ac:dyDescent="0.2">
      <c r="A765" s="122"/>
      <c r="B765" s="122"/>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row>
    <row r="766" spans="1:26" ht="12.75" x14ac:dyDescent="0.2">
      <c r="A766" s="122"/>
      <c r="B766" s="122"/>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row>
    <row r="767" spans="1:26" ht="12.75" x14ac:dyDescent="0.2">
      <c r="A767" s="122"/>
      <c r="B767" s="122"/>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row>
    <row r="768" spans="1:26" ht="12.75" x14ac:dyDescent="0.2">
      <c r="A768" s="122"/>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row>
    <row r="769" spans="1:26" ht="12.75" x14ac:dyDescent="0.2">
      <c r="A769" s="122"/>
      <c r="B769" s="122"/>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row>
    <row r="770" spans="1:26" ht="12.75" x14ac:dyDescent="0.2">
      <c r="A770" s="122"/>
      <c r="B770" s="122"/>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row>
    <row r="771" spans="1:26" ht="12.75" x14ac:dyDescent="0.2">
      <c r="A771" s="122"/>
      <c r="B771" s="122"/>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row>
    <row r="772" spans="1:26" ht="12.75" x14ac:dyDescent="0.2">
      <c r="A772" s="122"/>
      <c r="B772" s="122"/>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row>
    <row r="773" spans="1:26" ht="12.75" x14ac:dyDescent="0.2">
      <c r="A773" s="122"/>
      <c r="B773" s="122"/>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row>
    <row r="774" spans="1:26" ht="12.75" x14ac:dyDescent="0.2">
      <c r="A774" s="122"/>
      <c r="B774" s="122"/>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row>
    <row r="775" spans="1:26" ht="12.75" x14ac:dyDescent="0.2">
      <c r="A775" s="122"/>
      <c r="B775" s="122"/>
      <c r="C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row>
    <row r="776" spans="1:26" ht="12.75" x14ac:dyDescent="0.2">
      <c r="A776" s="122"/>
      <c r="B776" s="122"/>
      <c r="C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row>
    <row r="777" spans="1:26" ht="12.75" x14ac:dyDescent="0.2">
      <c r="A777" s="122"/>
      <c r="B777" s="122"/>
      <c r="C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row>
    <row r="778" spans="1:26" ht="12.75" x14ac:dyDescent="0.2">
      <c r="A778" s="122"/>
      <c r="B778" s="122"/>
      <c r="C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row>
    <row r="779" spans="1:26" ht="12.75" x14ac:dyDescent="0.2">
      <c r="A779" s="122"/>
      <c r="B779" s="122"/>
      <c r="C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row>
    <row r="780" spans="1:26" ht="12.75" x14ac:dyDescent="0.2">
      <c r="A780" s="122"/>
      <c r="B780" s="122"/>
      <c r="C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row>
    <row r="781" spans="1:26" ht="12.75" x14ac:dyDescent="0.2">
      <c r="A781" s="122"/>
      <c r="B781" s="122"/>
      <c r="C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row>
    <row r="782" spans="1:26" ht="12.75" x14ac:dyDescent="0.2">
      <c r="A782" s="122"/>
      <c r="B782" s="122"/>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row>
    <row r="783" spans="1:26" ht="12.75" x14ac:dyDescent="0.2">
      <c r="A783" s="122"/>
      <c r="B783" s="122"/>
      <c r="C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row>
    <row r="784" spans="1:26" ht="12.75" x14ac:dyDescent="0.2">
      <c r="A784" s="122"/>
      <c r="B784" s="122"/>
      <c r="C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row>
    <row r="785" spans="1:26" ht="12.75" x14ac:dyDescent="0.2">
      <c r="A785" s="122"/>
      <c r="B785" s="122"/>
      <c r="C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row>
    <row r="786" spans="1:26" ht="12.75" x14ac:dyDescent="0.2">
      <c r="A786" s="122"/>
      <c r="B786" s="122"/>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row>
    <row r="787" spans="1:26" ht="12.75" x14ac:dyDescent="0.2">
      <c r="A787" s="122"/>
      <c r="B787" s="122"/>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row>
    <row r="788" spans="1:26" ht="12.75" x14ac:dyDescent="0.2">
      <c r="A788" s="122"/>
      <c r="B788" s="122"/>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row>
    <row r="789" spans="1:26" ht="12.75" x14ac:dyDescent="0.2">
      <c r="A789" s="122"/>
      <c r="B789" s="122"/>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row>
    <row r="790" spans="1:26" ht="12.75" x14ac:dyDescent="0.2">
      <c r="A790" s="122"/>
      <c r="B790" s="122"/>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row>
    <row r="791" spans="1:26" ht="12.75" x14ac:dyDescent="0.2">
      <c r="A791" s="122"/>
      <c r="B791" s="122"/>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row>
    <row r="792" spans="1:26" ht="12.75" x14ac:dyDescent="0.2">
      <c r="A792" s="122"/>
      <c r="B792" s="122"/>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row>
    <row r="793" spans="1:26" ht="12.75" x14ac:dyDescent="0.2">
      <c r="A793" s="122"/>
      <c r="B793" s="122"/>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row>
    <row r="794" spans="1:26" ht="12.75" x14ac:dyDescent="0.2">
      <c r="A794" s="122"/>
      <c r="B794" s="122"/>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row>
    <row r="795" spans="1:26" ht="12.75" x14ac:dyDescent="0.2">
      <c r="A795" s="122"/>
      <c r="B795" s="122"/>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row>
    <row r="796" spans="1:26" ht="12.75" x14ac:dyDescent="0.2">
      <c r="A796" s="122"/>
      <c r="B796" s="122"/>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row>
    <row r="797" spans="1:26" ht="12.75" x14ac:dyDescent="0.2">
      <c r="A797" s="122"/>
      <c r="B797" s="122"/>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row>
    <row r="798" spans="1:26" ht="12.75" x14ac:dyDescent="0.2">
      <c r="A798" s="122"/>
      <c r="B798" s="122"/>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row>
    <row r="799" spans="1:26" ht="12.75" x14ac:dyDescent="0.2">
      <c r="A799" s="122"/>
      <c r="B799" s="122"/>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row>
    <row r="800" spans="1:26" ht="12.75" x14ac:dyDescent="0.2">
      <c r="A800" s="122"/>
      <c r="B800" s="122"/>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row>
    <row r="801" spans="1:26" ht="12.75" x14ac:dyDescent="0.2">
      <c r="A801" s="122"/>
      <c r="B801" s="122"/>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row>
    <row r="802" spans="1:26" ht="12.75" x14ac:dyDescent="0.2">
      <c r="A802" s="122"/>
      <c r="B802" s="122"/>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row>
    <row r="803" spans="1:26" ht="12.75" x14ac:dyDescent="0.2">
      <c r="A803" s="122"/>
      <c r="B803" s="122"/>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row>
    <row r="804" spans="1:26" ht="12.75" x14ac:dyDescent="0.2">
      <c r="A804" s="122"/>
      <c r="B804" s="122"/>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row>
    <row r="805" spans="1:26" ht="12.75" x14ac:dyDescent="0.2">
      <c r="A805" s="122"/>
      <c r="B805" s="122"/>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row>
    <row r="806" spans="1:26" ht="12.75" x14ac:dyDescent="0.2">
      <c r="A806" s="122"/>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row>
    <row r="807" spans="1:26" ht="12.75" x14ac:dyDescent="0.2">
      <c r="A807" s="122"/>
      <c r="B807" s="122"/>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row>
    <row r="808" spans="1:26" ht="12.75" x14ac:dyDescent="0.2">
      <c r="A808" s="122"/>
      <c r="B808" s="122"/>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row>
    <row r="809" spans="1:26" ht="12.75" x14ac:dyDescent="0.2">
      <c r="A809" s="122"/>
      <c r="B809" s="122"/>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row>
    <row r="810" spans="1:26" ht="12.75" x14ac:dyDescent="0.2">
      <c r="A810" s="122"/>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row>
    <row r="811" spans="1:26" ht="12.75" x14ac:dyDescent="0.2">
      <c r="A811" s="122"/>
      <c r="B811" s="122"/>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row>
    <row r="812" spans="1:26" ht="12.75" x14ac:dyDescent="0.2">
      <c r="A812" s="122"/>
      <c r="B812" s="122"/>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row>
    <row r="813" spans="1:26" ht="12.75" x14ac:dyDescent="0.2">
      <c r="A813" s="122"/>
      <c r="B813" s="122"/>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row>
    <row r="814" spans="1:26" ht="12.75" x14ac:dyDescent="0.2">
      <c r="A814" s="122"/>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row>
    <row r="815" spans="1:26" ht="12.75" x14ac:dyDescent="0.2">
      <c r="A815" s="122"/>
      <c r="B815" s="122"/>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row>
    <row r="816" spans="1:26" ht="12.75" x14ac:dyDescent="0.2">
      <c r="A816" s="122"/>
      <c r="B816" s="122"/>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row>
    <row r="817" spans="1:26" ht="12.75" x14ac:dyDescent="0.2">
      <c r="A817" s="122"/>
      <c r="B817" s="122"/>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row>
    <row r="818" spans="1:26" ht="12.75" x14ac:dyDescent="0.2">
      <c r="A818" s="122"/>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row>
    <row r="819" spans="1:26" ht="12.75" x14ac:dyDescent="0.2">
      <c r="A819" s="122"/>
      <c r="B819" s="122"/>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row>
    <row r="820" spans="1:26" ht="12.75" x14ac:dyDescent="0.2">
      <c r="A820" s="122"/>
      <c r="B820" s="122"/>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row>
    <row r="821" spans="1:26" ht="12.75" x14ac:dyDescent="0.2">
      <c r="A821" s="122"/>
      <c r="B821" s="122"/>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row>
    <row r="822" spans="1:26" ht="12.75" x14ac:dyDescent="0.2">
      <c r="A822" s="122"/>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row>
    <row r="823" spans="1:26" ht="12.75" x14ac:dyDescent="0.2">
      <c r="A823" s="122"/>
      <c r="B823" s="122"/>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row>
    <row r="824" spans="1:26" ht="12.75" x14ac:dyDescent="0.2">
      <c r="A824" s="122"/>
      <c r="B824" s="122"/>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row>
    <row r="825" spans="1:26" ht="12.75" x14ac:dyDescent="0.2">
      <c r="A825" s="122"/>
      <c r="B825" s="122"/>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row>
    <row r="826" spans="1:26" ht="12.75" x14ac:dyDescent="0.2">
      <c r="A826" s="122"/>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row>
    <row r="827" spans="1:26" ht="12.75" x14ac:dyDescent="0.2">
      <c r="A827" s="122"/>
      <c r="B827" s="122"/>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row>
    <row r="828" spans="1:26" ht="12.75" x14ac:dyDescent="0.2">
      <c r="A828" s="122"/>
      <c r="B828" s="122"/>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row>
    <row r="829" spans="1:26" ht="12.75" x14ac:dyDescent="0.2">
      <c r="A829" s="122"/>
      <c r="B829" s="122"/>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row>
    <row r="830" spans="1:26" ht="12.75" x14ac:dyDescent="0.2">
      <c r="A830" s="122"/>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row>
    <row r="831" spans="1:26" ht="12.75" x14ac:dyDescent="0.2">
      <c r="A831" s="122"/>
      <c r="B831" s="122"/>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row>
    <row r="832" spans="1:26" ht="12.75" x14ac:dyDescent="0.2">
      <c r="A832" s="122"/>
      <c r="B832" s="122"/>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row>
    <row r="833" spans="1:26" ht="12.75" x14ac:dyDescent="0.2">
      <c r="A833" s="122"/>
      <c r="B833" s="122"/>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row>
    <row r="834" spans="1:26" ht="12.75" x14ac:dyDescent="0.2">
      <c r="A834" s="122"/>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row>
    <row r="835" spans="1:26" ht="12.75" x14ac:dyDescent="0.2">
      <c r="A835" s="122"/>
      <c r="B835" s="122"/>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row>
    <row r="836" spans="1:26" ht="12.75" x14ac:dyDescent="0.2">
      <c r="A836" s="122"/>
      <c r="B836" s="122"/>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row>
    <row r="837" spans="1:26" ht="12.75" x14ac:dyDescent="0.2">
      <c r="A837" s="122"/>
      <c r="B837" s="122"/>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row>
    <row r="838" spans="1:26" ht="12.75" x14ac:dyDescent="0.2">
      <c r="A838" s="122"/>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row>
    <row r="839" spans="1:26" ht="12.75" x14ac:dyDescent="0.2">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row>
    <row r="840" spans="1:26" ht="12.75" x14ac:dyDescent="0.2">
      <c r="A840" s="122"/>
      <c r="B840" s="122"/>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row>
    <row r="841" spans="1:26" ht="12.75" x14ac:dyDescent="0.2">
      <c r="A841" s="122"/>
      <c r="B841" s="122"/>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row>
    <row r="842" spans="1:26" ht="12.75" x14ac:dyDescent="0.2">
      <c r="A842" s="122"/>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row>
    <row r="843" spans="1:26" ht="12.75" x14ac:dyDescent="0.2">
      <c r="A843" s="122"/>
      <c r="B843" s="122"/>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row>
    <row r="844" spans="1:26" ht="12.75" x14ac:dyDescent="0.2">
      <c r="A844" s="122"/>
      <c r="B844" s="122"/>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row>
    <row r="845" spans="1:26" ht="12.75" x14ac:dyDescent="0.2">
      <c r="A845" s="122"/>
      <c r="B845" s="122"/>
      <c r="C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row>
    <row r="846" spans="1:26" ht="12.75" x14ac:dyDescent="0.2">
      <c r="A846" s="122"/>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row>
    <row r="847" spans="1:26" ht="12.75" x14ac:dyDescent="0.2">
      <c r="A847" s="122"/>
      <c r="B847" s="122"/>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row>
    <row r="848" spans="1:26" ht="12.75" x14ac:dyDescent="0.2">
      <c r="A848" s="122"/>
      <c r="B848" s="122"/>
      <c r="C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row>
    <row r="849" spans="1:26" ht="12.75" x14ac:dyDescent="0.2">
      <c r="A849" s="122"/>
      <c r="B849" s="122"/>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row>
    <row r="850" spans="1:26" ht="12.75" x14ac:dyDescent="0.2">
      <c r="A850" s="122"/>
      <c r="B850" s="122"/>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row>
    <row r="851" spans="1:26" ht="12.75" x14ac:dyDescent="0.2">
      <c r="A851" s="122"/>
      <c r="B851" s="122"/>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row>
    <row r="852" spans="1:26" ht="12.75" x14ac:dyDescent="0.2">
      <c r="A852" s="122"/>
      <c r="B852" s="122"/>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row>
    <row r="853" spans="1:26" ht="12.75" x14ac:dyDescent="0.2">
      <c r="A853" s="122"/>
      <c r="B853" s="122"/>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row>
    <row r="854" spans="1:26" ht="12.75" x14ac:dyDescent="0.2">
      <c r="A854" s="122"/>
      <c r="B854" s="122"/>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row>
    <row r="855" spans="1:26" ht="12.75" x14ac:dyDescent="0.2">
      <c r="A855" s="122"/>
      <c r="B855" s="122"/>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row>
    <row r="856" spans="1:26" ht="12.75" x14ac:dyDescent="0.2">
      <c r="A856" s="122"/>
      <c r="B856" s="122"/>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row>
    <row r="857" spans="1:26" ht="12.75" x14ac:dyDescent="0.2">
      <c r="A857" s="122"/>
      <c r="B857" s="122"/>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row>
    <row r="858" spans="1:26" ht="12.75" x14ac:dyDescent="0.2">
      <c r="A858" s="122"/>
      <c r="B858" s="122"/>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row>
    <row r="859" spans="1:26" ht="12.75" x14ac:dyDescent="0.2">
      <c r="A859" s="122"/>
      <c r="B859" s="122"/>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row>
    <row r="860" spans="1:26" ht="12.75" x14ac:dyDescent="0.2">
      <c r="A860" s="122"/>
      <c r="B860" s="122"/>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row>
    <row r="861" spans="1:26" ht="12.75" x14ac:dyDescent="0.2">
      <c r="A861" s="122"/>
      <c r="B861" s="122"/>
      <c r="C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row>
    <row r="862" spans="1:26" ht="12.75" x14ac:dyDescent="0.2">
      <c r="A862" s="122"/>
      <c r="B862" s="122"/>
      <c r="C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row>
    <row r="863" spans="1:26" ht="12.75" x14ac:dyDescent="0.2">
      <c r="A863" s="122"/>
      <c r="B863" s="122"/>
      <c r="C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row>
    <row r="864" spans="1:26" ht="12.75" x14ac:dyDescent="0.2">
      <c r="A864" s="122"/>
      <c r="B864" s="122"/>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row>
    <row r="865" spans="1:26" ht="12.75" x14ac:dyDescent="0.2">
      <c r="A865" s="122"/>
      <c r="B865" s="122"/>
      <c r="C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row>
    <row r="866" spans="1:26" ht="12.75" x14ac:dyDescent="0.2">
      <c r="A866" s="122"/>
      <c r="B866" s="122"/>
      <c r="C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row>
    <row r="867" spans="1:26" ht="12.75" x14ac:dyDescent="0.2">
      <c r="A867" s="122"/>
      <c r="B867" s="122"/>
      <c r="C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row>
    <row r="868" spans="1:26" ht="12.75" x14ac:dyDescent="0.2">
      <c r="A868" s="122"/>
      <c r="B868" s="122"/>
      <c r="C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row>
    <row r="869" spans="1:26" ht="12.75" x14ac:dyDescent="0.2">
      <c r="A869" s="122"/>
      <c r="B869" s="122"/>
      <c r="C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row>
    <row r="870" spans="1:26" ht="12.75" x14ac:dyDescent="0.2">
      <c r="A870" s="122"/>
      <c r="B870" s="122"/>
      <c r="C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row>
    <row r="871" spans="1:26" ht="12.75" x14ac:dyDescent="0.2">
      <c r="A871" s="122"/>
      <c r="B871" s="122"/>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row>
    <row r="872" spans="1:26" ht="12.75" x14ac:dyDescent="0.2">
      <c r="A872" s="122"/>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row>
    <row r="873" spans="1:26" ht="12.75" x14ac:dyDescent="0.2">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row>
    <row r="874" spans="1:26" ht="12.75" x14ac:dyDescent="0.2">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row>
    <row r="875" spans="1:26" ht="12.75" x14ac:dyDescent="0.2">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row>
    <row r="876" spans="1:26" ht="12.75" x14ac:dyDescent="0.2">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row>
    <row r="877" spans="1:26" ht="12.75" x14ac:dyDescent="0.2">
      <c r="A877" s="122"/>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row>
    <row r="878" spans="1:26" ht="12.75" x14ac:dyDescent="0.2">
      <c r="A878" s="122"/>
      <c r="B878" s="122"/>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row>
    <row r="879" spans="1:26" ht="12.75" x14ac:dyDescent="0.2">
      <c r="A879" s="122"/>
      <c r="B879" s="122"/>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row>
    <row r="880" spans="1:26" ht="12.75" x14ac:dyDescent="0.2">
      <c r="A880" s="122"/>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row>
    <row r="881" spans="1:26" ht="12.75" x14ac:dyDescent="0.2">
      <c r="A881" s="122"/>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row>
    <row r="882" spans="1:26" ht="12.75" x14ac:dyDescent="0.2">
      <c r="A882" s="122"/>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row>
    <row r="883" spans="1:26" ht="12.75" x14ac:dyDescent="0.2">
      <c r="A883" s="122"/>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row>
    <row r="884" spans="1:26" ht="12.75" x14ac:dyDescent="0.2">
      <c r="A884" s="122"/>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row>
    <row r="885" spans="1:26" ht="12.75" x14ac:dyDescent="0.2">
      <c r="A885" s="122"/>
      <c r="B885" s="122"/>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row>
    <row r="886" spans="1:26" ht="12.75" x14ac:dyDescent="0.2">
      <c r="A886" s="122"/>
      <c r="B886" s="122"/>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row>
    <row r="887" spans="1:26" ht="12.75" x14ac:dyDescent="0.2">
      <c r="A887" s="122"/>
      <c r="B887" s="122"/>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row>
    <row r="888" spans="1:26" ht="12.75" x14ac:dyDescent="0.2">
      <c r="A888" s="122"/>
      <c r="B888" s="122"/>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row>
    <row r="889" spans="1:26" ht="12.75" x14ac:dyDescent="0.2">
      <c r="A889" s="122"/>
      <c r="B889" s="122"/>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row>
    <row r="890" spans="1:26" ht="12.75" x14ac:dyDescent="0.2">
      <c r="A890" s="122"/>
      <c r="B890" s="122"/>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row>
    <row r="891" spans="1:26" ht="12.75" x14ac:dyDescent="0.2">
      <c r="A891" s="122"/>
      <c r="B891" s="122"/>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row>
    <row r="892" spans="1:26" ht="12.75" x14ac:dyDescent="0.2">
      <c r="A892" s="122"/>
      <c r="B892" s="122"/>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row>
    <row r="893" spans="1:26" ht="12.75" x14ac:dyDescent="0.2">
      <c r="A893" s="122"/>
      <c r="B893" s="122"/>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row>
    <row r="894" spans="1:26" ht="12.75" x14ac:dyDescent="0.2">
      <c r="A894" s="122"/>
      <c r="B894" s="122"/>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row>
    <row r="895" spans="1:26" ht="12.75" x14ac:dyDescent="0.2">
      <c r="A895" s="122"/>
      <c r="B895" s="122"/>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row>
    <row r="896" spans="1:26" ht="12.75" x14ac:dyDescent="0.2">
      <c r="A896" s="122"/>
      <c r="B896" s="122"/>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row>
    <row r="897" spans="1:26" ht="12.75" x14ac:dyDescent="0.2">
      <c r="A897" s="122"/>
      <c r="B897" s="122"/>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row>
    <row r="898" spans="1:26" ht="12.75" x14ac:dyDescent="0.2">
      <c r="A898" s="122"/>
      <c r="B898" s="122"/>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row>
    <row r="899" spans="1:26" ht="12.75" x14ac:dyDescent="0.2">
      <c r="A899" s="122"/>
      <c r="B899" s="122"/>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row>
    <row r="900" spans="1:26" ht="12.75" x14ac:dyDescent="0.2">
      <c r="A900" s="122"/>
      <c r="B900" s="122"/>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row>
    <row r="901" spans="1:26" ht="12.75" x14ac:dyDescent="0.2">
      <c r="A901" s="122"/>
      <c r="B901" s="122"/>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row>
    <row r="902" spans="1:26" ht="12.75" x14ac:dyDescent="0.2">
      <c r="A902" s="122"/>
      <c r="B902" s="122"/>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row>
    <row r="903" spans="1:26" ht="12.75" x14ac:dyDescent="0.2">
      <c r="A903" s="122"/>
      <c r="B903" s="122"/>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row>
    <row r="904" spans="1:26" ht="12.75" x14ac:dyDescent="0.2">
      <c r="A904" s="122"/>
      <c r="B904" s="122"/>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row>
    <row r="905" spans="1:26" ht="12.75" x14ac:dyDescent="0.2">
      <c r="A905" s="122"/>
      <c r="B905" s="122"/>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row>
    <row r="906" spans="1:26" ht="12.75" x14ac:dyDescent="0.2">
      <c r="A906" s="122"/>
      <c r="B906" s="122"/>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row>
    <row r="907" spans="1:26" ht="12.75" x14ac:dyDescent="0.2">
      <c r="A907" s="122"/>
      <c r="B907" s="122"/>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row>
    <row r="908" spans="1:26" ht="12.75" x14ac:dyDescent="0.2">
      <c r="A908" s="122"/>
      <c r="B908" s="122"/>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row>
    <row r="909" spans="1:26" ht="12.75" x14ac:dyDescent="0.2">
      <c r="A909" s="122"/>
      <c r="B909" s="122"/>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row>
    <row r="910" spans="1:26" ht="12.75" x14ac:dyDescent="0.2">
      <c r="A910" s="122"/>
      <c r="B910" s="122"/>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row>
    <row r="911" spans="1:26" ht="12.75" x14ac:dyDescent="0.2">
      <c r="A911" s="122"/>
      <c r="B911" s="122"/>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row>
    <row r="912" spans="1:26" ht="12.75" x14ac:dyDescent="0.2">
      <c r="A912" s="122"/>
      <c r="B912" s="122"/>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row>
    <row r="913" spans="1:26" ht="12.75" x14ac:dyDescent="0.2">
      <c r="A913" s="122"/>
      <c r="B913" s="122"/>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row>
    <row r="914" spans="1:26" ht="12.75" x14ac:dyDescent="0.2">
      <c r="A914" s="122"/>
      <c r="B914" s="122"/>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row>
    <row r="915" spans="1:26" ht="12.75" x14ac:dyDescent="0.2">
      <c r="A915" s="122"/>
      <c r="B915" s="122"/>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row>
    <row r="916" spans="1:26" ht="12.75" x14ac:dyDescent="0.2">
      <c r="A916" s="122"/>
      <c r="B916" s="122"/>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row>
    <row r="917" spans="1:26" ht="12.75" x14ac:dyDescent="0.2">
      <c r="A917" s="122"/>
      <c r="B917" s="122"/>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row>
    <row r="918" spans="1:26" ht="12.75" x14ac:dyDescent="0.2">
      <c r="A918" s="122"/>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row>
    <row r="919" spans="1:26" ht="12.75" x14ac:dyDescent="0.2">
      <c r="A919" s="122"/>
      <c r="B919" s="122"/>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row>
    <row r="920" spans="1:26" ht="12.75" x14ac:dyDescent="0.2">
      <c r="A920" s="122"/>
      <c r="B920" s="122"/>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row>
    <row r="921" spans="1:26" ht="12.75" x14ac:dyDescent="0.2">
      <c r="A921" s="122"/>
      <c r="B921" s="122"/>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row>
    <row r="922" spans="1:26" ht="12.75" x14ac:dyDescent="0.2">
      <c r="A922" s="122"/>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row>
    <row r="923" spans="1:26" ht="12.75" x14ac:dyDescent="0.2">
      <c r="A923" s="122"/>
      <c r="B923" s="122"/>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row>
    <row r="924" spans="1:26" ht="12.75" x14ac:dyDescent="0.2">
      <c r="A924" s="122"/>
      <c r="B924" s="122"/>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row>
    <row r="925" spans="1:26" ht="12.75" x14ac:dyDescent="0.2">
      <c r="A925" s="122"/>
      <c r="B925" s="122"/>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row>
    <row r="926" spans="1:26" ht="12.75" x14ac:dyDescent="0.2">
      <c r="A926" s="122"/>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row>
    <row r="927" spans="1:26" ht="12.75" x14ac:dyDescent="0.2">
      <c r="A927" s="122"/>
      <c r="B927" s="122"/>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row>
    <row r="928" spans="1:26" ht="12.75" x14ac:dyDescent="0.2">
      <c r="A928" s="122"/>
      <c r="B928" s="122"/>
      <c r="C928" s="122"/>
      <c r="D928" s="122"/>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row>
    <row r="929" spans="1:26" ht="12.75" x14ac:dyDescent="0.2">
      <c r="A929" s="122"/>
      <c r="B929" s="122"/>
      <c r="C929" s="122"/>
      <c r="D929" s="122"/>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row>
    <row r="930" spans="1:26" ht="12.75" x14ac:dyDescent="0.2">
      <c r="A930" s="122"/>
      <c r="B930" s="122"/>
      <c r="C930" s="122"/>
      <c r="D930" s="122"/>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row>
    <row r="931" spans="1:26" ht="12.75" x14ac:dyDescent="0.2">
      <c r="A931" s="122"/>
      <c r="B931" s="122"/>
      <c r="C931" s="122"/>
      <c r="D931" s="122"/>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row>
    <row r="932" spans="1:26" ht="12.75" x14ac:dyDescent="0.2">
      <c r="A932" s="122"/>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row>
    <row r="933" spans="1:26" ht="12.75" x14ac:dyDescent="0.2">
      <c r="A933" s="122"/>
      <c r="B933" s="122"/>
      <c r="C933" s="122"/>
      <c r="D933" s="122"/>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row>
    <row r="934" spans="1:26" ht="12.75" x14ac:dyDescent="0.2">
      <c r="A934" s="122"/>
      <c r="B934" s="122"/>
      <c r="C934" s="122"/>
      <c r="D934" s="122"/>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row>
    <row r="935" spans="1:26" ht="12.75" x14ac:dyDescent="0.2">
      <c r="A935" s="122"/>
      <c r="B935" s="122"/>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row>
    <row r="936" spans="1:26" ht="12.75" x14ac:dyDescent="0.2">
      <c r="A936" s="122"/>
      <c r="B936" s="122"/>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row>
    <row r="937" spans="1:26" ht="12.75" x14ac:dyDescent="0.2">
      <c r="A937" s="122"/>
      <c r="B937" s="122"/>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row>
    <row r="938" spans="1:26" ht="12.75" x14ac:dyDescent="0.2">
      <c r="A938" s="122"/>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row>
    <row r="939" spans="1:26" ht="12.75" x14ac:dyDescent="0.2">
      <c r="A939" s="122"/>
      <c r="B939" s="122"/>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row>
    <row r="940" spans="1:26" ht="12.75" x14ac:dyDescent="0.2">
      <c r="A940" s="122"/>
      <c r="B940" s="122"/>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row>
    <row r="941" spans="1:26" ht="12.75" x14ac:dyDescent="0.2">
      <c r="A941" s="122"/>
      <c r="B941" s="122"/>
      <c r="C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row>
    <row r="942" spans="1:26" ht="12.75" x14ac:dyDescent="0.2">
      <c r="A942" s="122"/>
      <c r="B942" s="122"/>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row>
    <row r="943" spans="1:26" ht="12.75" x14ac:dyDescent="0.2">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row>
    <row r="944" spans="1:26" ht="12.75" x14ac:dyDescent="0.2">
      <c r="A944" s="122"/>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row>
    <row r="945" spans="1:26" ht="12.75" x14ac:dyDescent="0.2">
      <c r="A945" s="122"/>
      <c r="B945" s="122"/>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row>
    <row r="946" spans="1:26" ht="12.75" x14ac:dyDescent="0.2">
      <c r="A946" s="122"/>
      <c r="B946" s="122"/>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row>
    <row r="947" spans="1:26" ht="12.75" x14ac:dyDescent="0.2">
      <c r="A947" s="122"/>
      <c r="B947" s="122"/>
      <c r="C947" s="122"/>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row>
    <row r="948" spans="1:26" ht="12.75" x14ac:dyDescent="0.2">
      <c r="A948" s="122"/>
      <c r="B948" s="122"/>
      <c r="C948" s="122"/>
      <c r="D948" s="122"/>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row>
    <row r="949" spans="1:26" ht="12.75" x14ac:dyDescent="0.2">
      <c r="A949" s="122"/>
      <c r="B949" s="122"/>
      <c r="C949" s="122"/>
      <c r="D949" s="122"/>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row>
    <row r="950" spans="1:26" ht="12.75" x14ac:dyDescent="0.2">
      <c r="A950" s="122"/>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row>
    <row r="951" spans="1:26" ht="12.75" x14ac:dyDescent="0.2">
      <c r="A951" s="122"/>
      <c r="B951" s="122"/>
      <c r="C951" s="122"/>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row>
    <row r="952" spans="1:26" ht="12.75" x14ac:dyDescent="0.2">
      <c r="A952" s="122"/>
      <c r="B952" s="122"/>
      <c r="C952" s="122"/>
      <c r="D952" s="122"/>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row>
    <row r="953" spans="1:26" ht="12.75" x14ac:dyDescent="0.2">
      <c r="A953" s="122"/>
      <c r="B953" s="122"/>
      <c r="C953" s="122"/>
      <c r="D953" s="122"/>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row>
    <row r="954" spans="1:26" ht="12.75" x14ac:dyDescent="0.2">
      <c r="A954" s="122"/>
      <c r="B954" s="122"/>
      <c r="C954" s="122"/>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row>
    <row r="955" spans="1:26" ht="12.75" x14ac:dyDescent="0.2">
      <c r="A955" s="122"/>
      <c r="B955" s="122"/>
      <c r="C955" s="122"/>
      <c r="D955" s="122"/>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row>
    <row r="956" spans="1:26" ht="12.75" x14ac:dyDescent="0.2">
      <c r="A956" s="122"/>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row>
    <row r="957" spans="1:26" ht="12.75" x14ac:dyDescent="0.2">
      <c r="A957" s="122"/>
      <c r="B957" s="122"/>
      <c r="C957" s="122"/>
      <c r="D957" s="122"/>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row>
  </sheetData>
  <customSheetViews>
    <customSheetView guid="{1474D8E2-8801-474F-99A3-0D3DFA4B5FB3}" scale="85" hiddenRows="1" topLeftCell="A84">
      <selection activeCell="I107" sqref="I107:I108"/>
      <pageMargins left="0.7" right="0.7" top="0.75" bottom="0.75" header="0.3" footer="0.3"/>
      <pageSetup orientation="portrait" horizontalDpi="0" verticalDpi="0" r:id="rId1"/>
    </customSheetView>
    <customSheetView guid="{0270675F-18D5-4C83-B813-43237B4A5065}" scale="85" hiddenRows="1">
      <selection activeCell="F596" sqref="F596"/>
      <pageMargins left="0.7" right="0.7" top="0.75" bottom="0.75" header="0.3" footer="0.3"/>
      <pageSetup orientation="portrait" horizontalDpi="0" verticalDpi="0" r:id="rId2"/>
    </customSheetView>
    <customSheetView guid="{68E4D3DD-37C5-4451-9CB1-FD36A6953DAF}" scale="85" hiddenRows="1" topLeftCell="A580">
      <selection activeCell="H620" sqref="H620"/>
      <pageMargins left="0.7" right="0.7" top="0.75" bottom="0.75" header="0.3" footer="0.3"/>
      <pageSetup orientation="portrait" horizontalDpi="0" verticalDpi="0" r:id="rId3"/>
    </customSheetView>
  </customSheetViews>
  <pageMargins left="0.7" right="0.7" top="0.75" bottom="0.75" header="0.3" footer="0.3"/>
  <pageSetup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101"/>
  <sheetViews>
    <sheetView zoomScale="85" zoomScaleNormal="85" workbookViewId="0">
      <selection activeCell="B5" sqref="B5"/>
    </sheetView>
  </sheetViews>
  <sheetFormatPr defaultColWidth="14.42578125" defaultRowHeight="15.75" customHeight="1" x14ac:dyDescent="0.2"/>
  <cols>
    <col min="1" max="1" width="3.85546875" customWidth="1"/>
    <col min="2" max="2" width="4.7109375" customWidth="1"/>
    <col min="3" max="3" width="15.28515625" customWidth="1"/>
    <col min="6" max="6" width="16.7109375" bestFit="1" customWidth="1"/>
  </cols>
  <sheetData>
    <row r="1" spans="1:26" ht="45" customHeight="1" x14ac:dyDescent="0.3">
      <c r="A1" s="1"/>
      <c r="B1" s="2"/>
      <c r="C1" s="2"/>
      <c r="D1" s="2"/>
      <c r="E1" s="2"/>
      <c r="F1" s="2"/>
      <c r="G1" s="2"/>
      <c r="H1" s="2"/>
      <c r="I1" s="2"/>
      <c r="J1" s="2"/>
      <c r="K1" s="2"/>
      <c r="L1" s="2"/>
      <c r="M1" s="2"/>
      <c r="N1" s="2"/>
      <c r="O1" s="2"/>
      <c r="P1" s="2"/>
      <c r="Q1" s="2"/>
      <c r="R1" s="2"/>
      <c r="S1" s="2"/>
      <c r="T1" s="2"/>
      <c r="U1" s="2"/>
      <c r="V1" s="2"/>
      <c r="W1" s="2"/>
      <c r="X1" s="2"/>
      <c r="Y1" s="2"/>
      <c r="Z1" s="2"/>
    </row>
    <row r="2" spans="1:26" ht="28.5" customHeight="1" x14ac:dyDescent="0.2">
      <c r="A2" s="225" t="s">
        <v>1048</v>
      </c>
      <c r="B2" s="2"/>
      <c r="C2" s="2"/>
      <c r="D2" s="2"/>
      <c r="E2" s="2"/>
      <c r="F2" s="2"/>
      <c r="G2" s="2"/>
      <c r="H2" s="2"/>
      <c r="I2" s="2"/>
      <c r="J2" s="2"/>
      <c r="K2" s="2"/>
      <c r="L2" s="2"/>
      <c r="M2" s="2"/>
      <c r="N2" s="2"/>
      <c r="O2" s="2"/>
      <c r="P2" s="2"/>
      <c r="Q2" s="2"/>
      <c r="R2" s="2"/>
      <c r="S2" s="2"/>
      <c r="T2" s="2"/>
      <c r="U2" s="2"/>
      <c r="V2" s="2"/>
      <c r="W2" s="2"/>
      <c r="X2" s="2"/>
      <c r="Y2" s="2"/>
      <c r="Z2" s="2"/>
    </row>
    <row r="3" spans="1:26" ht="15.75" customHeight="1" x14ac:dyDescent="0.2">
      <c r="A3" s="3"/>
      <c r="B3" s="3"/>
      <c r="C3" s="3"/>
      <c r="D3" s="3"/>
      <c r="E3" s="3"/>
      <c r="F3" s="3"/>
      <c r="G3" s="3"/>
      <c r="H3" s="3"/>
      <c r="I3" s="3"/>
      <c r="J3" s="3"/>
      <c r="K3" s="3"/>
      <c r="L3" s="3"/>
      <c r="M3" s="3"/>
      <c r="N3" s="3"/>
      <c r="O3" s="3"/>
      <c r="P3" s="3"/>
      <c r="Q3" s="3"/>
      <c r="R3" s="3"/>
      <c r="S3" s="3"/>
      <c r="T3" s="3"/>
      <c r="U3" s="3"/>
      <c r="V3" s="3"/>
      <c r="W3" s="3"/>
      <c r="X3" s="3"/>
      <c r="Y3" s="3"/>
      <c r="Z3" s="3"/>
    </row>
    <row r="4" spans="1:26" ht="15.75" customHeight="1" x14ac:dyDescent="0.2">
      <c r="A4" s="29" t="s">
        <v>504</v>
      </c>
      <c r="B4" s="2"/>
      <c r="C4" s="2"/>
      <c r="D4" s="2"/>
      <c r="F4" s="781" t="s">
        <v>1018</v>
      </c>
      <c r="G4" s="5"/>
      <c r="H4" s="5"/>
      <c r="I4" s="5"/>
      <c r="J4" s="5"/>
      <c r="K4" s="2"/>
      <c r="L4" s="2"/>
      <c r="M4" s="2"/>
      <c r="N4" s="2"/>
      <c r="O4" s="2"/>
      <c r="P4" s="2"/>
      <c r="Q4" s="2"/>
      <c r="R4" s="2"/>
      <c r="S4" s="2"/>
      <c r="T4" s="2"/>
      <c r="U4" s="2"/>
      <c r="V4" s="2"/>
      <c r="W4" s="2"/>
      <c r="X4" s="2"/>
      <c r="Y4" s="2"/>
      <c r="Z4" s="2"/>
    </row>
    <row r="5" spans="1:26" ht="15.75" customHeight="1" x14ac:dyDescent="0.2">
      <c r="A5" s="11"/>
      <c r="B5" s="3"/>
      <c r="C5" s="3"/>
      <c r="D5" s="3"/>
      <c r="E5" s="3"/>
      <c r="F5" s="13"/>
      <c r="G5" s="13"/>
      <c r="H5" s="13"/>
      <c r="I5" s="13"/>
      <c r="J5" s="13"/>
      <c r="K5" s="3"/>
      <c r="L5" s="3"/>
      <c r="M5" s="3"/>
      <c r="N5" s="3"/>
      <c r="O5" s="3"/>
      <c r="P5" s="3"/>
      <c r="Q5" s="3"/>
      <c r="R5" s="3"/>
      <c r="S5" s="3"/>
      <c r="T5" s="3"/>
      <c r="U5" s="3"/>
      <c r="V5" s="3"/>
      <c r="W5" s="3"/>
      <c r="X5" s="3"/>
      <c r="Y5" s="3"/>
      <c r="Z5" s="3"/>
    </row>
    <row r="6" spans="1:26" ht="15.75" customHeight="1" x14ac:dyDescent="0.2">
      <c r="A6" s="4" t="s">
        <v>25</v>
      </c>
      <c r="B6" s="2"/>
      <c r="C6" s="2"/>
      <c r="D6" s="2"/>
      <c r="E6" s="2"/>
      <c r="F6" s="5" t="s">
        <v>26</v>
      </c>
      <c r="G6" s="5" t="s">
        <v>27</v>
      </c>
      <c r="H6" s="5" t="s">
        <v>28</v>
      </c>
      <c r="I6" s="5"/>
      <c r="J6" s="5"/>
      <c r="L6" s="2"/>
      <c r="M6" s="2"/>
      <c r="N6" s="2"/>
      <c r="O6" s="2"/>
      <c r="P6" s="2"/>
      <c r="Q6" s="2"/>
      <c r="R6" s="2"/>
      <c r="S6" s="2"/>
      <c r="T6" s="2"/>
      <c r="U6" s="2"/>
      <c r="V6" s="2"/>
      <c r="W6" s="2"/>
      <c r="X6" s="2"/>
      <c r="Y6" s="2"/>
      <c r="Z6" s="2"/>
    </row>
    <row r="7" spans="1:26" ht="15.75" customHeight="1" x14ac:dyDescent="0.2">
      <c r="A7" s="3"/>
      <c r="B7" s="392" t="s">
        <v>29</v>
      </c>
      <c r="C7" s="2"/>
      <c r="D7" s="2"/>
      <c r="E7" s="2"/>
      <c r="F7" s="2"/>
      <c r="G7" s="2"/>
      <c r="H7" s="2"/>
      <c r="I7" s="447"/>
      <c r="J7" s="447"/>
      <c r="K7" s="447"/>
      <c r="L7" s="3"/>
      <c r="M7" s="3"/>
      <c r="N7" s="3"/>
      <c r="O7" s="3"/>
      <c r="P7" s="3"/>
      <c r="Q7" s="3"/>
      <c r="R7" s="3"/>
      <c r="S7" s="3"/>
      <c r="T7" s="3"/>
      <c r="U7" s="3"/>
      <c r="V7" s="3"/>
      <c r="W7" s="3"/>
      <c r="X7" s="3"/>
      <c r="Y7" s="3"/>
      <c r="Z7" s="3"/>
    </row>
    <row r="8" spans="1:26" ht="15.75" customHeight="1" x14ac:dyDescent="0.2">
      <c r="A8" s="3"/>
      <c r="B8" s="2"/>
      <c r="C8" s="393" t="s">
        <v>30</v>
      </c>
      <c r="D8" s="2"/>
      <c r="E8" s="2"/>
      <c r="F8" s="448">
        <v>7.9000000000000001E-2</v>
      </c>
      <c r="G8" s="2" t="s">
        <v>5</v>
      </c>
      <c r="H8" s="2" t="s">
        <v>6</v>
      </c>
      <c r="I8" s="447"/>
      <c r="J8" s="447"/>
      <c r="K8" s="447"/>
      <c r="L8" s="3"/>
      <c r="M8" s="3"/>
      <c r="N8" s="3"/>
      <c r="O8" s="3"/>
      <c r="P8" s="3"/>
      <c r="Q8" s="3"/>
      <c r="R8" s="3"/>
      <c r="S8" s="3"/>
      <c r="T8" s="3"/>
      <c r="U8" s="3"/>
      <c r="V8" s="3"/>
      <c r="W8" s="3"/>
      <c r="X8" s="3"/>
      <c r="Y8" s="3"/>
      <c r="Z8" s="3"/>
    </row>
    <row r="9" spans="1:26" ht="15.75" customHeight="1" x14ac:dyDescent="0.2">
      <c r="A9" s="3"/>
      <c r="B9" s="2"/>
      <c r="C9" s="393" t="s">
        <v>31</v>
      </c>
      <c r="D9" s="2"/>
      <c r="E9" s="2"/>
      <c r="F9" s="448">
        <v>2.5000000000000001E-2</v>
      </c>
      <c r="G9" s="2" t="s">
        <v>5</v>
      </c>
      <c r="H9" s="2"/>
      <c r="I9" s="447"/>
      <c r="J9" s="447"/>
      <c r="K9" s="447"/>
      <c r="L9" s="3"/>
      <c r="M9" s="3"/>
      <c r="N9" s="3"/>
      <c r="O9" s="3"/>
      <c r="P9" s="3"/>
      <c r="Q9" s="3"/>
      <c r="R9" s="3"/>
      <c r="S9" s="3"/>
      <c r="T9" s="3"/>
      <c r="U9" s="3"/>
      <c r="V9" s="3"/>
      <c r="W9" s="3"/>
      <c r="X9" s="3"/>
      <c r="Y9" s="3"/>
      <c r="Z9" s="3"/>
    </row>
    <row r="10" spans="1:26" ht="15.75" customHeight="1" x14ac:dyDescent="0.2">
      <c r="A10" s="3"/>
      <c r="B10" s="2"/>
      <c r="C10" s="393" t="s">
        <v>32</v>
      </c>
      <c r="D10" s="2"/>
      <c r="E10" s="2"/>
      <c r="F10" s="531">
        <v>157.54</v>
      </c>
      <c r="G10" s="2" t="s">
        <v>9</v>
      </c>
      <c r="H10" s="2" t="s">
        <v>10</v>
      </c>
      <c r="I10" s="447"/>
      <c r="J10" s="447"/>
      <c r="K10" s="447"/>
      <c r="L10" s="3"/>
      <c r="M10" s="3"/>
      <c r="N10" s="3"/>
      <c r="O10" s="3"/>
      <c r="P10" s="3"/>
      <c r="Q10" s="3"/>
      <c r="R10" s="3"/>
      <c r="S10" s="3"/>
      <c r="T10" s="3"/>
      <c r="U10" s="3"/>
      <c r="V10" s="3"/>
      <c r="W10" s="3"/>
      <c r="X10" s="3"/>
      <c r="Y10" s="3"/>
      <c r="Z10" s="3"/>
    </row>
    <row r="11" spans="1:26" ht="15.75" customHeight="1" x14ac:dyDescent="0.2">
      <c r="A11" s="3"/>
      <c r="B11" s="2"/>
      <c r="C11" s="393" t="s">
        <v>33</v>
      </c>
      <c r="D11" s="2"/>
      <c r="E11" s="2"/>
      <c r="F11" s="450">
        <v>0</v>
      </c>
      <c r="G11" s="2" t="s">
        <v>5</v>
      </c>
      <c r="H11" s="2" t="s">
        <v>12</v>
      </c>
      <c r="I11" s="447"/>
      <c r="J11" s="447"/>
      <c r="K11" s="447"/>
      <c r="L11" s="3"/>
      <c r="M11" s="3"/>
      <c r="N11" s="3"/>
      <c r="O11" s="3"/>
      <c r="P11" s="3"/>
      <c r="Q11" s="3"/>
      <c r="R11" s="3"/>
      <c r="S11" s="3"/>
      <c r="T11" s="3"/>
      <c r="U11" s="3"/>
      <c r="V11" s="3"/>
      <c r="W11" s="3"/>
      <c r="X11" s="3"/>
      <c r="Y11" s="3"/>
      <c r="Z11" s="3"/>
    </row>
    <row r="12" spans="1:26" ht="15.75" customHeight="1" x14ac:dyDescent="0.2">
      <c r="A12" s="3"/>
      <c r="B12" s="2"/>
      <c r="C12" s="393" t="s">
        <v>34</v>
      </c>
      <c r="D12" s="2"/>
      <c r="E12" s="2"/>
      <c r="F12" s="448">
        <v>0.10199999999999999</v>
      </c>
      <c r="G12" s="2" t="s">
        <v>5</v>
      </c>
      <c r="H12" s="2" t="s">
        <v>14</v>
      </c>
      <c r="I12" s="447"/>
      <c r="J12" s="447"/>
      <c r="K12" s="447"/>
      <c r="L12" s="3"/>
      <c r="M12" s="3"/>
      <c r="N12" s="3"/>
      <c r="O12" s="3"/>
      <c r="P12" s="3"/>
      <c r="Q12" s="3"/>
      <c r="R12" s="3"/>
      <c r="S12" s="3"/>
      <c r="T12" s="3"/>
      <c r="U12" s="3"/>
      <c r="V12" s="3"/>
      <c r="W12" s="3"/>
      <c r="X12" s="3"/>
      <c r="Y12" s="3"/>
      <c r="Z12" s="3"/>
    </row>
    <row r="13" spans="1:26" ht="15.75" customHeight="1" x14ac:dyDescent="0.2">
      <c r="A13" s="3"/>
      <c r="B13" s="2"/>
      <c r="C13" s="393" t="s">
        <v>35</v>
      </c>
      <c r="D13" s="2"/>
      <c r="E13" s="2"/>
      <c r="F13" s="451">
        <v>173.60908000000001</v>
      </c>
      <c r="G13" s="2" t="s">
        <v>9</v>
      </c>
      <c r="H13" s="2"/>
      <c r="I13" s="447"/>
      <c r="J13" s="447"/>
      <c r="K13" s="447"/>
      <c r="L13" s="3"/>
      <c r="M13" s="3"/>
      <c r="N13" s="3"/>
      <c r="O13" s="3"/>
      <c r="P13" s="3"/>
      <c r="Q13" s="3"/>
      <c r="R13" s="3"/>
      <c r="S13" s="3"/>
      <c r="T13" s="3"/>
      <c r="U13" s="3"/>
      <c r="V13" s="3"/>
      <c r="W13" s="3"/>
      <c r="X13" s="3"/>
      <c r="Y13" s="3"/>
      <c r="Z13" s="3"/>
    </row>
    <row r="14" spans="1:26" ht="15.75" customHeight="1" x14ac:dyDescent="0.2">
      <c r="A14" s="3"/>
      <c r="B14" s="2"/>
      <c r="C14" s="393" t="s">
        <v>36</v>
      </c>
      <c r="D14" s="2"/>
      <c r="E14" s="2"/>
      <c r="F14" s="448">
        <v>8.4000000000000005E-2</v>
      </c>
      <c r="G14" s="2" t="s">
        <v>5</v>
      </c>
      <c r="H14" s="405" t="s">
        <v>1073</v>
      </c>
      <c r="I14" s="447"/>
      <c r="J14" s="447"/>
      <c r="K14" s="447"/>
      <c r="L14" s="3"/>
      <c r="M14" s="3"/>
      <c r="N14" s="3"/>
      <c r="O14" s="3"/>
      <c r="P14" s="3"/>
      <c r="Q14" s="3"/>
      <c r="R14" s="3"/>
      <c r="S14" s="3"/>
      <c r="T14" s="3"/>
      <c r="U14" s="3"/>
      <c r="V14" s="3"/>
      <c r="W14" s="3"/>
      <c r="X14" s="3"/>
      <c r="Y14" s="3"/>
      <c r="Z14" s="3"/>
    </row>
    <row r="15" spans="1:26" ht="15.75" customHeight="1" x14ac:dyDescent="0.2">
      <c r="A15" s="3"/>
      <c r="B15" s="2"/>
      <c r="C15" s="393" t="s">
        <v>37</v>
      </c>
      <c r="D15" s="2"/>
      <c r="E15" s="2"/>
      <c r="F15" s="448">
        <v>0.23977099999999996</v>
      </c>
      <c r="G15" s="2" t="s">
        <v>5</v>
      </c>
      <c r="H15" s="2"/>
      <c r="I15" s="447"/>
      <c r="J15" s="447"/>
      <c r="K15" s="447"/>
      <c r="L15" s="3"/>
      <c r="M15" s="3"/>
      <c r="N15" s="3"/>
      <c r="O15" s="3"/>
      <c r="P15" s="3"/>
      <c r="Q15" s="3"/>
      <c r="R15" s="3"/>
      <c r="S15" s="3"/>
      <c r="T15" s="3"/>
      <c r="U15" s="3"/>
      <c r="V15" s="3"/>
      <c r="W15" s="3"/>
      <c r="X15" s="3"/>
      <c r="Y15" s="3"/>
      <c r="Z15" s="3"/>
    </row>
    <row r="16" spans="1:26" ht="15.75" customHeight="1" x14ac:dyDescent="0.2">
      <c r="A16" s="3"/>
      <c r="B16" s="2"/>
      <c r="C16" s="393" t="s">
        <v>38</v>
      </c>
      <c r="D16" s="2"/>
      <c r="E16" s="2"/>
      <c r="F16" s="448">
        <v>0.14899999999999999</v>
      </c>
      <c r="G16" s="2" t="s">
        <v>5</v>
      </c>
      <c r="H16" s="2" t="s">
        <v>19</v>
      </c>
      <c r="I16" s="447"/>
      <c r="J16" s="447"/>
      <c r="K16" s="447"/>
      <c r="L16" s="3"/>
      <c r="M16" s="3"/>
      <c r="N16" s="3"/>
      <c r="O16" s="3"/>
      <c r="P16" s="3"/>
      <c r="Q16" s="3"/>
      <c r="R16" s="3"/>
      <c r="S16" s="3"/>
      <c r="T16" s="3"/>
      <c r="U16" s="3"/>
      <c r="V16" s="3"/>
      <c r="W16" s="3"/>
      <c r="X16" s="3"/>
      <c r="Y16" s="3"/>
      <c r="Z16" s="3"/>
    </row>
    <row r="17" spans="1:26" ht="15.75" customHeight="1" x14ac:dyDescent="0.2">
      <c r="A17" s="3"/>
      <c r="B17" s="452"/>
      <c r="C17" s="453"/>
      <c r="D17" s="447"/>
      <c r="E17" s="447"/>
      <c r="F17" s="447"/>
      <c r="G17" s="447"/>
      <c r="H17" s="447"/>
      <c r="I17" s="447"/>
      <c r="J17" s="447"/>
      <c r="K17" s="447"/>
      <c r="L17" s="3"/>
      <c r="M17" s="3"/>
      <c r="N17" s="3"/>
      <c r="O17" s="3"/>
      <c r="P17" s="3"/>
      <c r="Q17" s="3"/>
      <c r="R17" s="3"/>
      <c r="S17" s="3"/>
      <c r="T17" s="3"/>
      <c r="U17" s="3"/>
      <c r="V17" s="3"/>
      <c r="W17" s="3"/>
      <c r="X17" s="3"/>
      <c r="Y17" s="3"/>
      <c r="Z17" s="3"/>
    </row>
    <row r="18" spans="1:26" ht="15.75" customHeight="1" x14ac:dyDescent="0.2">
      <c r="A18" s="3"/>
      <c r="B18" s="392" t="s">
        <v>39</v>
      </c>
      <c r="C18" s="393"/>
      <c r="D18" s="2"/>
      <c r="E18" s="2"/>
      <c r="F18" s="2"/>
      <c r="G18" s="2"/>
      <c r="H18" s="2"/>
      <c r="I18" s="447"/>
      <c r="J18" s="447"/>
      <c r="K18" s="447"/>
      <c r="L18" s="3"/>
      <c r="M18" s="3"/>
      <c r="N18" s="3"/>
      <c r="O18" s="3"/>
      <c r="P18" s="3"/>
      <c r="Q18" s="3"/>
      <c r="R18" s="3"/>
      <c r="S18" s="3"/>
      <c r="T18" s="3"/>
      <c r="U18" s="3"/>
      <c r="V18" s="3"/>
      <c r="W18" s="3"/>
      <c r="X18" s="3"/>
      <c r="Y18" s="3"/>
      <c r="Z18" s="3"/>
    </row>
    <row r="19" spans="1:26" ht="15.75" customHeight="1" x14ac:dyDescent="0.2">
      <c r="A19" s="3"/>
      <c r="B19" s="2"/>
      <c r="C19" s="393" t="s">
        <v>40</v>
      </c>
      <c r="D19" s="2"/>
      <c r="E19" s="2"/>
      <c r="F19" s="448">
        <v>0.16800000000000001</v>
      </c>
      <c r="G19" s="393" t="s">
        <v>41</v>
      </c>
      <c r="H19" s="2" t="s">
        <v>22</v>
      </c>
      <c r="I19" s="447"/>
      <c r="J19" s="447"/>
      <c r="K19" s="447"/>
      <c r="L19" s="3"/>
      <c r="M19" s="3"/>
      <c r="N19" s="3"/>
      <c r="O19" s="3"/>
      <c r="P19" s="3"/>
      <c r="Q19" s="3"/>
      <c r="R19" s="3"/>
      <c r="S19" s="3"/>
      <c r="T19" s="3"/>
      <c r="U19" s="3"/>
      <c r="V19" s="3"/>
      <c r="W19" s="3"/>
      <c r="X19" s="3"/>
      <c r="Y19" s="3"/>
      <c r="Z19" s="3"/>
    </row>
    <row r="20" spans="1:26" ht="15.75" customHeight="1" x14ac:dyDescent="0.2">
      <c r="A20" s="3"/>
      <c r="B20" s="2"/>
      <c r="C20" s="393" t="s">
        <v>42</v>
      </c>
      <c r="D20" s="2"/>
      <c r="E20" s="2"/>
      <c r="F20" s="454">
        <v>0.12</v>
      </c>
      <c r="G20" s="393" t="s">
        <v>43</v>
      </c>
      <c r="H20" s="2"/>
      <c r="I20" s="447"/>
      <c r="J20" s="447"/>
      <c r="K20" s="447"/>
      <c r="L20" s="3"/>
      <c r="M20" s="3"/>
      <c r="N20" s="3"/>
      <c r="O20" s="3"/>
      <c r="P20" s="3"/>
      <c r="Q20" s="3"/>
      <c r="R20" s="3"/>
      <c r="S20" s="3"/>
      <c r="T20" s="3"/>
      <c r="U20" s="3"/>
      <c r="V20" s="3"/>
      <c r="W20" s="3"/>
      <c r="X20" s="3"/>
      <c r="Y20" s="3"/>
      <c r="Z20" s="3"/>
    </row>
    <row r="21" spans="1:26" ht="15.75" customHeight="1" x14ac:dyDescent="0.2">
      <c r="A21" s="3"/>
      <c r="B21" s="447"/>
      <c r="C21" s="447"/>
      <c r="D21" s="447"/>
      <c r="E21" s="447"/>
      <c r="F21" s="447"/>
      <c r="G21" s="447"/>
      <c r="H21" s="447"/>
      <c r="I21" s="447"/>
      <c r="J21" s="447"/>
      <c r="K21" s="447"/>
      <c r="L21" s="447"/>
      <c r="M21" s="447"/>
      <c r="N21" s="447"/>
      <c r="O21" s="3"/>
      <c r="P21" s="3"/>
      <c r="Q21" s="3"/>
      <c r="R21" s="3"/>
      <c r="S21" s="3"/>
      <c r="T21" s="3"/>
      <c r="U21" s="3"/>
      <c r="V21" s="3"/>
      <c r="W21" s="3"/>
      <c r="X21" s="3"/>
      <c r="Y21" s="3"/>
      <c r="Z21" s="3"/>
    </row>
    <row r="22" spans="1:26" ht="15.75" customHeight="1" x14ac:dyDescent="0.2">
      <c r="A22" s="3"/>
      <c r="B22" s="447"/>
      <c r="C22" s="447"/>
      <c r="D22" s="447"/>
      <c r="E22" s="447"/>
      <c r="F22" s="578" t="s">
        <v>44</v>
      </c>
      <c r="G22" s="579"/>
      <c r="H22" s="480"/>
      <c r="I22" s="578" t="s">
        <v>351</v>
      </c>
      <c r="J22" s="579"/>
      <c r="K22" s="579"/>
      <c r="L22" s="750"/>
      <c r="M22" s="750"/>
      <c r="N22" s="750"/>
      <c r="O22" s="3"/>
      <c r="P22" s="3"/>
      <c r="Q22" s="3"/>
      <c r="R22" s="3"/>
      <c r="S22" s="3"/>
      <c r="T22" s="3"/>
      <c r="U22" s="3"/>
      <c r="V22" s="3"/>
      <c r="W22" s="3"/>
      <c r="X22" s="3"/>
      <c r="Y22" s="3"/>
      <c r="Z22" s="3"/>
    </row>
    <row r="23" spans="1:26" ht="18" customHeight="1" x14ac:dyDescent="0.2">
      <c r="A23" s="3"/>
      <c r="B23" s="452"/>
      <c r="C23" s="447"/>
      <c r="D23" s="447"/>
      <c r="E23" s="447"/>
      <c r="F23" s="414" t="s">
        <v>0</v>
      </c>
      <c r="G23" s="5" t="s">
        <v>1</v>
      </c>
      <c r="H23" s="2"/>
      <c r="I23" s="414" t="s">
        <v>0</v>
      </c>
      <c r="J23" s="5" t="s">
        <v>1</v>
      </c>
      <c r="K23" s="5" t="s">
        <v>2</v>
      </c>
      <c r="L23" s="750"/>
      <c r="M23" s="750"/>
      <c r="N23" s="750"/>
      <c r="O23" s="3"/>
      <c r="P23" s="3"/>
      <c r="Q23" s="3"/>
      <c r="R23" s="3"/>
      <c r="S23" s="3"/>
      <c r="T23" s="3"/>
      <c r="U23" s="3"/>
      <c r="V23" s="3"/>
      <c r="W23" s="3"/>
      <c r="X23" s="3"/>
      <c r="Y23" s="3"/>
      <c r="Z23" s="3"/>
    </row>
    <row r="24" spans="1:26" ht="18" customHeight="1" x14ac:dyDescent="0.2">
      <c r="A24" s="3"/>
      <c r="B24" s="392" t="s">
        <v>46</v>
      </c>
      <c r="C24" s="455"/>
      <c r="D24" s="455"/>
      <c r="E24" s="455"/>
      <c r="F24" s="455"/>
      <c r="G24" s="5"/>
      <c r="H24" s="2"/>
      <c r="I24" s="455"/>
      <c r="J24" s="5"/>
      <c r="K24" s="5"/>
      <c r="L24" s="750"/>
      <c r="M24" s="750"/>
      <c r="N24" s="750"/>
      <c r="O24" s="3"/>
      <c r="P24" s="3"/>
      <c r="Q24" s="3"/>
      <c r="R24" s="3"/>
      <c r="S24" s="3"/>
      <c r="T24" s="3"/>
      <c r="U24" s="3"/>
      <c r="V24" s="3"/>
      <c r="W24" s="3"/>
      <c r="X24" s="3"/>
      <c r="Y24" s="3"/>
      <c r="Z24" s="3"/>
    </row>
    <row r="25" spans="1:26" ht="15.75" customHeight="1" x14ac:dyDescent="0.2">
      <c r="A25" s="3"/>
      <c r="B25" s="2"/>
      <c r="C25" s="393" t="s">
        <v>47</v>
      </c>
      <c r="D25" s="2"/>
      <c r="E25" s="2"/>
      <c r="F25" s="847">
        <v>1</v>
      </c>
      <c r="G25" s="838" t="s">
        <v>48</v>
      </c>
      <c r="H25" s="837"/>
      <c r="I25" s="449">
        <v>1</v>
      </c>
      <c r="J25" s="393" t="s">
        <v>49</v>
      </c>
      <c r="K25" s="393" t="s">
        <v>1059</v>
      </c>
      <c r="L25" s="750"/>
      <c r="M25" s="750"/>
      <c r="N25" s="750"/>
      <c r="O25" s="3"/>
      <c r="P25" s="3"/>
      <c r="Q25" s="3"/>
      <c r="R25" s="3"/>
      <c r="S25" s="3"/>
      <c r="T25" s="3"/>
      <c r="U25" s="3"/>
      <c r="V25" s="3"/>
      <c r="W25" s="3"/>
      <c r="X25" s="3"/>
      <c r="Y25" s="3"/>
      <c r="Z25" s="3"/>
    </row>
    <row r="26" spans="1:26" ht="15.75" customHeight="1" x14ac:dyDescent="0.2">
      <c r="A26" s="3"/>
      <c r="B26" s="2"/>
      <c r="C26" s="393"/>
      <c r="D26" s="2"/>
      <c r="E26" s="2"/>
      <c r="F26" s="838"/>
      <c r="G26" s="838"/>
      <c r="H26" s="837"/>
      <c r="I26" s="838"/>
      <c r="J26" s="393"/>
      <c r="K26" s="393"/>
      <c r="L26" s="750"/>
      <c r="M26" s="750"/>
      <c r="N26" s="750"/>
      <c r="O26" s="3"/>
      <c r="P26" s="3"/>
      <c r="Q26" s="3"/>
      <c r="R26" s="3"/>
      <c r="S26" s="3"/>
      <c r="T26" s="3"/>
      <c r="U26" s="3"/>
      <c r="V26" s="3"/>
      <c r="W26" s="3"/>
      <c r="X26" s="3"/>
      <c r="Y26" s="3"/>
      <c r="Z26" s="3"/>
    </row>
    <row r="27" spans="1:26" ht="15.75" customHeight="1" x14ac:dyDescent="0.2">
      <c r="A27" s="3"/>
      <c r="B27" s="2"/>
      <c r="C27" s="393" t="s">
        <v>53</v>
      </c>
      <c r="D27" s="2"/>
      <c r="E27" s="2"/>
      <c r="F27" s="847">
        <v>6.7</v>
      </c>
      <c r="G27" s="838" t="s">
        <v>54</v>
      </c>
      <c r="H27" s="837"/>
      <c r="I27" s="457">
        <f>F27</f>
        <v>6.7</v>
      </c>
      <c r="J27" s="393" t="s">
        <v>55</v>
      </c>
      <c r="K27" s="393" t="s">
        <v>358</v>
      </c>
      <c r="L27" s="750"/>
      <c r="M27" s="750"/>
      <c r="N27" s="750"/>
      <c r="O27" s="3"/>
      <c r="P27" s="3"/>
      <c r="Q27" s="3"/>
      <c r="R27" s="3"/>
      <c r="S27" s="3"/>
      <c r="T27" s="3"/>
      <c r="U27" s="3"/>
      <c r="V27" s="3"/>
      <c r="W27" s="3"/>
      <c r="X27" s="3"/>
      <c r="Y27" s="3"/>
      <c r="Z27" s="3"/>
    </row>
    <row r="28" spans="1:26" ht="15.75" customHeight="1" x14ac:dyDescent="0.2">
      <c r="A28" s="3"/>
      <c r="B28" s="2"/>
      <c r="C28" s="393" t="s">
        <v>56</v>
      </c>
      <c r="D28" s="2"/>
      <c r="E28" s="2"/>
      <c r="F28" s="458">
        <v>94.6</v>
      </c>
      <c r="G28" s="838" t="s">
        <v>57</v>
      </c>
      <c r="H28" s="837" t="s">
        <v>1022</v>
      </c>
      <c r="I28" s="459">
        <v>150</v>
      </c>
      <c r="J28" s="393" t="s">
        <v>58</v>
      </c>
      <c r="K28" s="393" t="s">
        <v>1060</v>
      </c>
      <c r="L28" s="750"/>
      <c r="M28" s="750"/>
      <c r="N28" s="750"/>
      <c r="O28" s="3"/>
      <c r="P28" s="3"/>
      <c r="Q28" s="3"/>
      <c r="R28" s="3"/>
      <c r="S28" s="3"/>
      <c r="T28" s="3"/>
      <c r="U28" s="3"/>
      <c r="V28" s="3"/>
      <c r="W28" s="3"/>
      <c r="X28" s="3"/>
      <c r="Y28" s="3"/>
      <c r="Z28" s="3"/>
    </row>
    <row r="29" spans="1:26" ht="15.75" customHeight="1" x14ac:dyDescent="0.2">
      <c r="A29" s="3"/>
      <c r="B29" s="447"/>
      <c r="C29" s="447"/>
      <c r="D29" s="447"/>
      <c r="E29" s="447"/>
      <c r="F29" s="750"/>
      <c r="G29" s="750"/>
      <c r="H29" s="750"/>
      <c r="I29" s="750"/>
      <c r="J29" s="447"/>
      <c r="K29" s="447"/>
      <c r="L29" s="750"/>
      <c r="M29" s="750"/>
      <c r="N29" s="750"/>
      <c r="O29" s="3"/>
      <c r="P29" s="3"/>
      <c r="Q29" s="3"/>
      <c r="R29" s="3"/>
      <c r="S29" s="3"/>
      <c r="T29" s="3"/>
      <c r="U29" s="3"/>
      <c r="V29" s="3"/>
      <c r="W29" s="3"/>
      <c r="X29" s="3"/>
      <c r="Y29" s="3"/>
      <c r="Z29" s="3"/>
    </row>
    <row r="30" spans="1:26" ht="15.75" customHeight="1" x14ac:dyDescent="0.2">
      <c r="A30" s="3"/>
      <c r="B30" s="392" t="s">
        <v>59</v>
      </c>
      <c r="C30" s="2"/>
      <c r="D30" s="2"/>
      <c r="E30" s="2"/>
      <c r="F30" s="837"/>
      <c r="G30" s="837"/>
      <c r="H30" s="837"/>
      <c r="I30" s="837"/>
      <c r="J30" s="2"/>
      <c r="K30" s="2"/>
      <c r="L30" s="750"/>
      <c r="M30" s="750"/>
      <c r="N30" s="750"/>
      <c r="O30" s="3"/>
      <c r="P30" s="3"/>
      <c r="Q30" s="3"/>
      <c r="R30" s="3"/>
      <c r="S30" s="3"/>
      <c r="T30" s="3"/>
      <c r="U30" s="3"/>
      <c r="V30" s="3"/>
      <c r="W30" s="3"/>
      <c r="X30" s="3"/>
      <c r="Y30" s="3"/>
      <c r="Z30" s="3"/>
    </row>
    <row r="31" spans="1:26" ht="15.75" customHeight="1" x14ac:dyDescent="0.2">
      <c r="A31" s="3"/>
      <c r="B31" s="2"/>
      <c r="C31" s="393" t="s">
        <v>60</v>
      </c>
      <c r="D31" s="2"/>
      <c r="E31" s="2"/>
      <c r="F31" s="847">
        <v>2.58</v>
      </c>
      <c r="G31" s="838" t="s">
        <v>61</v>
      </c>
      <c r="H31" s="837"/>
      <c r="I31" s="496">
        <f>0.8*I32</f>
        <v>4.4799999999999995</v>
      </c>
      <c r="J31" s="460" t="s">
        <v>62</v>
      </c>
      <c r="K31" s="460" t="s">
        <v>328</v>
      </c>
      <c r="L31" s="750"/>
      <c r="M31" s="750"/>
      <c r="N31" s="750"/>
      <c r="O31" s="3"/>
      <c r="P31" s="3"/>
      <c r="Q31" s="3"/>
      <c r="R31" s="3"/>
      <c r="S31" s="3"/>
      <c r="T31" s="3"/>
      <c r="U31" s="3"/>
      <c r="V31" s="3"/>
      <c r="W31" s="3"/>
      <c r="X31" s="3"/>
      <c r="Y31" s="3"/>
      <c r="Z31" s="3"/>
    </row>
    <row r="32" spans="1:26" ht="15.75" customHeight="1" x14ac:dyDescent="0.2">
      <c r="A32" s="3"/>
      <c r="B32" s="2"/>
      <c r="C32" s="393" t="s">
        <v>63</v>
      </c>
      <c r="D32" s="2"/>
      <c r="E32" s="2"/>
      <c r="F32" s="838"/>
      <c r="G32" s="838"/>
      <c r="H32" s="837"/>
      <c r="I32" s="470">
        <v>5.6</v>
      </c>
      <c r="J32" s="460" t="s">
        <v>64</v>
      </c>
      <c r="K32" s="460" t="s">
        <v>1061</v>
      </c>
      <c r="L32" s="750"/>
      <c r="M32" s="750"/>
      <c r="N32" s="750"/>
      <c r="O32" s="3"/>
      <c r="P32" s="3"/>
      <c r="Q32" s="3"/>
      <c r="R32" s="3"/>
      <c r="S32" s="3"/>
      <c r="T32" s="3"/>
      <c r="U32" s="3"/>
      <c r="V32" s="3"/>
      <c r="W32" s="3"/>
      <c r="X32" s="3"/>
      <c r="Y32" s="3"/>
      <c r="Z32" s="3"/>
    </row>
    <row r="33" spans="1:26" ht="15.75" customHeight="1" x14ac:dyDescent="0.2">
      <c r="A33" s="3"/>
      <c r="B33" s="2"/>
      <c r="C33" s="393" t="s">
        <v>68</v>
      </c>
      <c r="D33" s="2"/>
      <c r="E33" s="2"/>
      <c r="F33" s="450">
        <v>0.01</v>
      </c>
      <c r="G33" s="838" t="s">
        <v>69</v>
      </c>
      <c r="H33" s="837"/>
      <c r="I33" s="465"/>
      <c r="J33" s="393"/>
      <c r="K33" s="393" t="s">
        <v>853</v>
      </c>
      <c r="L33" s="750"/>
      <c r="M33" s="750"/>
      <c r="N33" s="750"/>
      <c r="O33" s="3"/>
      <c r="P33" s="3"/>
      <c r="Q33" s="3"/>
      <c r="R33" s="3"/>
      <c r="S33" s="3"/>
      <c r="T33" s="3"/>
      <c r="U33" s="3"/>
      <c r="V33" s="3"/>
      <c r="W33" s="3"/>
      <c r="X33" s="3"/>
      <c r="Y33" s="3"/>
      <c r="Z33" s="3"/>
    </row>
    <row r="34" spans="1:26" ht="15.75" customHeight="1" x14ac:dyDescent="0.2">
      <c r="A34" s="3"/>
      <c r="B34" s="2"/>
      <c r="C34" s="393" t="s">
        <v>71</v>
      </c>
      <c r="D34" s="2"/>
      <c r="E34" s="2"/>
      <c r="F34" s="466"/>
      <c r="G34" s="838"/>
      <c r="H34" s="837"/>
      <c r="I34" s="450">
        <v>0.05</v>
      </c>
      <c r="J34" s="393" t="s">
        <v>72</v>
      </c>
      <c r="K34" s="393" t="s">
        <v>767</v>
      </c>
      <c r="L34" s="750"/>
      <c r="M34" s="750"/>
      <c r="N34" s="750"/>
      <c r="O34" s="3"/>
      <c r="P34" s="3"/>
      <c r="Q34" s="3"/>
      <c r="R34" s="3"/>
      <c r="S34" s="3"/>
      <c r="T34" s="3"/>
      <c r="U34" s="3"/>
      <c r="V34" s="3"/>
      <c r="W34" s="3"/>
      <c r="X34" s="3"/>
      <c r="Y34" s="3"/>
      <c r="Z34" s="3"/>
    </row>
    <row r="35" spans="1:26" ht="15.75" customHeight="1" x14ac:dyDescent="0.2">
      <c r="A35" s="3"/>
      <c r="B35" s="2"/>
      <c r="C35" s="393" t="s">
        <v>73</v>
      </c>
      <c r="D35" s="2"/>
      <c r="E35" s="2"/>
      <c r="F35" s="467">
        <v>0.22500000000000001</v>
      </c>
      <c r="G35" s="785" t="s">
        <v>74</v>
      </c>
      <c r="H35" s="53"/>
      <c r="I35" s="467">
        <v>0.15</v>
      </c>
      <c r="J35" s="460" t="s">
        <v>75</v>
      </c>
      <c r="K35" s="460" t="s">
        <v>297</v>
      </c>
      <c r="L35" s="750"/>
      <c r="M35" s="750"/>
      <c r="N35" s="750"/>
      <c r="O35" s="3"/>
      <c r="P35" s="3"/>
      <c r="Q35" s="3"/>
      <c r="R35" s="3"/>
      <c r="S35" s="3"/>
      <c r="T35" s="3"/>
      <c r="U35" s="3"/>
      <c r="V35" s="3"/>
      <c r="W35" s="3"/>
      <c r="X35" s="3"/>
      <c r="Y35" s="3"/>
      <c r="Z35" s="3"/>
    </row>
    <row r="36" spans="1:26" ht="15.75" customHeight="1" x14ac:dyDescent="0.2">
      <c r="A36" s="3"/>
      <c r="B36" s="2"/>
      <c r="C36" s="561" t="s">
        <v>852</v>
      </c>
      <c r="D36" s="2"/>
      <c r="E36" s="2"/>
      <c r="F36" s="564">
        <v>0</v>
      </c>
      <c r="G36" s="785" t="s">
        <v>487</v>
      </c>
      <c r="H36" s="53"/>
      <c r="I36" s="565">
        <v>3</v>
      </c>
      <c r="J36" s="460" t="s">
        <v>487</v>
      </c>
      <c r="K36" s="460" t="s">
        <v>12</v>
      </c>
      <c r="L36" s="750"/>
      <c r="M36" s="750"/>
      <c r="N36" s="750"/>
      <c r="O36" s="3"/>
      <c r="P36" s="3"/>
      <c r="Q36" s="3"/>
      <c r="R36" s="3"/>
      <c r="S36" s="3"/>
      <c r="T36" s="3"/>
      <c r="U36" s="3"/>
      <c r="V36" s="3"/>
      <c r="W36" s="3"/>
      <c r="X36" s="3"/>
      <c r="Y36" s="3"/>
      <c r="Z36" s="3"/>
    </row>
    <row r="37" spans="1:26" ht="15.75" customHeight="1" x14ac:dyDescent="0.2">
      <c r="A37" s="3"/>
      <c r="B37" s="2"/>
      <c r="C37" s="561" t="s">
        <v>850</v>
      </c>
      <c r="D37" s="2"/>
      <c r="E37" s="2"/>
      <c r="F37" s="467">
        <v>0</v>
      </c>
      <c r="G37" s="785" t="s">
        <v>851</v>
      </c>
      <c r="H37" s="53"/>
      <c r="I37" s="468">
        <f>(F35-I35)/I36</f>
        <v>2.5000000000000005E-2</v>
      </c>
      <c r="J37" s="460" t="s">
        <v>851</v>
      </c>
      <c r="K37" s="460"/>
      <c r="L37" s="750"/>
      <c r="M37" s="750"/>
      <c r="N37" s="750"/>
      <c r="O37" s="3"/>
      <c r="P37" s="3"/>
      <c r="Q37" s="3"/>
      <c r="R37" s="3"/>
      <c r="S37" s="3"/>
      <c r="T37" s="3"/>
      <c r="U37" s="3"/>
      <c r="V37" s="3"/>
      <c r="W37" s="3"/>
      <c r="X37" s="3"/>
      <c r="Y37" s="3"/>
      <c r="Z37" s="3"/>
    </row>
    <row r="38" spans="1:26" ht="15.75" customHeight="1" x14ac:dyDescent="0.2">
      <c r="A38" s="3"/>
      <c r="B38" s="447"/>
      <c r="C38" s="453"/>
      <c r="D38" s="447"/>
      <c r="E38" s="447"/>
      <c r="F38" s="562"/>
      <c r="G38" s="750"/>
      <c r="H38" s="750"/>
      <c r="I38" s="750"/>
      <c r="J38" s="447"/>
      <c r="K38" s="447"/>
      <c r="L38" s="750"/>
      <c r="M38" s="750"/>
      <c r="N38" s="750"/>
      <c r="O38" s="3"/>
      <c r="P38" s="3"/>
      <c r="Q38" s="3"/>
      <c r="R38" s="3"/>
      <c r="S38" s="3"/>
      <c r="T38" s="3"/>
      <c r="U38" s="3"/>
      <c r="V38" s="3"/>
      <c r="W38" s="3"/>
      <c r="X38" s="3"/>
      <c r="Y38" s="3"/>
      <c r="Z38" s="3"/>
    </row>
    <row r="39" spans="1:26" ht="15.75" customHeight="1" x14ac:dyDescent="0.2">
      <c r="A39" s="3"/>
      <c r="B39" s="392" t="s">
        <v>76</v>
      </c>
      <c r="C39" s="393"/>
      <c r="D39" s="2"/>
      <c r="E39" s="2"/>
      <c r="F39" s="837"/>
      <c r="G39" s="837"/>
      <c r="H39" s="837"/>
      <c r="I39" s="837"/>
      <c r="J39" s="2"/>
      <c r="K39" s="2"/>
      <c r="L39" s="750"/>
      <c r="M39" s="750"/>
      <c r="N39" s="750"/>
      <c r="O39" s="3"/>
      <c r="P39" s="3"/>
      <c r="Q39" s="3"/>
      <c r="R39" s="3"/>
      <c r="S39" s="3"/>
      <c r="T39" s="3"/>
      <c r="U39" s="3"/>
      <c r="V39" s="3"/>
      <c r="W39" s="3"/>
      <c r="X39" s="3"/>
      <c r="Y39" s="3"/>
      <c r="Z39" s="3"/>
    </row>
    <row r="40" spans="1:26" ht="15.75" customHeight="1" x14ac:dyDescent="0.2">
      <c r="A40" s="3"/>
      <c r="B40" s="2"/>
      <c r="C40" s="393" t="s">
        <v>272</v>
      </c>
      <c r="D40" s="2"/>
      <c r="E40" s="2"/>
      <c r="F40" s="847">
        <v>7</v>
      </c>
      <c r="G40" s="838" t="s">
        <v>77</v>
      </c>
      <c r="H40" s="837"/>
      <c r="I40" s="470">
        <v>10</v>
      </c>
      <c r="J40" s="393" t="s">
        <v>78</v>
      </c>
      <c r="K40" s="393" t="s">
        <v>706</v>
      </c>
      <c r="L40" s="750"/>
      <c r="M40" s="750"/>
      <c r="N40" s="750"/>
      <c r="O40" s="3"/>
      <c r="P40" s="3"/>
      <c r="Q40" s="3"/>
      <c r="R40" s="3"/>
      <c r="S40" s="3"/>
      <c r="T40" s="3"/>
      <c r="U40" s="3"/>
      <c r="V40" s="3"/>
      <c r="W40" s="3"/>
      <c r="X40" s="3"/>
      <c r="Y40" s="3"/>
      <c r="Z40" s="3"/>
    </row>
    <row r="41" spans="1:26" ht="15.75" customHeight="1" x14ac:dyDescent="0.2">
      <c r="A41" s="3"/>
      <c r="B41" s="2"/>
      <c r="C41" s="460" t="s">
        <v>273</v>
      </c>
      <c r="D41" s="2"/>
      <c r="E41" s="2"/>
      <c r="F41" s="470">
        <v>5.5</v>
      </c>
      <c r="G41" s="838" t="s">
        <v>79</v>
      </c>
      <c r="H41" s="837"/>
      <c r="I41" s="470">
        <v>10</v>
      </c>
      <c r="J41" s="393" t="s">
        <v>80</v>
      </c>
      <c r="K41" s="393" t="s">
        <v>1062</v>
      </c>
      <c r="L41" s="750"/>
      <c r="M41" s="750"/>
      <c r="N41" s="750"/>
      <c r="O41" s="3"/>
      <c r="P41" s="3"/>
      <c r="Q41" s="3"/>
      <c r="R41" s="3"/>
      <c r="S41" s="3"/>
      <c r="T41" s="3"/>
      <c r="U41" s="3"/>
      <c r="V41" s="3"/>
      <c r="W41" s="3"/>
      <c r="X41" s="3"/>
      <c r="Y41" s="3"/>
      <c r="Z41" s="3"/>
    </row>
    <row r="42" spans="1:26" ht="12.75" x14ac:dyDescent="0.2">
      <c r="A42" s="3"/>
      <c r="B42" s="2"/>
      <c r="C42" s="460" t="s">
        <v>274</v>
      </c>
      <c r="D42" s="2"/>
      <c r="E42" s="2"/>
      <c r="F42" s="470">
        <v>8.6999999999999993</v>
      </c>
      <c r="G42" s="838" t="s">
        <v>81</v>
      </c>
      <c r="H42" s="837"/>
      <c r="I42" s="470">
        <v>10</v>
      </c>
      <c r="J42" s="393" t="s">
        <v>82</v>
      </c>
      <c r="K42" s="393" t="s">
        <v>1063</v>
      </c>
      <c r="L42" s="750"/>
      <c r="M42" s="750"/>
      <c r="N42" s="750"/>
      <c r="O42" s="3"/>
      <c r="P42" s="3"/>
      <c r="Q42" s="3"/>
      <c r="R42" s="3"/>
      <c r="S42" s="3"/>
      <c r="T42" s="3"/>
      <c r="U42" s="3"/>
      <c r="V42" s="3"/>
      <c r="W42" s="3"/>
      <c r="X42" s="3"/>
      <c r="Y42" s="3"/>
      <c r="Z42" s="3"/>
    </row>
    <row r="43" spans="1:26" ht="12.75" x14ac:dyDescent="0.2">
      <c r="A43" s="3"/>
      <c r="B43" s="2"/>
      <c r="C43" s="460" t="s">
        <v>275</v>
      </c>
      <c r="D43" s="2"/>
      <c r="E43" s="2"/>
      <c r="F43" s="526">
        <v>12</v>
      </c>
      <c r="G43" s="838" t="s">
        <v>83</v>
      </c>
      <c r="H43" s="837"/>
      <c r="I43" s="471">
        <v>22</v>
      </c>
      <c r="J43" s="393" t="s">
        <v>84</v>
      </c>
      <c r="K43" s="393" t="s">
        <v>1064</v>
      </c>
      <c r="L43" s="750"/>
      <c r="M43" s="750"/>
      <c r="N43" s="750"/>
      <c r="O43" s="3"/>
      <c r="P43" s="3"/>
      <c r="Q43" s="3"/>
      <c r="R43" s="3"/>
      <c r="S43" s="3"/>
      <c r="T43" s="3"/>
      <c r="U43" s="3"/>
      <c r="V43" s="3"/>
      <c r="W43" s="3"/>
      <c r="X43" s="3"/>
      <c r="Y43" s="3"/>
      <c r="Z43" s="3"/>
    </row>
    <row r="44" spans="1:26" ht="12.75" x14ac:dyDescent="0.2">
      <c r="A44" s="3"/>
      <c r="B44" s="2"/>
      <c r="C44" s="460" t="s">
        <v>290</v>
      </c>
      <c r="D44" s="2"/>
      <c r="E44" s="2"/>
      <c r="F44" s="526">
        <v>9.5</v>
      </c>
      <c r="G44" s="838" t="s">
        <v>77</v>
      </c>
      <c r="H44" s="837"/>
      <c r="I44" s="472">
        <f>F44</f>
        <v>9.5</v>
      </c>
      <c r="J44" s="460" t="s">
        <v>77</v>
      </c>
      <c r="K44" s="460" t="s">
        <v>281</v>
      </c>
      <c r="L44" s="750"/>
      <c r="M44" s="750"/>
      <c r="N44" s="750"/>
      <c r="O44" s="3"/>
      <c r="P44" s="3"/>
      <c r="Q44" s="3"/>
      <c r="R44" s="3"/>
      <c r="S44" s="3"/>
      <c r="T44" s="3"/>
      <c r="U44" s="3"/>
      <c r="V44" s="3"/>
      <c r="W44" s="3"/>
      <c r="X44" s="3"/>
      <c r="Y44" s="3"/>
      <c r="Z44" s="3"/>
    </row>
    <row r="45" spans="1:26" ht="12.75" x14ac:dyDescent="0.2">
      <c r="A45" s="3"/>
      <c r="B45" s="2"/>
      <c r="C45" s="460" t="s">
        <v>277</v>
      </c>
      <c r="D45" s="2"/>
      <c r="E45" s="2"/>
      <c r="F45" s="469">
        <v>70.3</v>
      </c>
      <c r="G45" s="838" t="s">
        <v>77</v>
      </c>
      <c r="H45" s="837"/>
      <c r="I45" s="471">
        <v>70</v>
      </c>
      <c r="J45" s="460" t="s">
        <v>77</v>
      </c>
      <c r="K45" s="460"/>
      <c r="L45" s="750"/>
      <c r="M45" s="750"/>
      <c r="N45" s="750"/>
      <c r="O45" s="3"/>
      <c r="P45" s="3"/>
      <c r="Q45" s="3"/>
      <c r="R45" s="3"/>
      <c r="S45" s="3"/>
      <c r="T45" s="3"/>
      <c r="U45" s="3"/>
      <c r="V45" s="3"/>
      <c r="W45" s="3"/>
      <c r="X45" s="3"/>
      <c r="Y45" s="3"/>
      <c r="Z45" s="3"/>
    </row>
    <row r="46" spans="1:26" ht="12.75" x14ac:dyDescent="0.2">
      <c r="A46" s="3"/>
      <c r="B46" s="2"/>
      <c r="C46" s="460" t="s">
        <v>276</v>
      </c>
      <c r="D46" s="2"/>
      <c r="E46" s="2"/>
      <c r="F46" s="847">
        <v>0</v>
      </c>
      <c r="G46" s="838" t="s">
        <v>86</v>
      </c>
      <c r="H46" s="837"/>
      <c r="I46" s="847">
        <v>20</v>
      </c>
      <c r="J46" s="393" t="s">
        <v>86</v>
      </c>
      <c r="K46" s="393"/>
      <c r="L46" s="750"/>
      <c r="M46" s="750"/>
      <c r="N46" s="750"/>
      <c r="O46" s="3"/>
      <c r="P46" s="3"/>
      <c r="Q46" s="3"/>
      <c r="R46" s="3"/>
      <c r="S46" s="3"/>
      <c r="T46" s="3"/>
      <c r="U46" s="3"/>
      <c r="V46" s="3"/>
      <c r="W46" s="3"/>
      <c r="X46" s="3"/>
      <c r="Y46" s="3"/>
      <c r="Z46" s="3"/>
    </row>
    <row r="47" spans="1:26" ht="12.75" x14ac:dyDescent="0.2">
      <c r="A47" s="3"/>
      <c r="B47" s="2"/>
      <c r="C47" s="391" t="s">
        <v>757</v>
      </c>
      <c r="D47" s="2"/>
      <c r="E47" s="2"/>
      <c r="F47" s="847">
        <v>0</v>
      </c>
      <c r="G47" s="838" t="s">
        <v>487</v>
      </c>
      <c r="H47" s="837"/>
      <c r="I47" s="459">
        <v>4</v>
      </c>
      <c r="J47" s="393" t="s">
        <v>487</v>
      </c>
      <c r="K47" s="393"/>
      <c r="L47" s="750"/>
      <c r="M47" s="750"/>
      <c r="N47" s="750"/>
      <c r="O47" s="3"/>
      <c r="P47" s="3"/>
      <c r="Q47" s="3"/>
      <c r="R47" s="3"/>
      <c r="S47" s="3"/>
      <c r="T47" s="3"/>
      <c r="U47" s="3"/>
      <c r="V47" s="3"/>
      <c r="W47" s="3"/>
      <c r="X47" s="3"/>
      <c r="Y47" s="3"/>
      <c r="Z47" s="3"/>
    </row>
    <row r="48" spans="1:26" ht="12.75" x14ac:dyDescent="0.2">
      <c r="A48" s="3"/>
      <c r="B48" s="2"/>
      <c r="C48" s="460" t="s">
        <v>206</v>
      </c>
      <c r="D48" s="2"/>
      <c r="E48" s="2"/>
      <c r="F48" s="477">
        <v>1471</v>
      </c>
      <c r="G48" s="838" t="s">
        <v>87</v>
      </c>
      <c r="H48" s="753"/>
      <c r="I48" s="474">
        <f t="shared" ref="I48:I53" si="0">F48</f>
        <v>1471</v>
      </c>
      <c r="J48" s="393" t="s">
        <v>87</v>
      </c>
      <c r="K48" s="393" t="s">
        <v>309</v>
      </c>
      <c r="L48" s="750"/>
      <c r="M48" s="750"/>
      <c r="N48" s="750"/>
      <c r="O48" s="3"/>
      <c r="P48" s="3"/>
      <c r="Q48" s="3"/>
      <c r="R48" s="3"/>
      <c r="S48" s="3"/>
      <c r="T48" s="3"/>
      <c r="U48" s="3"/>
      <c r="V48" s="3"/>
      <c r="W48" s="3"/>
      <c r="X48" s="3"/>
      <c r="Y48" s="3"/>
      <c r="Z48" s="3"/>
    </row>
    <row r="49" spans="1:26" ht="12.75" x14ac:dyDescent="0.2">
      <c r="A49" s="3"/>
      <c r="B49" s="2"/>
      <c r="C49" s="460" t="s">
        <v>205</v>
      </c>
      <c r="D49" s="2"/>
      <c r="E49" s="2"/>
      <c r="F49" s="477">
        <v>892</v>
      </c>
      <c r="G49" s="838" t="s">
        <v>88</v>
      </c>
      <c r="H49" s="837"/>
      <c r="I49" s="474">
        <f t="shared" si="0"/>
        <v>892</v>
      </c>
      <c r="J49" s="393" t="s">
        <v>87</v>
      </c>
      <c r="K49" s="393" t="s">
        <v>309</v>
      </c>
      <c r="L49" s="750"/>
      <c r="M49" s="750"/>
      <c r="N49" s="750"/>
      <c r="O49" s="3"/>
      <c r="P49" s="3"/>
      <c r="Q49" s="3"/>
      <c r="R49" s="3"/>
      <c r="S49" s="3"/>
      <c r="T49" s="3"/>
      <c r="U49" s="3"/>
      <c r="V49" s="3"/>
      <c r="W49" s="3"/>
      <c r="X49" s="3"/>
      <c r="Y49" s="3"/>
      <c r="Z49" s="3"/>
    </row>
    <row r="50" spans="1:26" ht="12.75" x14ac:dyDescent="0.2">
      <c r="A50" s="3"/>
      <c r="B50" s="2"/>
      <c r="C50" s="460" t="s">
        <v>203</v>
      </c>
      <c r="D50" s="2"/>
      <c r="E50" s="2"/>
      <c r="F50" s="469">
        <v>1193</v>
      </c>
      <c r="G50" s="785" t="s">
        <v>87</v>
      </c>
      <c r="H50" s="53"/>
      <c r="I50" s="476">
        <f t="shared" si="0"/>
        <v>1193</v>
      </c>
      <c r="J50" s="460" t="s">
        <v>87</v>
      </c>
      <c r="K50" s="393" t="s">
        <v>309</v>
      </c>
      <c r="L50" s="750"/>
      <c r="M50" s="750"/>
      <c r="N50" s="750"/>
      <c r="O50" s="3"/>
      <c r="P50" s="3"/>
      <c r="Q50" s="3"/>
      <c r="R50" s="3"/>
      <c r="S50" s="3"/>
      <c r="T50" s="3"/>
      <c r="U50" s="3"/>
      <c r="V50" s="3"/>
      <c r="W50" s="3"/>
      <c r="X50" s="3"/>
      <c r="Y50" s="3"/>
      <c r="Z50" s="3"/>
    </row>
    <row r="51" spans="1:26" ht="12.75" x14ac:dyDescent="0.2">
      <c r="A51" s="3"/>
      <c r="B51" s="2"/>
      <c r="C51" s="460" t="s">
        <v>204</v>
      </c>
      <c r="D51" s="2"/>
      <c r="E51" s="2"/>
      <c r="F51" s="477">
        <v>989</v>
      </c>
      <c r="G51" s="838" t="s">
        <v>87</v>
      </c>
      <c r="H51" s="837"/>
      <c r="I51" s="474">
        <f t="shared" si="0"/>
        <v>989</v>
      </c>
      <c r="J51" s="393" t="s">
        <v>87</v>
      </c>
      <c r="K51" s="393" t="s">
        <v>309</v>
      </c>
      <c r="L51" s="750"/>
      <c r="M51" s="750"/>
      <c r="N51" s="750"/>
      <c r="O51" s="3"/>
      <c r="P51" s="3"/>
      <c r="Q51" s="3"/>
      <c r="R51" s="3"/>
      <c r="S51" s="3"/>
      <c r="T51" s="3"/>
      <c r="U51" s="3"/>
      <c r="V51" s="3"/>
      <c r="W51" s="3"/>
      <c r="X51" s="3"/>
      <c r="Y51" s="3"/>
      <c r="Z51" s="3"/>
    </row>
    <row r="52" spans="1:26" ht="12.75" x14ac:dyDescent="0.2">
      <c r="A52" s="3"/>
      <c r="B52" s="2"/>
      <c r="C52" s="460" t="s">
        <v>291</v>
      </c>
      <c r="D52" s="2"/>
      <c r="E52" s="2"/>
      <c r="F52" s="477">
        <v>1235</v>
      </c>
      <c r="G52" s="838" t="s">
        <v>87</v>
      </c>
      <c r="H52" s="837"/>
      <c r="I52" s="474">
        <f t="shared" si="0"/>
        <v>1235</v>
      </c>
      <c r="J52" s="393" t="s">
        <v>87</v>
      </c>
      <c r="K52" s="393" t="s">
        <v>309</v>
      </c>
      <c r="L52" s="750"/>
      <c r="M52" s="750"/>
      <c r="N52" s="750"/>
      <c r="O52" s="3"/>
      <c r="P52" s="3"/>
      <c r="Q52" s="3"/>
      <c r="R52" s="3"/>
      <c r="S52" s="3"/>
      <c r="T52" s="3"/>
      <c r="U52" s="3"/>
      <c r="V52" s="3"/>
      <c r="W52" s="3"/>
      <c r="X52" s="3"/>
      <c r="Y52" s="3"/>
      <c r="Z52" s="3"/>
    </row>
    <row r="53" spans="1:26" ht="12.75" x14ac:dyDescent="0.2">
      <c r="A53" s="3"/>
      <c r="B53" s="2"/>
      <c r="C53" s="460" t="s">
        <v>271</v>
      </c>
      <c r="D53" s="2"/>
      <c r="E53" s="2"/>
      <c r="F53" s="469">
        <v>867</v>
      </c>
      <c r="G53" s="785" t="s">
        <v>87</v>
      </c>
      <c r="H53" s="53"/>
      <c r="I53" s="476">
        <f t="shared" si="0"/>
        <v>867</v>
      </c>
      <c r="J53" s="460" t="s">
        <v>87</v>
      </c>
      <c r="K53" s="460" t="s">
        <v>330</v>
      </c>
      <c r="L53" s="750"/>
      <c r="M53" s="750"/>
      <c r="N53" s="750"/>
      <c r="O53" s="3"/>
      <c r="P53" s="3"/>
      <c r="Q53" s="3"/>
      <c r="R53" s="3"/>
      <c r="S53" s="3"/>
      <c r="T53" s="3"/>
      <c r="U53" s="3"/>
      <c r="V53" s="3"/>
      <c r="W53" s="3"/>
      <c r="X53" s="3"/>
      <c r="Y53" s="3"/>
      <c r="Z53" s="3"/>
    </row>
    <row r="54" spans="1:26" ht="12.75" x14ac:dyDescent="0.2">
      <c r="A54" s="3"/>
      <c r="B54" s="2"/>
      <c r="C54" s="460" t="s">
        <v>89</v>
      </c>
      <c r="D54" s="2"/>
      <c r="E54" s="2"/>
      <c r="F54" s="759">
        <v>0</v>
      </c>
      <c r="G54" s="752" t="s">
        <v>90</v>
      </c>
      <c r="H54" s="753"/>
      <c r="I54" s="752"/>
      <c r="J54" s="475"/>
      <c r="K54" s="473"/>
      <c r="L54" s="750"/>
      <c r="M54" s="750"/>
      <c r="N54" s="750"/>
      <c r="O54" s="3"/>
      <c r="P54" s="3"/>
      <c r="Q54" s="3"/>
      <c r="R54" s="3"/>
      <c r="S54" s="3"/>
      <c r="T54" s="3"/>
      <c r="U54" s="3"/>
      <c r="V54" s="3"/>
      <c r="W54" s="3"/>
      <c r="X54" s="3"/>
      <c r="Y54" s="3"/>
      <c r="Z54" s="3"/>
    </row>
    <row r="55" spans="1:26" ht="12.75" x14ac:dyDescent="0.2">
      <c r="A55" s="3"/>
      <c r="B55" s="447"/>
      <c r="C55" s="447"/>
      <c r="D55" s="447"/>
      <c r="E55" s="447"/>
      <c r="F55" s="750"/>
      <c r="G55" s="750"/>
      <c r="H55" s="750"/>
      <c r="I55" s="750"/>
      <c r="J55" s="447"/>
      <c r="K55" s="447"/>
      <c r="L55" s="750"/>
      <c r="M55" s="750"/>
      <c r="N55" s="750"/>
      <c r="O55" s="3"/>
      <c r="P55" s="3"/>
      <c r="Q55" s="3"/>
      <c r="R55" s="3"/>
      <c r="S55" s="3"/>
      <c r="T55" s="3"/>
      <c r="U55" s="3"/>
      <c r="V55" s="3"/>
      <c r="W55" s="3"/>
      <c r="X55" s="3"/>
      <c r="Y55" s="3"/>
      <c r="Z55" s="3"/>
    </row>
    <row r="56" spans="1:26" ht="12.75" x14ac:dyDescent="0.2">
      <c r="A56" s="3"/>
      <c r="B56" s="479" t="s">
        <v>215</v>
      </c>
      <c r="C56" s="480"/>
      <c r="D56" s="480"/>
      <c r="E56" s="480"/>
      <c r="F56" s="782"/>
      <c r="G56" s="782"/>
      <c r="H56" s="782"/>
      <c r="I56" s="782"/>
      <c r="J56" s="480"/>
      <c r="K56" s="480"/>
      <c r="L56" s="750"/>
      <c r="M56" s="750"/>
      <c r="N56" s="750"/>
      <c r="O56" s="3"/>
      <c r="P56" s="3"/>
      <c r="Q56" s="3"/>
      <c r="R56" s="3"/>
      <c r="S56" s="3"/>
      <c r="T56" s="3"/>
      <c r="U56" s="3"/>
      <c r="V56" s="3"/>
      <c r="W56" s="3"/>
      <c r="X56" s="3"/>
      <c r="Y56" s="3"/>
      <c r="Z56" s="3"/>
    </row>
    <row r="57" spans="1:26" ht="12.75" x14ac:dyDescent="0.2">
      <c r="A57" s="3"/>
      <c r="B57" s="2"/>
      <c r="C57" s="393" t="s">
        <v>110</v>
      </c>
      <c r="D57" s="2"/>
      <c r="E57" s="2"/>
      <c r="F57" s="481">
        <v>2682</v>
      </c>
      <c r="G57" s="785" t="s">
        <v>111</v>
      </c>
      <c r="H57" s="53"/>
      <c r="I57" s="482">
        <f>F57</f>
        <v>2682</v>
      </c>
      <c r="J57" s="460" t="s">
        <v>111</v>
      </c>
      <c r="K57" s="53" t="s">
        <v>281</v>
      </c>
      <c r="L57" s="750"/>
      <c r="M57" s="750"/>
      <c r="N57" s="750"/>
      <c r="O57" s="3"/>
      <c r="P57" s="3"/>
      <c r="Q57" s="3"/>
      <c r="R57" s="3"/>
      <c r="S57" s="3"/>
      <c r="T57" s="3"/>
      <c r="U57" s="3"/>
      <c r="V57" s="3"/>
      <c r="W57" s="3"/>
      <c r="X57" s="3"/>
      <c r="Y57" s="3"/>
      <c r="Z57" s="3"/>
    </row>
    <row r="58" spans="1:26" ht="12.75" x14ac:dyDescent="0.2">
      <c r="A58" s="3"/>
      <c r="B58" s="2"/>
      <c r="C58" s="460" t="s">
        <v>286</v>
      </c>
      <c r="D58" s="571"/>
      <c r="E58" s="571"/>
      <c r="F58" s="572">
        <v>0.5</v>
      </c>
      <c r="G58" s="333" t="s">
        <v>759</v>
      </c>
      <c r="H58" s="333" t="s">
        <v>760</v>
      </c>
      <c r="I58" s="483"/>
      <c r="J58" s="460"/>
      <c r="K58" s="53"/>
      <c r="L58" s="750"/>
      <c r="M58" s="750"/>
      <c r="N58" s="750"/>
      <c r="O58" s="3"/>
      <c r="P58" s="3"/>
      <c r="Q58" s="3"/>
      <c r="R58" s="3"/>
      <c r="S58" s="3"/>
      <c r="T58" s="3"/>
      <c r="U58" s="3"/>
      <c r="V58" s="3"/>
      <c r="W58" s="3"/>
      <c r="X58" s="3"/>
      <c r="Y58" s="3"/>
      <c r="Z58" s="3"/>
    </row>
    <row r="59" spans="1:26" ht="12.75" x14ac:dyDescent="0.2">
      <c r="A59" s="3"/>
      <c r="B59" s="2"/>
      <c r="C59" s="393" t="s">
        <v>283</v>
      </c>
      <c r="D59" s="2"/>
      <c r="E59" s="2"/>
      <c r="F59" s="481">
        <v>2478.8235294117649</v>
      </c>
      <c r="G59" s="390" t="s">
        <v>758</v>
      </c>
      <c r="H59" s="405" t="s">
        <v>357</v>
      </c>
      <c r="I59" s="483"/>
      <c r="J59" s="460"/>
      <c r="K59" s="53"/>
      <c r="L59" s="750"/>
      <c r="M59" s="750"/>
      <c r="N59" s="750"/>
      <c r="O59" s="3"/>
      <c r="P59" s="3"/>
      <c r="Q59" s="3"/>
      <c r="R59" s="3"/>
      <c r="S59" s="3"/>
      <c r="T59" s="3"/>
      <c r="U59" s="3"/>
      <c r="V59" s="3"/>
      <c r="W59" s="3"/>
      <c r="X59" s="3"/>
      <c r="Y59" s="3"/>
      <c r="Z59" s="3"/>
    </row>
    <row r="60" spans="1:26" ht="12.75" x14ac:dyDescent="0.2">
      <c r="A60" s="3"/>
      <c r="B60" s="447"/>
      <c r="C60" s="447"/>
      <c r="D60" s="447"/>
      <c r="E60" s="447"/>
      <c r="F60" s="750"/>
      <c r="G60" s="750"/>
      <c r="H60" s="750"/>
      <c r="I60" s="750"/>
      <c r="J60" s="447"/>
      <c r="K60" s="447"/>
      <c r="L60" s="750"/>
      <c r="M60" s="750"/>
      <c r="N60" s="750"/>
      <c r="O60" s="3"/>
      <c r="P60" s="3"/>
      <c r="Q60" s="3"/>
      <c r="R60" s="3"/>
      <c r="S60" s="3"/>
      <c r="T60" s="3"/>
      <c r="U60" s="3"/>
      <c r="V60" s="3"/>
      <c r="W60" s="3"/>
      <c r="X60" s="3"/>
      <c r="Y60" s="3"/>
      <c r="Z60" s="3"/>
    </row>
    <row r="61" spans="1:26" ht="12.75" x14ac:dyDescent="0.2">
      <c r="A61" s="3"/>
      <c r="B61" s="392" t="s">
        <v>91</v>
      </c>
      <c r="C61" s="2"/>
      <c r="D61" s="2"/>
      <c r="E61" s="2"/>
      <c r="F61" s="837"/>
      <c r="G61" s="837"/>
      <c r="H61" s="837"/>
      <c r="I61" s="837"/>
      <c r="J61" s="2"/>
      <c r="K61" s="2"/>
      <c r="L61" s="750"/>
      <c r="M61" s="750"/>
      <c r="N61" s="750"/>
      <c r="O61" s="3"/>
      <c r="P61" s="3"/>
      <c r="Q61" s="3"/>
      <c r="R61" s="3"/>
      <c r="S61" s="3"/>
      <c r="T61" s="3"/>
      <c r="U61" s="3"/>
      <c r="V61" s="3"/>
      <c r="W61" s="3"/>
      <c r="X61" s="3"/>
      <c r="Y61" s="3"/>
      <c r="Z61" s="3"/>
    </row>
    <row r="62" spans="1:26" ht="12.75" x14ac:dyDescent="0.2">
      <c r="A62" s="3"/>
      <c r="B62" s="2"/>
      <c r="C62" s="393" t="s">
        <v>92</v>
      </c>
      <c r="D62" s="2"/>
      <c r="E62" s="2"/>
      <c r="F62" s="847">
        <v>80</v>
      </c>
      <c r="G62" s="838" t="s">
        <v>93</v>
      </c>
      <c r="H62" s="837"/>
      <c r="I62" s="847">
        <v>0</v>
      </c>
      <c r="J62" s="393" t="s">
        <v>94</v>
      </c>
      <c r="K62" s="393" t="s">
        <v>95</v>
      </c>
      <c r="L62" s="750"/>
      <c r="M62" s="750"/>
      <c r="N62" s="750"/>
      <c r="O62" s="3"/>
      <c r="P62" s="3"/>
      <c r="Q62" s="3"/>
      <c r="R62" s="3"/>
      <c r="S62" s="3"/>
      <c r="T62" s="3"/>
      <c r="U62" s="3"/>
      <c r="V62" s="3"/>
      <c r="W62" s="3"/>
      <c r="X62" s="3"/>
      <c r="Y62" s="3"/>
      <c r="Z62" s="3"/>
    </row>
    <row r="63" spans="1:26" ht="12.75" x14ac:dyDescent="0.2">
      <c r="A63" s="3"/>
      <c r="B63" s="2"/>
      <c r="C63" s="393" t="s">
        <v>96</v>
      </c>
      <c r="D63" s="2"/>
      <c r="E63" s="2"/>
      <c r="F63" s="847">
        <v>0</v>
      </c>
      <c r="G63" s="838" t="s">
        <v>97</v>
      </c>
      <c r="H63" s="837"/>
      <c r="I63" s="847">
        <v>50</v>
      </c>
      <c r="J63" s="393" t="s">
        <v>98</v>
      </c>
      <c r="K63" s="393" t="s">
        <v>1065</v>
      </c>
      <c r="L63" s="750"/>
      <c r="M63" s="750"/>
      <c r="N63" s="750"/>
      <c r="O63" s="3"/>
      <c r="P63" s="3"/>
      <c r="Q63" s="3"/>
      <c r="R63" s="3"/>
      <c r="S63" s="3"/>
      <c r="T63" s="3"/>
      <c r="U63" s="3"/>
      <c r="V63" s="3"/>
      <c r="W63" s="3"/>
      <c r="X63" s="3"/>
      <c r="Y63" s="3"/>
      <c r="Z63" s="3"/>
    </row>
    <row r="64" spans="1:26" ht="12.75" x14ac:dyDescent="0.2">
      <c r="A64" s="3"/>
      <c r="B64" s="2"/>
      <c r="C64" s="393" t="s">
        <v>99</v>
      </c>
      <c r="D64" s="2"/>
      <c r="E64" s="2"/>
      <c r="F64" s="470">
        <v>50</v>
      </c>
      <c r="G64" s="838" t="s">
        <v>100</v>
      </c>
      <c r="H64" s="837"/>
      <c r="I64" s="847">
        <v>100</v>
      </c>
      <c r="J64" s="393" t="s">
        <v>101</v>
      </c>
      <c r="K64" s="393" t="s">
        <v>1066</v>
      </c>
      <c r="L64" s="750"/>
      <c r="M64" s="750"/>
      <c r="N64" s="750"/>
      <c r="O64" s="3"/>
      <c r="P64" s="3"/>
      <c r="Q64" s="3"/>
      <c r="R64" s="3"/>
      <c r="S64" s="3"/>
      <c r="T64" s="3"/>
      <c r="U64" s="3"/>
      <c r="V64" s="3"/>
      <c r="W64" s="3"/>
      <c r="X64" s="3"/>
      <c r="Y64" s="3"/>
      <c r="Z64" s="3"/>
    </row>
    <row r="65" spans="1:26" ht="12.75" x14ac:dyDescent="0.2">
      <c r="A65" s="3"/>
      <c r="B65" s="2"/>
      <c r="C65" s="393" t="s">
        <v>102</v>
      </c>
      <c r="D65" s="2"/>
      <c r="E65" s="2"/>
      <c r="F65" s="470">
        <v>0</v>
      </c>
      <c r="G65" s="838" t="s">
        <v>103</v>
      </c>
      <c r="H65" s="837"/>
      <c r="I65" s="847">
        <v>200</v>
      </c>
      <c r="J65" s="393" t="s">
        <v>104</v>
      </c>
      <c r="K65" s="393" t="s">
        <v>749</v>
      </c>
      <c r="L65" s="750"/>
      <c r="M65" s="750"/>
      <c r="N65" s="750"/>
      <c r="O65" s="3"/>
      <c r="P65" s="3"/>
      <c r="Q65" s="3"/>
      <c r="R65" s="3"/>
      <c r="S65" s="3"/>
      <c r="T65" s="3"/>
      <c r="U65" s="3"/>
      <c r="V65" s="3"/>
      <c r="W65" s="3"/>
      <c r="X65" s="3"/>
      <c r="Y65" s="3"/>
      <c r="Z65" s="3"/>
    </row>
    <row r="66" spans="1:26" ht="12.75" x14ac:dyDescent="0.2">
      <c r="A66" s="3"/>
      <c r="B66" s="2"/>
      <c r="C66" s="393" t="s">
        <v>105</v>
      </c>
      <c r="D66" s="2"/>
      <c r="E66" s="2"/>
      <c r="F66" s="847">
        <v>2</v>
      </c>
      <c r="G66" s="838" t="s">
        <v>106</v>
      </c>
      <c r="H66" s="837"/>
      <c r="I66" s="470">
        <v>6.1</v>
      </c>
      <c r="J66" s="393" t="s">
        <v>107</v>
      </c>
      <c r="K66" s="393" t="s">
        <v>1063</v>
      </c>
      <c r="L66" s="750"/>
      <c r="M66" s="750"/>
      <c r="N66" s="750"/>
      <c r="O66" s="3"/>
      <c r="P66" s="3"/>
      <c r="Q66" s="3"/>
      <c r="R66" s="3"/>
      <c r="S66" s="3"/>
      <c r="T66" s="3"/>
      <c r="U66" s="3"/>
      <c r="V66" s="3"/>
      <c r="W66" s="3"/>
      <c r="X66" s="3"/>
      <c r="Y66" s="3"/>
      <c r="Z66" s="3"/>
    </row>
    <row r="67" spans="1:26" ht="12.75" x14ac:dyDescent="0.2">
      <c r="A67" s="3"/>
      <c r="B67" s="2"/>
      <c r="C67" s="393" t="s">
        <v>108</v>
      </c>
      <c r="D67" s="2"/>
      <c r="E67" s="2"/>
      <c r="F67" s="847">
        <v>50</v>
      </c>
      <c r="G67" s="838" t="s">
        <v>210</v>
      </c>
      <c r="H67" s="837"/>
      <c r="I67" s="485"/>
      <c r="J67" s="393"/>
      <c r="K67" s="2"/>
      <c r="L67" s="750"/>
      <c r="M67" s="750"/>
      <c r="N67" s="750"/>
      <c r="O67" s="3"/>
      <c r="P67" s="3"/>
      <c r="Q67" s="3"/>
      <c r="R67" s="3"/>
      <c r="S67" s="3"/>
      <c r="T67" s="3"/>
      <c r="U67" s="3"/>
      <c r="V67" s="3"/>
      <c r="W67" s="3"/>
      <c r="X67" s="3"/>
      <c r="Y67" s="3"/>
      <c r="Z67" s="3"/>
    </row>
    <row r="68" spans="1:26" ht="12.75" x14ac:dyDescent="0.2">
      <c r="A68" s="3"/>
      <c r="B68" s="447"/>
      <c r="C68" s="447"/>
      <c r="D68" s="447"/>
      <c r="E68" s="447"/>
      <c r="F68" s="750"/>
      <c r="G68" s="750"/>
      <c r="H68" s="750"/>
      <c r="I68" s="750"/>
      <c r="J68" s="447"/>
      <c r="K68" s="447"/>
      <c r="L68" s="750"/>
      <c r="M68" s="750"/>
      <c r="N68" s="750"/>
      <c r="O68" s="3"/>
      <c r="P68" s="3"/>
      <c r="Q68" s="3"/>
      <c r="R68" s="3"/>
      <c r="S68" s="3"/>
      <c r="T68" s="3"/>
      <c r="U68" s="3"/>
      <c r="V68" s="3"/>
      <c r="W68" s="3"/>
      <c r="X68" s="3"/>
      <c r="Y68" s="3"/>
      <c r="Z68" s="3"/>
    </row>
    <row r="69" spans="1:26" ht="12.75" x14ac:dyDescent="0.2">
      <c r="A69" s="3"/>
      <c r="B69" s="392" t="s">
        <v>109</v>
      </c>
      <c r="C69" s="2"/>
      <c r="D69" s="2"/>
      <c r="E69" s="2"/>
      <c r="F69" s="837"/>
      <c r="G69" s="837"/>
      <c r="H69" s="837"/>
      <c r="I69" s="837"/>
      <c r="J69" s="2"/>
      <c r="K69" s="2"/>
      <c r="L69" s="750"/>
      <c r="M69" s="750"/>
      <c r="N69" s="750"/>
      <c r="O69" s="3"/>
      <c r="P69" s="3"/>
      <c r="Q69" s="3"/>
      <c r="R69" s="3"/>
      <c r="S69" s="3"/>
      <c r="T69" s="3"/>
      <c r="U69" s="3"/>
      <c r="V69" s="3"/>
      <c r="W69" s="3"/>
      <c r="X69" s="3"/>
      <c r="Y69" s="3"/>
      <c r="Z69" s="3"/>
    </row>
    <row r="70" spans="1:26" ht="12.75" x14ac:dyDescent="0.2">
      <c r="A70" s="3"/>
      <c r="B70" s="2"/>
      <c r="C70" s="393" t="s">
        <v>112</v>
      </c>
      <c r="D70" s="2"/>
      <c r="E70" s="2"/>
      <c r="F70" s="848">
        <f>F85</f>
        <v>60.39</v>
      </c>
      <c r="G70" s="838" t="s">
        <v>113</v>
      </c>
      <c r="H70" s="837"/>
      <c r="I70" s="848">
        <f>I85</f>
        <v>60.39</v>
      </c>
      <c r="J70" s="393" t="s">
        <v>114</v>
      </c>
      <c r="K70" s="2" t="s">
        <v>213</v>
      </c>
      <c r="L70" s="750"/>
      <c r="M70" s="750"/>
      <c r="N70" s="750"/>
      <c r="O70" s="3"/>
      <c r="P70" s="3"/>
      <c r="Q70" s="3"/>
      <c r="R70" s="3"/>
      <c r="S70" s="3"/>
      <c r="T70" s="3"/>
      <c r="U70" s="3"/>
      <c r="V70" s="3"/>
      <c r="W70" s="3"/>
      <c r="X70" s="3"/>
      <c r="Y70" s="3"/>
      <c r="Z70" s="3"/>
    </row>
    <row r="71" spans="1:26" ht="12.75" x14ac:dyDescent="0.2">
      <c r="A71" s="3"/>
      <c r="B71" s="2"/>
      <c r="C71" s="393" t="s">
        <v>115</v>
      </c>
      <c r="D71" s="2"/>
      <c r="E71" s="2"/>
      <c r="F71" s="847">
        <v>225</v>
      </c>
      <c r="G71" s="838" t="s">
        <v>116</v>
      </c>
      <c r="H71" s="837"/>
      <c r="I71" s="457">
        <f>F71</f>
        <v>225</v>
      </c>
      <c r="J71" s="393" t="s">
        <v>117</v>
      </c>
      <c r="K71" s="2" t="s">
        <v>1063</v>
      </c>
      <c r="L71" s="750"/>
      <c r="M71" s="750"/>
      <c r="N71" s="750"/>
      <c r="O71" s="3"/>
      <c r="P71" s="3"/>
      <c r="Q71" s="3"/>
      <c r="R71" s="3"/>
      <c r="S71" s="3"/>
      <c r="T71" s="3"/>
      <c r="U71" s="3"/>
      <c r="V71" s="3"/>
      <c r="W71" s="3"/>
      <c r="X71" s="3"/>
      <c r="Y71" s="3"/>
      <c r="Z71" s="3"/>
    </row>
    <row r="72" spans="1:26" ht="12.75" x14ac:dyDescent="0.2">
      <c r="A72" s="3"/>
      <c r="B72" s="2"/>
      <c r="C72" s="393" t="s">
        <v>118</v>
      </c>
      <c r="D72" s="2"/>
      <c r="E72" s="2"/>
      <c r="F72" s="823">
        <v>0.60399999999999998</v>
      </c>
      <c r="G72" s="838" t="s">
        <v>1038</v>
      </c>
      <c r="H72" s="837"/>
      <c r="I72" s="848">
        <f>F72</f>
        <v>0.60399999999999998</v>
      </c>
      <c r="J72" s="393" t="s">
        <v>1038</v>
      </c>
      <c r="K72" s="2" t="s">
        <v>208</v>
      </c>
      <c r="L72" s="750"/>
      <c r="M72" s="750"/>
      <c r="N72" s="750"/>
      <c r="O72" s="3"/>
      <c r="P72" s="3"/>
      <c r="Q72" s="3"/>
      <c r="R72" s="3"/>
      <c r="S72" s="3"/>
      <c r="T72" s="3"/>
      <c r="U72" s="3"/>
      <c r="V72" s="3"/>
      <c r="W72" s="3"/>
      <c r="X72" s="3"/>
      <c r="Y72" s="3"/>
      <c r="Z72" s="3"/>
    </row>
    <row r="73" spans="1:26" ht="12.75" x14ac:dyDescent="0.2">
      <c r="A73" s="3"/>
      <c r="B73" s="2"/>
      <c r="C73" s="393" t="s">
        <v>119</v>
      </c>
      <c r="D73" s="2"/>
      <c r="E73" s="2"/>
      <c r="F73" s="847">
        <v>0.60899999999999999</v>
      </c>
      <c r="G73" s="838" t="s">
        <v>1038</v>
      </c>
      <c r="H73" s="837"/>
      <c r="I73" s="848">
        <f>F73</f>
        <v>0.60899999999999999</v>
      </c>
      <c r="J73" s="393" t="s">
        <v>1038</v>
      </c>
      <c r="K73" s="2" t="s">
        <v>281</v>
      </c>
      <c r="L73" s="750"/>
      <c r="M73" s="750"/>
      <c r="N73" s="750"/>
      <c r="O73" s="3"/>
      <c r="P73" s="3"/>
      <c r="Q73" s="3"/>
      <c r="R73" s="3"/>
      <c r="S73" s="3"/>
      <c r="T73" s="3"/>
      <c r="U73" s="3"/>
      <c r="V73" s="3"/>
      <c r="W73" s="3"/>
      <c r="X73" s="3"/>
      <c r="Y73" s="3"/>
      <c r="Z73" s="3"/>
    </row>
    <row r="74" spans="1:26" ht="12.75" x14ac:dyDescent="0.2">
      <c r="A74" s="3"/>
      <c r="B74" s="2"/>
      <c r="C74" s="393" t="s">
        <v>120</v>
      </c>
      <c r="D74" s="2"/>
      <c r="E74" s="2"/>
      <c r="F74" s="823">
        <v>5.0780754094198297</v>
      </c>
      <c r="G74" s="838" t="s">
        <v>1039</v>
      </c>
      <c r="H74" s="837"/>
      <c r="I74" s="824">
        <f>F74</f>
        <v>5.0780754094198297</v>
      </c>
      <c r="J74" s="393" t="s">
        <v>1039</v>
      </c>
      <c r="K74" s="393" t="s">
        <v>122</v>
      </c>
      <c r="L74" s="750"/>
      <c r="M74" s="750"/>
      <c r="N74" s="750"/>
      <c r="O74" s="3"/>
      <c r="P74" s="3"/>
      <c r="Q74" s="3"/>
      <c r="R74" s="3"/>
      <c r="S74" s="3"/>
      <c r="T74" s="3"/>
      <c r="U74" s="3"/>
      <c r="V74" s="3"/>
      <c r="W74" s="3"/>
      <c r="X74" s="3"/>
      <c r="Y74" s="3"/>
      <c r="Z74" s="3"/>
    </row>
    <row r="75" spans="1:26" ht="12.75" x14ac:dyDescent="0.2">
      <c r="A75" s="3"/>
      <c r="B75" s="2"/>
      <c r="C75" s="393" t="s">
        <v>123</v>
      </c>
      <c r="D75" s="2"/>
      <c r="E75" s="2"/>
      <c r="F75" s="847">
        <v>100</v>
      </c>
      <c r="G75" s="838" t="s">
        <v>124</v>
      </c>
      <c r="H75" s="837"/>
      <c r="I75" s="848">
        <f>F75</f>
        <v>100</v>
      </c>
      <c r="J75" s="393" t="s">
        <v>125</v>
      </c>
      <c r="K75" s="393" t="s">
        <v>126</v>
      </c>
      <c r="L75" s="750"/>
      <c r="M75" s="750"/>
      <c r="N75" s="750"/>
      <c r="O75" s="3"/>
      <c r="P75" s="3"/>
      <c r="Q75" s="3"/>
      <c r="R75" s="3"/>
      <c r="S75" s="3"/>
      <c r="T75" s="3"/>
      <c r="U75" s="3"/>
      <c r="V75" s="3"/>
      <c r="W75" s="3"/>
      <c r="X75" s="3"/>
      <c r="Y75" s="3"/>
      <c r="Z75" s="3"/>
    </row>
    <row r="76" spans="1:26" ht="12.75" x14ac:dyDescent="0.2">
      <c r="A76" s="3"/>
      <c r="B76" s="2"/>
      <c r="C76" s="393" t="s">
        <v>263</v>
      </c>
      <c r="D76" s="2"/>
      <c r="E76" s="2"/>
      <c r="F76" s="759">
        <v>0</v>
      </c>
      <c r="G76" s="752" t="s">
        <v>127</v>
      </c>
      <c r="H76" s="753"/>
      <c r="I76" s="752"/>
      <c r="J76" s="475"/>
      <c r="K76" s="473"/>
      <c r="L76" s="750"/>
      <c r="M76" s="750"/>
      <c r="N76" s="750"/>
      <c r="O76" s="3"/>
      <c r="P76" s="3"/>
      <c r="Q76" s="3"/>
      <c r="R76" s="3"/>
      <c r="S76" s="3"/>
      <c r="T76" s="3"/>
      <c r="U76" s="3"/>
      <c r="V76" s="3"/>
      <c r="W76" s="3"/>
      <c r="X76" s="3"/>
      <c r="Y76" s="3"/>
      <c r="Z76" s="3"/>
    </row>
    <row r="77" spans="1:26" ht="13.5" customHeight="1" x14ac:dyDescent="0.2">
      <c r="A77" s="3"/>
      <c r="B77" s="2"/>
      <c r="C77" s="393" t="s">
        <v>911</v>
      </c>
      <c r="D77" s="2"/>
      <c r="E77" s="2"/>
      <c r="F77" s="759">
        <v>0</v>
      </c>
      <c r="G77" s="752" t="s">
        <v>5</v>
      </c>
      <c r="H77" s="753"/>
      <c r="I77" s="752"/>
      <c r="J77" s="475"/>
      <c r="K77" s="473" t="s">
        <v>912</v>
      </c>
      <c r="L77" s="750"/>
      <c r="M77" s="750"/>
      <c r="N77" s="750"/>
      <c r="O77" s="3"/>
      <c r="P77" s="3"/>
      <c r="Q77" s="3"/>
      <c r="R77" s="3"/>
      <c r="S77" s="3"/>
      <c r="T77" s="3"/>
      <c r="U77" s="3"/>
      <c r="V77" s="3"/>
      <c r="W77" s="3"/>
      <c r="X77" s="3"/>
      <c r="Y77" s="3"/>
      <c r="Z77" s="3"/>
    </row>
    <row r="78" spans="1:26" ht="12.75" x14ac:dyDescent="0.2">
      <c r="A78" s="3"/>
      <c r="B78" s="447"/>
      <c r="C78" s="447"/>
      <c r="D78" s="447"/>
      <c r="E78" s="447"/>
      <c r="F78" s="750"/>
      <c r="G78" s="750"/>
      <c r="H78" s="750"/>
      <c r="I78" s="750"/>
      <c r="J78" s="447"/>
      <c r="K78" s="447"/>
      <c r="L78" s="750"/>
      <c r="M78" s="750"/>
      <c r="N78" s="750"/>
      <c r="O78" s="3"/>
      <c r="P78" s="3"/>
      <c r="Q78" s="3"/>
      <c r="R78" s="3"/>
      <c r="S78" s="3"/>
      <c r="T78" s="3"/>
      <c r="U78" s="3"/>
      <c r="V78" s="3"/>
      <c r="W78" s="3"/>
      <c r="X78" s="3"/>
      <c r="Y78" s="3"/>
      <c r="Z78" s="3"/>
    </row>
    <row r="79" spans="1:26" ht="12.75" x14ac:dyDescent="0.2">
      <c r="A79" s="3"/>
      <c r="B79" s="392" t="s">
        <v>287</v>
      </c>
      <c r="C79" s="20"/>
      <c r="D79" s="2"/>
      <c r="E79" s="2"/>
      <c r="F79" s="837"/>
      <c r="G79" s="838"/>
      <c r="H79" s="837"/>
      <c r="I79" s="837"/>
      <c r="J79" s="393"/>
      <c r="K79" s="2"/>
      <c r="L79" s="750"/>
      <c r="M79" s="750"/>
      <c r="N79" s="750"/>
      <c r="O79" s="3"/>
      <c r="P79" s="3"/>
      <c r="Q79" s="3"/>
      <c r="R79" s="3"/>
      <c r="S79" s="3"/>
      <c r="T79" s="3"/>
      <c r="U79" s="3"/>
      <c r="V79" s="3"/>
      <c r="W79" s="3"/>
      <c r="X79" s="3"/>
      <c r="Y79" s="3"/>
      <c r="Z79" s="3"/>
    </row>
    <row r="80" spans="1:26" ht="12.75" x14ac:dyDescent="0.2">
      <c r="A80" s="3"/>
      <c r="B80" s="2"/>
      <c r="C80" s="393" t="s">
        <v>282</v>
      </c>
      <c r="D80" s="2"/>
      <c r="E80" s="2"/>
      <c r="F80" s="847">
        <f>100/50</f>
        <v>2</v>
      </c>
      <c r="G80" s="785" t="s">
        <v>288</v>
      </c>
      <c r="H80" s="53"/>
      <c r="I80" s="847">
        <f>100/50</f>
        <v>2</v>
      </c>
      <c r="J80" s="460" t="s">
        <v>288</v>
      </c>
      <c r="K80" s="53" t="s">
        <v>1067</v>
      </c>
      <c r="L80" s="750"/>
      <c r="M80" s="750"/>
      <c r="N80" s="750"/>
      <c r="O80" s="3"/>
      <c r="P80" s="3"/>
      <c r="Q80" s="3"/>
      <c r="R80" s="3"/>
      <c r="S80" s="3"/>
      <c r="T80" s="3"/>
      <c r="U80" s="3"/>
      <c r="V80" s="3"/>
      <c r="W80" s="3"/>
      <c r="X80" s="3"/>
      <c r="Y80" s="3"/>
      <c r="Z80" s="3"/>
    </row>
    <row r="81" spans="1:26" ht="12.75" x14ac:dyDescent="0.2">
      <c r="A81" s="3"/>
      <c r="B81" s="2"/>
      <c r="C81" s="393" t="s">
        <v>284</v>
      </c>
      <c r="D81" s="2"/>
      <c r="E81" s="2"/>
      <c r="F81" s="482">
        <f>988.653594771242/F31</f>
        <v>383.19906774079146</v>
      </c>
      <c r="G81" s="785" t="s">
        <v>288</v>
      </c>
      <c r="H81" s="53"/>
      <c r="I81" s="482">
        <f>F81</f>
        <v>383.19906774079146</v>
      </c>
      <c r="J81" s="460" t="s">
        <v>288</v>
      </c>
      <c r="K81" s="53" t="s">
        <v>281</v>
      </c>
      <c r="L81" s="750"/>
      <c r="M81" s="750"/>
      <c r="N81" s="750"/>
      <c r="O81" s="3"/>
      <c r="P81" s="3"/>
      <c r="Q81" s="3"/>
      <c r="R81" s="3"/>
      <c r="S81" s="3"/>
      <c r="T81" s="3"/>
      <c r="U81" s="3"/>
      <c r="V81" s="3"/>
      <c r="W81" s="3"/>
      <c r="X81" s="3"/>
      <c r="Y81" s="3"/>
      <c r="Z81" s="3"/>
    </row>
    <row r="82" spans="1:26" ht="12.75" x14ac:dyDescent="0.2">
      <c r="A82" s="3"/>
      <c r="B82" s="447"/>
      <c r="C82" s="447"/>
      <c r="D82" s="447"/>
      <c r="E82" s="447"/>
      <c r="F82" s="750"/>
      <c r="G82" s="750"/>
      <c r="H82" s="750"/>
      <c r="I82" s="750"/>
      <c r="J82" s="447"/>
      <c r="K82" s="447"/>
      <c r="L82" s="750"/>
      <c r="M82" s="750"/>
      <c r="N82" s="750"/>
      <c r="O82" s="3"/>
      <c r="P82" s="3"/>
      <c r="Q82" s="3"/>
      <c r="R82" s="3"/>
      <c r="S82" s="3"/>
      <c r="T82" s="3"/>
      <c r="U82" s="3"/>
      <c r="V82" s="3"/>
      <c r="W82" s="3"/>
      <c r="X82" s="3"/>
      <c r="Y82" s="3"/>
      <c r="Z82" s="3"/>
    </row>
    <row r="83" spans="1:26" ht="12.75" x14ac:dyDescent="0.2">
      <c r="A83" s="3"/>
      <c r="B83" s="392" t="s">
        <v>131</v>
      </c>
      <c r="C83" s="2"/>
      <c r="D83" s="2"/>
      <c r="E83" s="2"/>
      <c r="F83" s="838"/>
      <c r="G83" s="837"/>
      <c r="H83" s="837"/>
      <c r="I83" s="837"/>
      <c r="J83" s="2"/>
      <c r="K83" s="2"/>
      <c r="L83" s="750"/>
      <c r="M83" s="750"/>
      <c r="N83" s="750"/>
      <c r="O83" s="3"/>
      <c r="P83" s="3"/>
      <c r="Q83" s="3"/>
      <c r="R83" s="3"/>
      <c r="S83" s="3"/>
      <c r="T83" s="3"/>
      <c r="U83" s="3"/>
      <c r="V83" s="3"/>
      <c r="W83" s="3"/>
      <c r="X83" s="3"/>
      <c r="Y83" s="3"/>
      <c r="Z83" s="3"/>
    </row>
    <row r="84" spans="1:26" ht="12.75" x14ac:dyDescent="0.2">
      <c r="A84" s="3"/>
      <c r="B84" s="2"/>
      <c r="C84" s="393" t="s">
        <v>132</v>
      </c>
      <c r="D84" s="2"/>
      <c r="E84" s="2"/>
      <c r="F84" s="459">
        <v>62.39</v>
      </c>
      <c r="G84" s="838" t="s">
        <v>136</v>
      </c>
      <c r="H84" s="837"/>
      <c r="I84" s="848">
        <f>F84</f>
        <v>62.39</v>
      </c>
      <c r="J84" s="393" t="s">
        <v>137</v>
      </c>
      <c r="K84" s="393" t="s">
        <v>316</v>
      </c>
      <c r="L84" s="750"/>
      <c r="M84" s="750"/>
      <c r="N84" s="750"/>
      <c r="O84" s="3"/>
      <c r="P84" s="3"/>
      <c r="Q84" s="3"/>
      <c r="R84" s="3"/>
      <c r="S84" s="3"/>
      <c r="T84" s="3"/>
      <c r="U84" s="3"/>
      <c r="V84" s="3"/>
      <c r="W84" s="3"/>
      <c r="X84" s="3"/>
      <c r="Y84" s="3"/>
      <c r="Z84" s="3"/>
    </row>
    <row r="85" spans="1:26" ht="12.75" x14ac:dyDescent="0.2">
      <c r="A85" s="3"/>
      <c r="B85" s="2"/>
      <c r="C85" s="393" t="s">
        <v>135</v>
      </c>
      <c r="D85" s="2"/>
      <c r="E85" s="2"/>
      <c r="F85" s="474">
        <f>F84-F80</f>
        <v>60.39</v>
      </c>
      <c r="G85" s="838" t="s">
        <v>113</v>
      </c>
      <c r="H85" s="837"/>
      <c r="I85" s="474">
        <f>I84-I80</f>
        <v>60.39</v>
      </c>
      <c r="J85" s="393" t="s">
        <v>113</v>
      </c>
      <c r="K85" s="393"/>
      <c r="L85" s="750"/>
      <c r="M85" s="750"/>
      <c r="N85" s="750"/>
      <c r="O85" s="3"/>
      <c r="P85" s="3"/>
      <c r="Q85" s="3"/>
      <c r="R85" s="3"/>
      <c r="S85" s="3"/>
      <c r="T85" s="3"/>
      <c r="U85" s="3"/>
      <c r="V85" s="3"/>
      <c r="W85" s="3"/>
      <c r="X85" s="3"/>
      <c r="Y85" s="3"/>
      <c r="Z85" s="3"/>
    </row>
    <row r="86" spans="1:26" ht="12.75" x14ac:dyDescent="0.2">
      <c r="A86" s="3"/>
      <c r="B86" s="2"/>
      <c r="C86" s="393" t="s">
        <v>138</v>
      </c>
      <c r="D86" s="2"/>
      <c r="E86" s="2"/>
      <c r="F86" s="847">
        <v>0</v>
      </c>
      <c r="G86" s="838" t="s">
        <v>139</v>
      </c>
      <c r="H86" s="837"/>
      <c r="I86" s="847">
        <v>0</v>
      </c>
      <c r="J86" s="393" t="s">
        <v>140</v>
      </c>
      <c r="K86" s="393" t="s">
        <v>141</v>
      </c>
      <c r="L86" s="750"/>
      <c r="M86" s="750"/>
      <c r="N86" s="750"/>
      <c r="O86" s="3"/>
      <c r="P86" s="3"/>
      <c r="Q86" s="3"/>
      <c r="R86" s="3"/>
      <c r="S86" s="3"/>
      <c r="T86" s="3"/>
      <c r="U86" s="3"/>
      <c r="V86" s="3"/>
      <c r="W86" s="3"/>
      <c r="X86" s="3"/>
      <c r="Y86" s="3"/>
      <c r="Z86" s="3"/>
    </row>
    <row r="87" spans="1:26" ht="12.75" x14ac:dyDescent="0.2">
      <c r="A87" s="3"/>
      <c r="B87" s="2"/>
      <c r="C87" s="393" t="s">
        <v>142</v>
      </c>
      <c r="D87" s="2"/>
      <c r="E87" s="2"/>
      <c r="F87" s="759">
        <v>0</v>
      </c>
      <c r="G87" s="838" t="s">
        <v>143</v>
      </c>
      <c r="H87" s="837"/>
      <c r="I87" s="752"/>
      <c r="J87" s="393"/>
      <c r="K87" s="2"/>
      <c r="L87" s="750"/>
      <c r="M87" s="750"/>
      <c r="N87" s="750"/>
      <c r="O87" s="3"/>
      <c r="P87" s="3"/>
      <c r="Q87" s="3"/>
      <c r="R87" s="3"/>
      <c r="S87" s="3"/>
      <c r="T87" s="3"/>
      <c r="U87" s="3"/>
      <c r="V87" s="3"/>
      <c r="W87" s="3"/>
      <c r="X87" s="3"/>
      <c r="Y87" s="3"/>
      <c r="Z87" s="3"/>
    </row>
    <row r="88" spans="1:26" ht="12.75" x14ac:dyDescent="0.2">
      <c r="A88" s="3"/>
      <c r="B88" s="447"/>
      <c r="C88" s="447"/>
      <c r="D88" s="447"/>
      <c r="E88" s="447"/>
      <c r="F88" s="750"/>
      <c r="G88" s="750"/>
      <c r="H88" s="750"/>
      <c r="I88" s="750"/>
      <c r="J88" s="447"/>
      <c r="K88" s="447"/>
      <c r="L88" s="750"/>
      <c r="M88" s="750"/>
      <c r="N88" s="750"/>
      <c r="O88" s="3"/>
      <c r="P88" s="3"/>
      <c r="Q88" s="3"/>
      <c r="R88" s="3"/>
      <c r="S88" s="3"/>
      <c r="T88" s="3"/>
      <c r="U88" s="3"/>
      <c r="V88" s="3"/>
      <c r="W88" s="3"/>
      <c r="X88" s="3"/>
      <c r="Y88" s="3"/>
      <c r="Z88" s="3"/>
    </row>
    <row r="89" spans="1:26" ht="12.75" x14ac:dyDescent="0.2">
      <c r="A89" s="3"/>
      <c r="B89" s="392" t="s">
        <v>209</v>
      </c>
      <c r="C89" s="2"/>
      <c r="D89" s="2"/>
      <c r="E89" s="2"/>
      <c r="F89" s="837"/>
      <c r="G89" s="837"/>
      <c r="H89" s="837"/>
      <c r="I89" s="837"/>
      <c r="J89" s="2"/>
      <c r="K89" s="2"/>
      <c r="L89" s="750"/>
      <c r="M89" s="750"/>
      <c r="N89" s="750"/>
      <c r="O89" s="3"/>
      <c r="P89" s="3"/>
      <c r="Q89" s="3"/>
      <c r="R89" s="3"/>
      <c r="S89" s="3"/>
      <c r="T89" s="3"/>
      <c r="U89" s="3"/>
      <c r="V89" s="3"/>
      <c r="W89" s="3"/>
      <c r="X89" s="3"/>
      <c r="Y89" s="3"/>
      <c r="Z89" s="3"/>
    </row>
    <row r="90" spans="1:26" ht="12.75" x14ac:dyDescent="0.2">
      <c r="A90" s="3"/>
      <c r="B90" s="2"/>
      <c r="C90" s="393" t="s">
        <v>145</v>
      </c>
      <c r="D90" s="2"/>
      <c r="E90" s="2"/>
      <c r="F90" s="847">
        <v>0</v>
      </c>
      <c r="G90" s="838" t="s">
        <v>146</v>
      </c>
      <c r="H90" s="837"/>
      <c r="I90" s="469">
        <v>130000</v>
      </c>
      <c r="J90" s="393" t="s">
        <v>147</v>
      </c>
      <c r="K90" s="393" t="s">
        <v>1063</v>
      </c>
      <c r="L90" s="750"/>
      <c r="M90" s="750"/>
      <c r="N90" s="750"/>
      <c r="O90" s="3"/>
      <c r="P90" s="3"/>
      <c r="Q90" s="3"/>
      <c r="R90" s="3"/>
      <c r="S90" s="3"/>
      <c r="T90" s="3"/>
      <c r="U90" s="3"/>
      <c r="V90" s="3"/>
      <c r="W90" s="3"/>
      <c r="X90" s="3"/>
      <c r="Y90" s="3"/>
      <c r="Z90" s="3"/>
    </row>
    <row r="91" spans="1:26" ht="12.75" x14ac:dyDescent="0.2">
      <c r="A91" s="3"/>
      <c r="B91" s="2"/>
      <c r="C91" s="393" t="s">
        <v>148</v>
      </c>
      <c r="D91" s="2"/>
      <c r="E91" s="2"/>
      <c r="F91" s="528">
        <f>EXP((LN(1+F95))/1.5)-1</f>
        <v>9.9999257025800148E-2</v>
      </c>
      <c r="G91" s="838" t="s">
        <v>149</v>
      </c>
      <c r="H91" s="837"/>
      <c r="I91" s="528">
        <f>EXP((LN(1+I95))/1.5)-1</f>
        <v>9.9999257025800148E-2</v>
      </c>
      <c r="J91" s="393" t="s">
        <v>150</v>
      </c>
      <c r="K91" s="2"/>
      <c r="L91" s="750"/>
      <c r="M91" s="750"/>
      <c r="N91" s="750"/>
      <c r="O91" s="3"/>
      <c r="P91" s="3"/>
      <c r="Q91" s="3"/>
      <c r="R91" s="3"/>
      <c r="S91" s="3"/>
      <c r="T91" s="3"/>
      <c r="U91" s="3"/>
      <c r="V91" s="3"/>
      <c r="W91" s="3"/>
      <c r="X91" s="3"/>
      <c r="Y91" s="3"/>
      <c r="Z91" s="3"/>
    </row>
    <row r="92" spans="1:26" ht="12.75" x14ac:dyDescent="0.2">
      <c r="A92" s="3"/>
      <c r="B92" s="2"/>
      <c r="C92" s="393" t="s">
        <v>151</v>
      </c>
      <c r="D92" s="2"/>
      <c r="E92" s="2"/>
      <c r="F92" s="847">
        <v>5</v>
      </c>
      <c r="G92" s="838" t="s">
        <v>152</v>
      </c>
      <c r="H92" s="837"/>
      <c r="I92" s="847">
        <v>5</v>
      </c>
      <c r="J92" s="393" t="s">
        <v>153</v>
      </c>
      <c r="K92" s="2"/>
      <c r="L92" s="750"/>
      <c r="M92" s="750"/>
      <c r="N92" s="750"/>
      <c r="O92" s="3"/>
      <c r="P92" s="3"/>
      <c r="Q92" s="3"/>
      <c r="R92" s="3"/>
      <c r="S92" s="3"/>
      <c r="T92" s="3"/>
      <c r="U92" s="3"/>
      <c r="V92" s="3"/>
      <c r="W92" s="3"/>
      <c r="X92" s="3"/>
      <c r="Y92" s="3"/>
      <c r="Z92" s="3"/>
    </row>
    <row r="93" spans="1:26" ht="12.75" x14ac:dyDescent="0.2">
      <c r="A93" s="3"/>
      <c r="B93" s="2"/>
      <c r="C93" s="393" t="s">
        <v>154</v>
      </c>
      <c r="D93" s="2"/>
      <c r="E93" s="2"/>
      <c r="F93" s="847">
        <v>3</v>
      </c>
      <c r="G93" s="838" t="s">
        <v>155</v>
      </c>
      <c r="H93" s="837"/>
      <c r="I93" s="847">
        <v>3</v>
      </c>
      <c r="J93" s="393" t="s">
        <v>156</v>
      </c>
      <c r="K93" s="2"/>
      <c r="L93" s="750"/>
      <c r="M93" s="750"/>
      <c r="N93" s="750"/>
      <c r="O93" s="3"/>
      <c r="P93" s="3"/>
      <c r="Q93" s="3"/>
      <c r="R93" s="3"/>
      <c r="S93" s="3"/>
      <c r="T93" s="3"/>
      <c r="U93" s="3"/>
      <c r="V93" s="3"/>
      <c r="W93" s="3"/>
      <c r="X93" s="3"/>
      <c r="Y93" s="3"/>
      <c r="Z93" s="3"/>
    </row>
    <row r="94" spans="1:26" ht="12.75" x14ac:dyDescent="0.2">
      <c r="A94" s="3"/>
      <c r="B94" s="2"/>
      <c r="C94" s="393" t="s">
        <v>157</v>
      </c>
      <c r="D94" s="2"/>
      <c r="E94" s="2"/>
      <c r="F94" s="848">
        <f>F92+F93</f>
        <v>8</v>
      </c>
      <c r="G94" s="838" t="s">
        <v>158</v>
      </c>
      <c r="H94" s="837"/>
      <c r="I94" s="847">
        <v>8</v>
      </c>
      <c r="J94" s="393" t="s">
        <v>159</v>
      </c>
      <c r="K94" s="2"/>
      <c r="L94" s="750"/>
      <c r="M94" s="750"/>
      <c r="N94" s="750"/>
      <c r="O94" s="3"/>
      <c r="P94" s="3"/>
      <c r="Q94" s="3"/>
      <c r="R94" s="3"/>
      <c r="S94" s="3"/>
      <c r="T94" s="3"/>
      <c r="U94" s="3"/>
      <c r="V94" s="3"/>
      <c r="W94" s="3"/>
      <c r="X94" s="3"/>
      <c r="Y94" s="3"/>
      <c r="Z94" s="3"/>
    </row>
    <row r="95" spans="1:26" ht="12.75" x14ac:dyDescent="0.2">
      <c r="A95" s="3"/>
      <c r="B95" s="2"/>
      <c r="C95" s="393" t="s">
        <v>771</v>
      </c>
      <c r="D95" s="2"/>
      <c r="E95" s="2"/>
      <c r="F95" s="759">
        <v>0.15368856413049201</v>
      </c>
      <c r="G95" s="838" t="s">
        <v>772</v>
      </c>
      <c r="H95" s="837"/>
      <c r="I95" s="528">
        <f>F95</f>
        <v>0.15368856413049201</v>
      </c>
      <c r="J95" s="393" t="s">
        <v>773</v>
      </c>
      <c r="K95" s="393"/>
      <c r="L95" s="750"/>
      <c r="M95" s="750"/>
      <c r="N95" s="750"/>
      <c r="O95" s="3"/>
      <c r="P95" s="3"/>
      <c r="Q95" s="3"/>
      <c r="R95" s="3"/>
      <c r="S95" s="3"/>
      <c r="T95" s="3"/>
      <c r="U95" s="3"/>
      <c r="V95" s="3"/>
      <c r="W95" s="3"/>
      <c r="X95" s="3"/>
      <c r="Y95" s="3"/>
      <c r="Z95" s="3"/>
    </row>
    <row r="96" spans="1:26" ht="12.75" x14ac:dyDescent="0.2">
      <c r="A96" s="3"/>
      <c r="B96" s="447"/>
      <c r="C96" s="447"/>
      <c r="D96" s="447"/>
      <c r="E96" s="447"/>
      <c r="F96" s="750"/>
      <c r="G96" s="750"/>
      <c r="H96" s="750"/>
      <c r="I96" s="750"/>
      <c r="J96" s="447"/>
      <c r="K96" s="447"/>
      <c r="L96" s="750"/>
      <c r="M96" s="750"/>
      <c r="N96" s="750"/>
      <c r="O96" s="3"/>
      <c r="P96" s="3"/>
      <c r="Q96" s="3"/>
      <c r="R96" s="3"/>
      <c r="S96" s="3"/>
      <c r="T96" s="3"/>
      <c r="U96" s="3"/>
      <c r="V96" s="3"/>
      <c r="W96" s="3"/>
      <c r="X96" s="3"/>
      <c r="Y96" s="3"/>
      <c r="Z96" s="3"/>
    </row>
    <row r="97" spans="1:26" ht="12.75" x14ac:dyDescent="0.2">
      <c r="A97" s="3"/>
      <c r="B97" s="392" t="s">
        <v>161</v>
      </c>
      <c r="C97" s="2"/>
      <c r="D97" s="2"/>
      <c r="E97" s="2"/>
      <c r="F97" s="837"/>
      <c r="G97" s="837"/>
      <c r="H97" s="837"/>
      <c r="I97" s="837"/>
      <c r="J97" s="2"/>
      <c r="K97" s="2"/>
      <c r="L97" s="750"/>
      <c r="M97" s="750"/>
      <c r="N97" s="750"/>
      <c r="O97" s="3"/>
      <c r="P97" s="3"/>
      <c r="Q97" s="3"/>
      <c r="R97" s="3"/>
      <c r="S97" s="3"/>
      <c r="T97" s="3"/>
      <c r="U97" s="3"/>
      <c r="V97" s="3"/>
      <c r="W97" s="3"/>
      <c r="X97" s="3"/>
      <c r="Y97" s="3"/>
      <c r="Z97" s="3"/>
    </row>
    <row r="98" spans="1:26" ht="12.75" x14ac:dyDescent="0.2">
      <c r="A98" s="3"/>
      <c r="B98" s="2"/>
      <c r="C98" s="393" t="s">
        <v>250</v>
      </c>
      <c r="D98" s="2"/>
      <c r="E98" s="2"/>
      <c r="F98" s="837"/>
      <c r="G98" s="838"/>
      <c r="H98" s="837"/>
      <c r="I98" s="529">
        <v>29000</v>
      </c>
      <c r="J98" s="393" t="s">
        <v>163</v>
      </c>
      <c r="K98" s="2" t="s">
        <v>854</v>
      </c>
      <c r="L98" s="750"/>
      <c r="M98" s="750"/>
      <c r="N98" s="750"/>
      <c r="O98" s="3"/>
      <c r="P98" s="3"/>
      <c r="Q98" s="3"/>
      <c r="R98" s="3"/>
      <c r="S98" s="3"/>
      <c r="T98" s="3"/>
      <c r="U98" s="3"/>
      <c r="V98" s="3"/>
      <c r="W98" s="3"/>
      <c r="X98" s="3"/>
      <c r="Y98" s="3"/>
      <c r="Z98" s="3"/>
    </row>
    <row r="99" spans="1:26" ht="12.75" x14ac:dyDescent="0.2">
      <c r="A99" s="3"/>
      <c r="B99" s="2"/>
      <c r="C99" s="393" t="s">
        <v>162</v>
      </c>
      <c r="D99" s="2"/>
      <c r="E99" s="2"/>
      <c r="F99" s="837"/>
      <c r="G99" s="838"/>
      <c r="H99" s="837"/>
      <c r="I99" s="530">
        <v>45735</v>
      </c>
      <c r="J99" s="393" t="s">
        <v>165</v>
      </c>
      <c r="K99" s="2" t="s">
        <v>854</v>
      </c>
      <c r="L99" s="750"/>
      <c r="M99" s="750"/>
      <c r="N99" s="750"/>
      <c r="O99" s="3"/>
      <c r="P99" s="3"/>
      <c r="Q99" s="3"/>
      <c r="R99" s="3"/>
      <c r="S99" s="3"/>
      <c r="T99" s="3"/>
      <c r="U99" s="3"/>
      <c r="V99" s="3"/>
      <c r="W99" s="3"/>
      <c r="X99" s="3"/>
      <c r="Y99" s="3"/>
      <c r="Z99" s="3"/>
    </row>
    <row r="100" spans="1:26" ht="12.75" x14ac:dyDescent="0.2">
      <c r="A100" s="3"/>
      <c r="B100" s="2"/>
      <c r="C100" s="393" t="s">
        <v>164</v>
      </c>
      <c r="D100" s="2"/>
      <c r="E100" s="2"/>
      <c r="F100" s="837"/>
      <c r="G100" s="838"/>
      <c r="H100" s="837"/>
      <c r="I100" s="530">
        <v>59500</v>
      </c>
      <c r="J100" s="393" t="s">
        <v>167</v>
      </c>
      <c r="K100" s="2" t="s">
        <v>854</v>
      </c>
      <c r="L100" s="750"/>
      <c r="M100" s="750"/>
      <c r="N100" s="750"/>
      <c r="O100" s="3"/>
      <c r="P100" s="3"/>
      <c r="Q100" s="3"/>
      <c r="R100" s="3"/>
      <c r="S100" s="3"/>
      <c r="T100" s="3"/>
      <c r="U100" s="3"/>
      <c r="V100" s="3"/>
      <c r="W100" s="3"/>
      <c r="X100" s="3"/>
      <c r="Y100" s="3"/>
      <c r="Z100" s="3"/>
    </row>
    <row r="101" spans="1:26" ht="12.75" x14ac:dyDescent="0.2">
      <c r="A101" s="3"/>
      <c r="B101" s="2"/>
      <c r="C101" s="393" t="s">
        <v>166</v>
      </c>
      <c r="D101" s="2"/>
      <c r="E101" s="2"/>
      <c r="F101" s="837"/>
      <c r="G101" s="838"/>
      <c r="H101" s="837"/>
      <c r="I101" s="530">
        <v>63000</v>
      </c>
      <c r="J101" s="393" t="s">
        <v>169</v>
      </c>
      <c r="K101" s="2" t="s">
        <v>854</v>
      </c>
      <c r="L101" s="750"/>
      <c r="M101" s="750"/>
      <c r="N101" s="750"/>
      <c r="O101" s="3"/>
      <c r="P101" s="3"/>
      <c r="Q101" s="3"/>
      <c r="R101" s="3"/>
      <c r="S101" s="3"/>
      <c r="T101" s="3"/>
      <c r="U101" s="3"/>
      <c r="V101" s="3"/>
      <c r="W101" s="3"/>
      <c r="X101" s="3"/>
      <c r="Y101" s="3"/>
      <c r="Z101" s="3"/>
    </row>
    <row r="102" spans="1:26" ht="12.75" x14ac:dyDescent="0.2">
      <c r="A102" s="3"/>
      <c r="B102" s="2"/>
      <c r="C102" s="393" t="s">
        <v>168</v>
      </c>
      <c r="D102" s="2"/>
      <c r="E102" s="2"/>
      <c r="F102" s="837"/>
      <c r="G102" s="838"/>
      <c r="H102" s="837"/>
      <c r="I102" s="530">
        <v>67500</v>
      </c>
      <c r="J102" s="393" t="s">
        <v>170</v>
      </c>
      <c r="K102" s="2" t="s">
        <v>854</v>
      </c>
      <c r="L102" s="750"/>
      <c r="M102" s="750"/>
      <c r="N102" s="750"/>
      <c r="O102" s="3"/>
      <c r="P102" s="3"/>
      <c r="Q102" s="3"/>
      <c r="R102" s="3"/>
      <c r="S102" s="3"/>
      <c r="T102" s="3"/>
      <c r="U102" s="3"/>
      <c r="V102" s="3"/>
      <c r="W102" s="3"/>
      <c r="X102" s="3"/>
      <c r="Y102" s="3"/>
      <c r="Z102" s="3"/>
    </row>
    <row r="103" spans="1:26" ht="12.75" x14ac:dyDescent="0.2">
      <c r="A103" s="3"/>
      <c r="B103" s="2"/>
      <c r="C103" s="393" t="s">
        <v>171</v>
      </c>
      <c r="D103" s="2"/>
      <c r="E103" s="2"/>
      <c r="F103" s="837"/>
      <c r="G103" s="838"/>
      <c r="H103" s="837"/>
      <c r="I103" s="444">
        <v>0.9</v>
      </c>
      <c r="J103" s="393" t="s">
        <v>256</v>
      </c>
      <c r="K103" s="491" t="s">
        <v>1068</v>
      </c>
      <c r="L103" s="750"/>
      <c r="M103" s="750"/>
      <c r="N103" s="750"/>
      <c r="O103" s="3"/>
      <c r="P103" s="3"/>
      <c r="Q103" s="3"/>
      <c r="R103" s="3"/>
      <c r="S103" s="3"/>
      <c r="T103" s="3"/>
      <c r="U103" s="3"/>
      <c r="V103" s="3"/>
      <c r="W103" s="3"/>
      <c r="X103" s="3"/>
      <c r="Y103" s="3"/>
      <c r="Z103" s="3"/>
    </row>
    <row r="104" spans="1:26" ht="12.75" x14ac:dyDescent="0.2">
      <c r="A104" s="3"/>
      <c r="B104" s="2"/>
      <c r="C104" s="393" t="s">
        <v>251</v>
      </c>
      <c r="D104" s="2"/>
      <c r="E104" s="2"/>
      <c r="F104" s="837"/>
      <c r="G104" s="838"/>
      <c r="H104" s="837"/>
      <c r="I104" s="444">
        <v>0.2</v>
      </c>
      <c r="J104" s="393" t="s">
        <v>256</v>
      </c>
      <c r="K104" s="2" t="s">
        <v>12</v>
      </c>
      <c r="L104" s="750"/>
      <c r="M104" s="750"/>
      <c r="N104" s="750"/>
      <c r="O104" s="3"/>
      <c r="P104" s="3"/>
      <c r="Q104" s="3"/>
      <c r="R104" s="3"/>
      <c r="S104" s="3"/>
      <c r="T104" s="3"/>
      <c r="U104" s="3"/>
      <c r="V104" s="3"/>
      <c r="W104" s="3"/>
      <c r="X104" s="3"/>
      <c r="Y104" s="3"/>
      <c r="Z104" s="3"/>
    </row>
    <row r="105" spans="1:26" ht="12.75" x14ac:dyDescent="0.2">
      <c r="A105" s="3"/>
      <c r="B105" s="2"/>
      <c r="C105" s="393" t="s">
        <v>257</v>
      </c>
      <c r="D105" s="2"/>
      <c r="E105" s="2"/>
      <c r="F105" s="837"/>
      <c r="G105" s="838"/>
      <c r="H105" s="837"/>
      <c r="I105" s="493">
        <v>5</v>
      </c>
      <c r="J105" s="393" t="s">
        <v>12</v>
      </c>
      <c r="K105" s="2" t="s">
        <v>12</v>
      </c>
      <c r="L105" s="750"/>
      <c r="M105" s="750"/>
      <c r="N105" s="750"/>
      <c r="O105" s="3"/>
      <c r="P105" s="3"/>
      <c r="Q105" s="3"/>
      <c r="R105" s="3"/>
      <c r="S105" s="3"/>
      <c r="T105" s="3"/>
      <c r="U105" s="3"/>
      <c r="V105" s="3"/>
      <c r="W105" s="3"/>
      <c r="X105" s="3"/>
      <c r="Y105" s="3"/>
      <c r="Z105" s="3"/>
    </row>
    <row r="106" spans="1:26" ht="12.75" x14ac:dyDescent="0.2">
      <c r="A106" s="3"/>
      <c r="B106" s="2"/>
      <c r="C106" s="393" t="s">
        <v>710</v>
      </c>
      <c r="D106" s="2"/>
      <c r="E106" s="2"/>
      <c r="F106" s="837"/>
      <c r="G106" s="838"/>
      <c r="H106" s="837"/>
      <c r="I106" s="573">
        <f>'Total Beneficiaries and Funding'!E9</f>
        <v>22983931.37740276</v>
      </c>
      <c r="J106" s="393" t="s">
        <v>172</v>
      </c>
      <c r="K106" s="405" t="s">
        <v>711</v>
      </c>
      <c r="L106" s="750"/>
      <c r="M106" s="750"/>
      <c r="N106" s="750"/>
      <c r="O106" s="3"/>
      <c r="P106" s="3"/>
      <c r="Q106" s="3"/>
      <c r="R106" s="3"/>
      <c r="S106" s="3"/>
      <c r="T106" s="3"/>
      <c r="U106" s="3"/>
      <c r="V106" s="3"/>
      <c r="W106" s="3"/>
      <c r="X106" s="3"/>
      <c r="Y106" s="3"/>
      <c r="Z106" s="3"/>
    </row>
    <row r="107" spans="1:26" ht="12.75" x14ac:dyDescent="0.2">
      <c r="A107" s="3"/>
      <c r="B107" s="2"/>
      <c r="C107" s="393" t="s">
        <v>939</v>
      </c>
      <c r="D107" s="2"/>
      <c r="E107" s="2"/>
      <c r="F107" s="837"/>
      <c r="G107" s="838"/>
      <c r="H107" s="837"/>
      <c r="I107" s="444">
        <v>0</v>
      </c>
      <c r="J107" s="393" t="s">
        <v>5</v>
      </c>
      <c r="K107" s="422" t="s">
        <v>940</v>
      </c>
      <c r="L107" s="750"/>
      <c r="M107" s="750"/>
      <c r="N107" s="750"/>
      <c r="O107" s="3"/>
      <c r="P107" s="3"/>
      <c r="Q107" s="3"/>
      <c r="R107" s="3"/>
      <c r="S107" s="3"/>
      <c r="T107" s="3"/>
      <c r="U107" s="3"/>
      <c r="V107" s="3"/>
      <c r="W107" s="3"/>
      <c r="X107" s="3"/>
      <c r="Y107" s="3"/>
      <c r="Z107" s="3"/>
    </row>
    <row r="108" spans="1:26" ht="12.75" x14ac:dyDescent="0.2">
      <c r="A108" s="3"/>
      <c r="B108" s="2"/>
      <c r="C108" s="393" t="s">
        <v>268</v>
      </c>
      <c r="D108" s="2"/>
      <c r="E108" s="2"/>
      <c r="F108" s="837"/>
      <c r="G108" s="838"/>
      <c r="H108" s="837"/>
      <c r="I108" s="495">
        <v>0</v>
      </c>
      <c r="J108" s="460" t="s">
        <v>269</v>
      </c>
      <c r="K108" s="53"/>
      <c r="L108" s="750"/>
      <c r="M108" s="750"/>
      <c r="N108" s="750"/>
      <c r="O108" s="3"/>
      <c r="P108" s="3"/>
      <c r="Q108" s="3"/>
      <c r="R108" s="3"/>
      <c r="S108" s="3"/>
      <c r="T108" s="3"/>
      <c r="U108" s="3"/>
      <c r="V108" s="3"/>
      <c r="W108" s="3"/>
      <c r="X108" s="3"/>
      <c r="Y108" s="3"/>
      <c r="Z108" s="3"/>
    </row>
    <row r="109" spans="1:26" ht="12.75" x14ac:dyDescent="0.2">
      <c r="A109" s="3"/>
      <c r="B109" s="2"/>
      <c r="C109" s="393" t="s">
        <v>270</v>
      </c>
      <c r="D109" s="2"/>
      <c r="E109" s="2"/>
      <c r="F109" s="837"/>
      <c r="G109" s="838"/>
      <c r="H109" s="837"/>
      <c r="I109" s="493">
        <v>5</v>
      </c>
      <c r="J109" s="460" t="s">
        <v>66</v>
      </c>
      <c r="K109" s="53"/>
      <c r="L109" s="750"/>
      <c r="M109" s="750"/>
      <c r="N109" s="750"/>
      <c r="O109" s="3"/>
      <c r="P109" s="3"/>
      <c r="Q109" s="3"/>
      <c r="R109" s="3"/>
      <c r="S109" s="3"/>
      <c r="T109" s="3"/>
      <c r="U109" s="3"/>
      <c r="V109" s="3"/>
      <c r="W109" s="3"/>
      <c r="X109" s="3"/>
      <c r="Y109" s="3"/>
      <c r="Z109" s="3"/>
    </row>
    <row r="110" spans="1:26" s="159" customFormat="1" ht="12.75" x14ac:dyDescent="0.2">
      <c r="A110" s="122"/>
      <c r="B110" s="405"/>
      <c r="C110" s="395" t="s">
        <v>909</v>
      </c>
      <c r="D110" s="405"/>
      <c r="E110" s="405"/>
      <c r="F110" s="333"/>
      <c r="G110" s="333"/>
      <c r="H110" s="333"/>
      <c r="I110" s="444">
        <v>0</v>
      </c>
      <c r="J110" s="391" t="s">
        <v>5</v>
      </c>
      <c r="K110" s="422" t="s">
        <v>910</v>
      </c>
      <c r="L110" s="750"/>
      <c r="M110" s="750"/>
      <c r="N110" s="750"/>
      <c r="O110" s="3"/>
      <c r="P110" s="122"/>
      <c r="Q110" s="122"/>
      <c r="R110" s="122"/>
      <c r="S110" s="122"/>
      <c r="T110" s="173"/>
      <c r="U110" s="173"/>
      <c r="V110" s="173"/>
      <c r="W110" s="173"/>
    </row>
    <row r="111" spans="1:26" ht="12.75"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x14ac:dyDescent="0.2">
      <c r="A112" s="4" t="s">
        <v>173</v>
      </c>
      <c r="B112" s="2"/>
      <c r="C112" s="2"/>
      <c r="D112" s="6" t="s">
        <v>174</v>
      </c>
      <c r="E112" s="21"/>
      <c r="F112" s="51">
        <v>0</v>
      </c>
      <c r="G112" s="51">
        <v>1</v>
      </c>
      <c r="H112" s="51">
        <v>2</v>
      </c>
      <c r="I112" s="51">
        <v>3</v>
      </c>
      <c r="J112" s="51">
        <v>4</v>
      </c>
      <c r="K112" s="51">
        <v>5</v>
      </c>
      <c r="L112" s="51">
        <v>6</v>
      </c>
      <c r="M112" s="51">
        <v>7</v>
      </c>
      <c r="N112" s="51">
        <v>8</v>
      </c>
      <c r="O112" s="51">
        <v>9</v>
      </c>
      <c r="P112" s="2"/>
      <c r="Q112" s="2"/>
      <c r="R112" s="2"/>
      <c r="S112" s="2"/>
      <c r="T112" s="2"/>
      <c r="U112" s="2"/>
      <c r="V112" s="2"/>
      <c r="W112" s="2"/>
      <c r="X112" s="2"/>
      <c r="Y112" s="2"/>
      <c r="Z112" s="2"/>
    </row>
    <row r="113" spans="1:26" ht="12.75" x14ac:dyDescent="0.2">
      <c r="A113" s="3"/>
      <c r="B113" s="4" t="s">
        <v>175</v>
      </c>
      <c r="C113" s="2"/>
      <c r="P113" s="12"/>
      <c r="Q113" s="3"/>
      <c r="R113" s="3"/>
      <c r="S113" s="3"/>
      <c r="T113" s="3"/>
      <c r="U113" s="3"/>
      <c r="V113" s="3"/>
      <c r="W113" s="3"/>
      <c r="X113" s="3"/>
      <c r="Y113" s="3"/>
      <c r="Z113" s="3"/>
    </row>
    <row r="114" spans="1:26" ht="12.75" x14ac:dyDescent="0.2">
      <c r="A114" s="3"/>
      <c r="B114" s="2"/>
      <c r="C114" s="9" t="s">
        <v>176</v>
      </c>
      <c r="D114" s="2"/>
      <c r="E114" s="2"/>
      <c r="F114" s="14">
        <f t="shared" ref="F114:O114" si="1">$F$8</f>
        <v>7.9000000000000001E-2</v>
      </c>
      <c r="G114" s="14">
        <f t="shared" si="1"/>
        <v>7.9000000000000001E-2</v>
      </c>
      <c r="H114" s="14">
        <f t="shared" si="1"/>
        <v>7.9000000000000001E-2</v>
      </c>
      <c r="I114" s="14">
        <f t="shared" si="1"/>
        <v>7.9000000000000001E-2</v>
      </c>
      <c r="J114" s="14">
        <f t="shared" si="1"/>
        <v>7.9000000000000001E-2</v>
      </c>
      <c r="K114" s="14">
        <f t="shared" si="1"/>
        <v>7.9000000000000001E-2</v>
      </c>
      <c r="L114" s="14">
        <f t="shared" si="1"/>
        <v>7.9000000000000001E-2</v>
      </c>
      <c r="M114" s="14">
        <f t="shared" si="1"/>
        <v>7.9000000000000001E-2</v>
      </c>
      <c r="N114" s="14">
        <f t="shared" si="1"/>
        <v>7.9000000000000001E-2</v>
      </c>
      <c r="O114" s="14">
        <f t="shared" si="1"/>
        <v>7.9000000000000001E-2</v>
      </c>
      <c r="P114" s="3"/>
      <c r="Q114" s="3"/>
      <c r="R114" s="3"/>
      <c r="S114" s="3"/>
      <c r="T114" s="3"/>
      <c r="U114" s="3"/>
      <c r="V114" s="3"/>
      <c r="W114" s="3"/>
      <c r="X114" s="3"/>
      <c r="Y114" s="3"/>
      <c r="Z114" s="3"/>
    </row>
    <row r="115" spans="1:26" ht="12.75" x14ac:dyDescent="0.2">
      <c r="A115" s="3"/>
      <c r="B115" s="2"/>
      <c r="C115" s="9" t="s">
        <v>177</v>
      </c>
      <c r="D115" s="2"/>
      <c r="E115" s="2"/>
      <c r="F115" s="22">
        <v>1</v>
      </c>
      <c r="G115" s="23">
        <f t="shared" ref="G115:O115" si="2">F115*(1+G114)</f>
        <v>1.079</v>
      </c>
      <c r="H115" s="23">
        <f t="shared" si="2"/>
        <v>1.1642409999999999</v>
      </c>
      <c r="I115" s="23">
        <f t="shared" si="2"/>
        <v>1.2562160389999999</v>
      </c>
      <c r="J115" s="23">
        <f t="shared" si="2"/>
        <v>1.3554571060809999</v>
      </c>
      <c r="K115" s="23">
        <f t="shared" si="2"/>
        <v>1.4625382174613988</v>
      </c>
      <c r="L115" s="23">
        <f t="shared" si="2"/>
        <v>1.5780787366408493</v>
      </c>
      <c r="M115" s="23">
        <f t="shared" si="2"/>
        <v>1.7027469568354763</v>
      </c>
      <c r="N115" s="23">
        <f t="shared" si="2"/>
        <v>1.8372639664254788</v>
      </c>
      <c r="O115" s="23">
        <f t="shared" si="2"/>
        <v>1.9824078197730917</v>
      </c>
      <c r="P115" s="3"/>
      <c r="Q115" s="3"/>
      <c r="R115" s="3"/>
      <c r="S115" s="3"/>
      <c r="T115" s="3"/>
      <c r="U115" s="3"/>
      <c r="V115" s="3"/>
      <c r="W115" s="3"/>
      <c r="X115" s="3"/>
      <c r="Y115" s="3"/>
      <c r="Z115" s="3"/>
    </row>
    <row r="116" spans="1:26" ht="12.75" x14ac:dyDescent="0.2">
      <c r="A116" s="3"/>
      <c r="B116" s="2"/>
      <c r="C116" s="9" t="s">
        <v>178</v>
      </c>
      <c r="D116" s="2"/>
      <c r="E116" s="2"/>
      <c r="F116" s="14">
        <f t="shared" ref="F116:O116" si="3">$F$9</f>
        <v>2.5000000000000001E-2</v>
      </c>
      <c r="G116" s="14">
        <f t="shared" si="3"/>
        <v>2.5000000000000001E-2</v>
      </c>
      <c r="H116" s="14">
        <f t="shared" si="3"/>
        <v>2.5000000000000001E-2</v>
      </c>
      <c r="I116" s="14">
        <f t="shared" si="3"/>
        <v>2.5000000000000001E-2</v>
      </c>
      <c r="J116" s="14">
        <f t="shared" si="3"/>
        <v>2.5000000000000001E-2</v>
      </c>
      <c r="K116" s="14">
        <f t="shared" si="3"/>
        <v>2.5000000000000001E-2</v>
      </c>
      <c r="L116" s="14">
        <f t="shared" si="3"/>
        <v>2.5000000000000001E-2</v>
      </c>
      <c r="M116" s="14">
        <f t="shared" si="3"/>
        <v>2.5000000000000001E-2</v>
      </c>
      <c r="N116" s="14">
        <f t="shared" si="3"/>
        <v>2.5000000000000001E-2</v>
      </c>
      <c r="O116" s="14">
        <f t="shared" si="3"/>
        <v>2.5000000000000001E-2</v>
      </c>
      <c r="P116" s="3"/>
      <c r="Q116" s="3"/>
      <c r="R116" s="3"/>
      <c r="S116" s="3"/>
      <c r="T116" s="3"/>
      <c r="U116" s="3"/>
      <c r="V116" s="3"/>
      <c r="W116" s="3"/>
      <c r="X116" s="3"/>
      <c r="Y116" s="3"/>
      <c r="Z116" s="3"/>
    </row>
    <row r="117" spans="1:26" ht="12.75" x14ac:dyDescent="0.2">
      <c r="A117" s="3"/>
      <c r="B117" s="2"/>
      <c r="C117" s="9" t="s">
        <v>179</v>
      </c>
      <c r="D117" s="2"/>
      <c r="E117" s="2"/>
      <c r="F117" s="10">
        <v>1</v>
      </c>
      <c r="G117" s="10">
        <f t="shared" ref="G117:O117" si="4">F117*(1+G116)</f>
        <v>1.0249999999999999</v>
      </c>
      <c r="H117" s="10">
        <f t="shared" si="4"/>
        <v>1.0506249999999999</v>
      </c>
      <c r="I117" s="10">
        <f t="shared" si="4"/>
        <v>1.0768906249999999</v>
      </c>
      <c r="J117" s="10">
        <f t="shared" si="4"/>
        <v>1.1038128906249998</v>
      </c>
      <c r="K117" s="10">
        <f t="shared" si="4"/>
        <v>1.1314082128906247</v>
      </c>
      <c r="L117" s="10">
        <f t="shared" si="4"/>
        <v>1.1596934182128902</v>
      </c>
      <c r="M117" s="10">
        <f t="shared" si="4"/>
        <v>1.1886857536682123</v>
      </c>
      <c r="N117" s="10">
        <f t="shared" si="4"/>
        <v>1.2184028975099175</v>
      </c>
      <c r="O117" s="10">
        <f t="shared" si="4"/>
        <v>1.2488629699476652</v>
      </c>
      <c r="P117" s="3"/>
      <c r="Q117" s="3"/>
      <c r="R117" s="3"/>
      <c r="S117" s="3"/>
      <c r="T117" s="3"/>
      <c r="U117" s="3"/>
      <c r="V117" s="3"/>
      <c r="W117" s="3"/>
      <c r="X117" s="3"/>
      <c r="Y117" s="3"/>
      <c r="Z117" s="3"/>
    </row>
    <row r="118" spans="1:26" ht="12.75" x14ac:dyDescent="0.2">
      <c r="A118" s="3"/>
      <c r="B118" s="2"/>
      <c r="C118" s="9" t="s">
        <v>180</v>
      </c>
      <c r="D118" s="2"/>
      <c r="E118" s="2"/>
      <c r="F118" s="10">
        <f t="shared" ref="F118:O118" si="5">F115/F117</f>
        <v>1</v>
      </c>
      <c r="G118" s="10">
        <f t="shared" si="5"/>
        <v>1.0526829268292683</v>
      </c>
      <c r="H118" s="10">
        <f t="shared" si="5"/>
        <v>1.1081413444378345</v>
      </c>
      <c r="I118" s="10">
        <f t="shared" si="5"/>
        <v>1.16652147380334</v>
      </c>
      <c r="J118" s="10">
        <f t="shared" si="5"/>
        <v>1.2279772392524917</v>
      </c>
      <c r="K118" s="10">
        <f t="shared" si="5"/>
        <v>1.2926706742960377</v>
      </c>
      <c r="L118" s="10">
        <f t="shared" si="5"/>
        <v>1.3607723488443169</v>
      </c>
      <c r="M118" s="10">
        <f t="shared" si="5"/>
        <v>1.4324618189297738</v>
      </c>
      <c r="N118" s="10">
        <f t="shared" si="5"/>
        <v>1.5079281001221716</v>
      </c>
      <c r="O118" s="10">
        <f t="shared" si="5"/>
        <v>1.5873701658847057</v>
      </c>
      <c r="P118" s="3"/>
      <c r="Q118" s="3"/>
      <c r="R118" s="3"/>
      <c r="S118" s="3"/>
      <c r="T118" s="3"/>
      <c r="U118" s="3"/>
      <c r="V118" s="3"/>
      <c r="W118" s="3"/>
      <c r="X118" s="3"/>
      <c r="Y118" s="3"/>
      <c r="Z118" s="3"/>
    </row>
    <row r="119" spans="1:26" ht="12.75" x14ac:dyDescent="0.2">
      <c r="A119" s="3"/>
      <c r="B119" s="2"/>
      <c r="C119" s="9" t="s">
        <v>181</v>
      </c>
      <c r="D119" s="2"/>
      <c r="E119" s="2"/>
      <c r="F119" s="23">
        <f t="shared" ref="F119:O119" si="6">$F$10</f>
        <v>157.54</v>
      </c>
      <c r="G119" s="23">
        <f t="shared" si="6"/>
        <v>157.54</v>
      </c>
      <c r="H119" s="23">
        <f t="shared" si="6"/>
        <v>157.54</v>
      </c>
      <c r="I119" s="23">
        <f t="shared" si="6"/>
        <v>157.54</v>
      </c>
      <c r="J119" s="23">
        <f t="shared" si="6"/>
        <v>157.54</v>
      </c>
      <c r="K119" s="23">
        <f t="shared" si="6"/>
        <v>157.54</v>
      </c>
      <c r="L119" s="23">
        <f t="shared" si="6"/>
        <v>157.54</v>
      </c>
      <c r="M119" s="23">
        <f t="shared" si="6"/>
        <v>157.54</v>
      </c>
      <c r="N119" s="23">
        <f t="shared" si="6"/>
        <v>157.54</v>
      </c>
      <c r="O119" s="23">
        <f t="shared" si="6"/>
        <v>157.54</v>
      </c>
      <c r="P119" s="3"/>
      <c r="Q119" s="3"/>
      <c r="R119" s="3"/>
      <c r="S119" s="3"/>
      <c r="T119" s="3"/>
      <c r="U119" s="3"/>
      <c r="V119" s="3"/>
      <c r="W119" s="3"/>
      <c r="X119" s="3"/>
      <c r="Y119" s="3"/>
      <c r="Z119" s="3"/>
    </row>
    <row r="120" spans="1:26" ht="12.75" x14ac:dyDescent="0.2">
      <c r="A120" s="3"/>
      <c r="B120" s="2"/>
      <c r="C120" s="9" t="s">
        <v>182</v>
      </c>
      <c r="D120" s="2"/>
      <c r="E120" s="2"/>
      <c r="F120" s="14">
        <f t="shared" ref="F120:O120" si="7">$F$11</f>
        <v>0</v>
      </c>
      <c r="G120" s="14">
        <f t="shared" si="7"/>
        <v>0</v>
      </c>
      <c r="H120" s="14">
        <f t="shared" si="7"/>
        <v>0</v>
      </c>
      <c r="I120" s="14">
        <f t="shared" si="7"/>
        <v>0</v>
      </c>
      <c r="J120" s="14">
        <f t="shared" si="7"/>
        <v>0</v>
      </c>
      <c r="K120" s="14">
        <f t="shared" si="7"/>
        <v>0</v>
      </c>
      <c r="L120" s="14">
        <f t="shared" si="7"/>
        <v>0</v>
      </c>
      <c r="M120" s="14">
        <f t="shared" si="7"/>
        <v>0</v>
      </c>
      <c r="N120" s="14">
        <f t="shared" si="7"/>
        <v>0</v>
      </c>
      <c r="O120" s="14">
        <f t="shared" si="7"/>
        <v>0</v>
      </c>
      <c r="P120" s="3"/>
      <c r="Q120" s="3"/>
      <c r="R120" s="3"/>
      <c r="S120" s="3"/>
      <c r="T120" s="3"/>
      <c r="U120" s="3"/>
      <c r="V120" s="3"/>
      <c r="W120" s="3"/>
      <c r="X120" s="3"/>
      <c r="Y120" s="3"/>
      <c r="Z120" s="3"/>
    </row>
    <row r="121" spans="1:26" ht="12.75" x14ac:dyDescent="0.2">
      <c r="A121" s="3"/>
      <c r="B121" s="2"/>
      <c r="C121" s="9" t="s">
        <v>183</v>
      </c>
      <c r="D121" s="2"/>
      <c r="E121" s="2"/>
      <c r="F121" s="23">
        <f t="shared" ref="F121:O121" si="8">F119*(1+F120)^F112</f>
        <v>157.54</v>
      </c>
      <c r="G121" s="23">
        <f t="shared" si="8"/>
        <v>157.54</v>
      </c>
      <c r="H121" s="23">
        <f t="shared" si="8"/>
        <v>157.54</v>
      </c>
      <c r="I121" s="23">
        <f t="shared" si="8"/>
        <v>157.54</v>
      </c>
      <c r="J121" s="23">
        <f t="shared" si="8"/>
        <v>157.54</v>
      </c>
      <c r="K121" s="23">
        <f t="shared" si="8"/>
        <v>157.54</v>
      </c>
      <c r="L121" s="23">
        <f t="shared" si="8"/>
        <v>157.54</v>
      </c>
      <c r="M121" s="23">
        <f t="shared" si="8"/>
        <v>157.54</v>
      </c>
      <c r="N121" s="23">
        <f t="shared" si="8"/>
        <v>157.54</v>
      </c>
      <c r="O121" s="23">
        <f t="shared" si="8"/>
        <v>157.54</v>
      </c>
      <c r="P121" s="3"/>
      <c r="Q121" s="3"/>
      <c r="R121" s="3"/>
      <c r="S121" s="3"/>
      <c r="T121" s="3"/>
      <c r="U121" s="3"/>
      <c r="V121" s="3"/>
      <c r="W121" s="3"/>
      <c r="X121" s="3"/>
      <c r="Y121" s="3"/>
      <c r="Z121" s="3"/>
    </row>
    <row r="122" spans="1:26" ht="12.75" x14ac:dyDescent="0.2">
      <c r="A122" s="3"/>
      <c r="B122" s="2"/>
      <c r="C122" s="9" t="s">
        <v>184</v>
      </c>
      <c r="D122" s="2"/>
      <c r="E122" s="2"/>
      <c r="F122" s="23">
        <f>F121*F118</f>
        <v>157.54</v>
      </c>
      <c r="G122" s="23">
        <f t="shared" ref="G122:O122" si="9">G121*G118</f>
        <v>165.83966829268292</v>
      </c>
      <c r="H122" s="23">
        <f t="shared" si="9"/>
        <v>174.57658740273644</v>
      </c>
      <c r="I122" s="23">
        <f t="shared" si="9"/>
        <v>183.77379298297819</v>
      </c>
      <c r="J122" s="23">
        <f t="shared" si="9"/>
        <v>193.45553427183754</v>
      </c>
      <c r="K122" s="23">
        <f t="shared" si="9"/>
        <v>203.64733802859777</v>
      </c>
      <c r="L122" s="23">
        <f t="shared" si="9"/>
        <v>214.37607583693367</v>
      </c>
      <c r="M122" s="23">
        <f t="shared" si="9"/>
        <v>225.67003495419655</v>
      </c>
      <c r="N122" s="23">
        <f t="shared" si="9"/>
        <v>237.55899289324691</v>
      </c>
      <c r="O122" s="23">
        <f t="shared" si="9"/>
        <v>250.07429593347652</v>
      </c>
      <c r="P122" s="3"/>
      <c r="Q122" s="3"/>
      <c r="R122" s="3"/>
      <c r="S122" s="3"/>
      <c r="T122" s="3"/>
      <c r="U122" s="3"/>
      <c r="V122" s="3"/>
      <c r="W122" s="3"/>
      <c r="X122" s="3"/>
      <c r="Y122" s="3"/>
      <c r="Z122" s="3"/>
    </row>
    <row r="123" spans="1:26" ht="12.75"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x14ac:dyDescent="0.2">
      <c r="A124" s="11"/>
      <c r="B124" s="4" t="s">
        <v>185</v>
      </c>
      <c r="C124" s="2"/>
      <c r="D124" s="4"/>
      <c r="E124" s="24"/>
      <c r="F124" s="4"/>
      <c r="G124" s="4"/>
      <c r="H124" s="4"/>
      <c r="I124" s="4"/>
      <c r="J124" s="4"/>
      <c r="K124" s="4"/>
      <c r="L124" s="4"/>
      <c r="M124" s="4"/>
      <c r="N124" s="4"/>
      <c r="O124" s="2"/>
      <c r="P124" s="3"/>
      <c r="Q124" s="3"/>
      <c r="R124" s="3"/>
      <c r="S124" s="3"/>
      <c r="T124" s="3"/>
      <c r="U124" s="3"/>
      <c r="V124" s="3"/>
      <c r="W124" s="3"/>
      <c r="X124" s="3"/>
      <c r="Y124" s="3"/>
      <c r="Z124" s="3"/>
    </row>
    <row r="125" spans="1:26" ht="12.75" x14ac:dyDescent="0.2">
      <c r="A125" s="11"/>
      <c r="B125" s="4"/>
      <c r="C125" s="9" t="s">
        <v>186</v>
      </c>
      <c r="D125" s="4"/>
      <c r="E125" s="24"/>
      <c r="F125" s="15">
        <f t="shared" ref="F125:O125" si="10">$F$33</f>
        <v>0.01</v>
      </c>
      <c r="G125" s="15">
        <f t="shared" si="10"/>
        <v>0.01</v>
      </c>
      <c r="H125" s="15">
        <f t="shared" si="10"/>
        <v>0.01</v>
      </c>
      <c r="I125" s="15">
        <f t="shared" si="10"/>
        <v>0.01</v>
      </c>
      <c r="J125" s="15">
        <f t="shared" si="10"/>
        <v>0.01</v>
      </c>
      <c r="K125" s="15">
        <f t="shared" si="10"/>
        <v>0.01</v>
      </c>
      <c r="L125" s="15">
        <f t="shared" si="10"/>
        <v>0.01</v>
      </c>
      <c r="M125" s="15">
        <f t="shared" si="10"/>
        <v>0.01</v>
      </c>
      <c r="N125" s="15">
        <f t="shared" si="10"/>
        <v>0.01</v>
      </c>
      <c r="O125" s="15">
        <f t="shared" si="10"/>
        <v>0.01</v>
      </c>
      <c r="P125" s="3"/>
      <c r="Q125" s="3"/>
      <c r="R125" s="3"/>
      <c r="S125" s="3"/>
      <c r="T125" s="3"/>
      <c r="U125" s="3"/>
      <c r="V125" s="3"/>
      <c r="W125" s="3"/>
      <c r="X125" s="3"/>
      <c r="Y125" s="3"/>
      <c r="Z125" s="3"/>
    </row>
    <row r="126" spans="1:26" ht="12.75" x14ac:dyDescent="0.2">
      <c r="A126" s="11"/>
      <c r="B126" s="4"/>
      <c r="C126" s="9" t="s">
        <v>187</v>
      </c>
      <c r="D126" s="4"/>
      <c r="E126" s="24"/>
      <c r="F126" s="25">
        <v>1</v>
      </c>
      <c r="G126" s="25">
        <f t="shared" ref="G126:O126" si="11">F126*(1+G125)</f>
        <v>1.01</v>
      </c>
      <c r="H126" s="25">
        <f t="shared" si="11"/>
        <v>1.0201</v>
      </c>
      <c r="I126" s="25">
        <f t="shared" si="11"/>
        <v>1.0303009999999999</v>
      </c>
      <c r="J126" s="25">
        <f t="shared" si="11"/>
        <v>1.04060401</v>
      </c>
      <c r="K126" s="25">
        <f t="shared" si="11"/>
        <v>1.0510100500999999</v>
      </c>
      <c r="L126" s="25">
        <f t="shared" si="11"/>
        <v>1.0615201506009999</v>
      </c>
      <c r="M126" s="25">
        <f t="shared" si="11"/>
        <v>1.0721353521070098</v>
      </c>
      <c r="N126" s="25">
        <f t="shared" si="11"/>
        <v>1.08285670562808</v>
      </c>
      <c r="O126" s="25">
        <f t="shared" si="11"/>
        <v>1.0936852726843609</v>
      </c>
      <c r="P126" s="3"/>
      <c r="Q126" s="3"/>
      <c r="R126" s="3"/>
      <c r="S126" s="3"/>
      <c r="T126" s="3"/>
      <c r="U126" s="3"/>
      <c r="V126" s="3"/>
      <c r="W126" s="3"/>
      <c r="X126" s="3"/>
      <c r="Y126" s="3"/>
      <c r="Z126" s="3"/>
    </row>
    <row r="127" spans="1:26" ht="12.75" x14ac:dyDescent="0.2">
      <c r="A127" s="11"/>
      <c r="B127" s="4"/>
      <c r="C127" s="9" t="s">
        <v>188</v>
      </c>
      <c r="D127" s="4"/>
      <c r="E127" s="24"/>
      <c r="F127" s="15">
        <f t="shared" ref="F127:O127" si="12">$I$34</f>
        <v>0.05</v>
      </c>
      <c r="G127" s="15">
        <f t="shared" si="12"/>
        <v>0.05</v>
      </c>
      <c r="H127" s="15">
        <f t="shared" si="12"/>
        <v>0.05</v>
      </c>
      <c r="I127" s="15">
        <f t="shared" si="12"/>
        <v>0.05</v>
      </c>
      <c r="J127" s="15">
        <f t="shared" si="12"/>
        <v>0.05</v>
      </c>
      <c r="K127" s="15">
        <f t="shared" si="12"/>
        <v>0.05</v>
      </c>
      <c r="L127" s="15">
        <f t="shared" si="12"/>
        <v>0.05</v>
      </c>
      <c r="M127" s="15">
        <f t="shared" si="12"/>
        <v>0.05</v>
      </c>
      <c r="N127" s="15">
        <f t="shared" si="12"/>
        <v>0.05</v>
      </c>
      <c r="O127" s="15">
        <f t="shared" si="12"/>
        <v>0.05</v>
      </c>
      <c r="P127" s="3"/>
      <c r="Q127" s="3"/>
      <c r="R127" s="3"/>
      <c r="S127" s="3"/>
      <c r="T127" s="3"/>
      <c r="U127" s="3"/>
      <c r="V127" s="3"/>
      <c r="W127" s="3"/>
      <c r="X127" s="3"/>
      <c r="Y127" s="3"/>
      <c r="Z127" s="3"/>
    </row>
    <row r="128" spans="1:26" ht="12.75" x14ac:dyDescent="0.2">
      <c r="A128" s="11"/>
      <c r="B128" s="4"/>
      <c r="C128" s="9" t="s">
        <v>189</v>
      </c>
      <c r="D128" s="4"/>
      <c r="E128" s="24"/>
      <c r="F128" s="25">
        <v>1</v>
      </c>
      <c r="G128" s="25">
        <f t="shared" ref="G128:O128" si="13">F128*(1+G127)</f>
        <v>1.05</v>
      </c>
      <c r="H128" s="25">
        <f t="shared" si="13"/>
        <v>1.1025</v>
      </c>
      <c r="I128" s="25">
        <f t="shared" si="13"/>
        <v>1.1576250000000001</v>
      </c>
      <c r="J128" s="25">
        <f t="shared" si="13"/>
        <v>1.2155062500000002</v>
      </c>
      <c r="K128" s="25">
        <f t="shared" si="13"/>
        <v>1.2762815625000004</v>
      </c>
      <c r="L128" s="25">
        <f t="shared" si="13"/>
        <v>1.3400956406250004</v>
      </c>
      <c r="M128" s="25">
        <f t="shared" si="13"/>
        <v>1.4071004226562505</v>
      </c>
      <c r="N128" s="25">
        <f t="shared" si="13"/>
        <v>1.477455443789063</v>
      </c>
      <c r="O128" s="25">
        <f t="shared" si="13"/>
        <v>1.5513282159785162</v>
      </c>
      <c r="P128" s="3"/>
      <c r="Q128" s="3"/>
      <c r="R128" s="3"/>
      <c r="S128" s="3"/>
      <c r="T128" s="3"/>
      <c r="U128" s="3"/>
      <c r="V128" s="3"/>
      <c r="W128" s="3"/>
      <c r="X128" s="3"/>
      <c r="Y128" s="3"/>
      <c r="Z128" s="3"/>
    </row>
    <row r="129" spans="1:26" ht="12.75" x14ac:dyDescent="0.2">
      <c r="A129" s="11"/>
      <c r="B129" s="4"/>
      <c r="C129" s="9" t="s">
        <v>190</v>
      </c>
      <c r="D129" s="4"/>
      <c r="E129" s="24"/>
      <c r="F129" s="15">
        <f t="shared" ref="F129:O129" si="14">$F$54</f>
        <v>0</v>
      </c>
      <c r="G129" s="15">
        <f t="shared" si="14"/>
        <v>0</v>
      </c>
      <c r="H129" s="15">
        <f t="shared" si="14"/>
        <v>0</v>
      </c>
      <c r="I129" s="15">
        <f t="shared" si="14"/>
        <v>0</v>
      </c>
      <c r="J129" s="15">
        <f t="shared" si="14"/>
        <v>0</v>
      </c>
      <c r="K129" s="15">
        <f t="shared" si="14"/>
        <v>0</v>
      </c>
      <c r="L129" s="15">
        <f t="shared" si="14"/>
        <v>0</v>
      </c>
      <c r="M129" s="15">
        <f t="shared" si="14"/>
        <v>0</v>
      </c>
      <c r="N129" s="15">
        <f t="shared" si="14"/>
        <v>0</v>
      </c>
      <c r="O129" s="15">
        <f t="shared" si="14"/>
        <v>0</v>
      </c>
      <c r="P129" s="3"/>
      <c r="Q129" s="3"/>
      <c r="R129" s="3"/>
      <c r="S129" s="3"/>
      <c r="T129" s="3"/>
      <c r="U129" s="3"/>
      <c r="V129" s="3"/>
      <c r="W129" s="3"/>
      <c r="X129" s="3"/>
      <c r="Y129" s="3"/>
      <c r="Z129" s="3"/>
    </row>
    <row r="130" spans="1:26" ht="12.75" x14ac:dyDescent="0.2">
      <c r="A130" s="11"/>
      <c r="B130" s="4"/>
      <c r="C130" s="9" t="s">
        <v>191</v>
      </c>
      <c r="D130" s="4"/>
      <c r="E130" s="24"/>
      <c r="F130" s="25">
        <v>1</v>
      </c>
      <c r="G130" s="25">
        <f t="shared" ref="G130:O130" si="15">F130*(1+G129)</f>
        <v>1</v>
      </c>
      <c r="H130" s="25">
        <f t="shared" si="15"/>
        <v>1</v>
      </c>
      <c r="I130" s="25">
        <f t="shared" si="15"/>
        <v>1</v>
      </c>
      <c r="J130" s="25">
        <f t="shared" si="15"/>
        <v>1</v>
      </c>
      <c r="K130" s="25">
        <f t="shared" si="15"/>
        <v>1</v>
      </c>
      <c r="L130" s="25">
        <f t="shared" si="15"/>
        <v>1</v>
      </c>
      <c r="M130" s="25">
        <f t="shared" si="15"/>
        <v>1</v>
      </c>
      <c r="N130" s="25">
        <f t="shared" si="15"/>
        <v>1</v>
      </c>
      <c r="O130" s="25">
        <f t="shared" si="15"/>
        <v>1</v>
      </c>
      <c r="P130" s="3"/>
      <c r="Q130" s="3"/>
      <c r="R130" s="3"/>
      <c r="S130" s="3"/>
      <c r="T130" s="3"/>
      <c r="U130" s="3"/>
      <c r="V130" s="3"/>
      <c r="W130" s="3"/>
      <c r="X130" s="3"/>
      <c r="Y130" s="3"/>
      <c r="Z130" s="3"/>
    </row>
    <row r="131" spans="1:26" ht="12.75" x14ac:dyDescent="0.2">
      <c r="A131" s="11"/>
      <c r="B131" s="4"/>
      <c r="C131" s="27" t="s">
        <v>264</v>
      </c>
      <c r="D131" s="4"/>
      <c r="E131" s="24"/>
      <c r="F131" s="15">
        <f t="shared" ref="F131:O131" si="16">$F$76</f>
        <v>0</v>
      </c>
      <c r="G131" s="15">
        <f t="shared" si="16"/>
        <v>0</v>
      </c>
      <c r="H131" s="15">
        <f t="shared" si="16"/>
        <v>0</v>
      </c>
      <c r="I131" s="15">
        <f t="shared" si="16"/>
        <v>0</v>
      </c>
      <c r="J131" s="15">
        <f t="shared" si="16"/>
        <v>0</v>
      </c>
      <c r="K131" s="15">
        <f t="shared" si="16"/>
        <v>0</v>
      </c>
      <c r="L131" s="15">
        <f t="shared" si="16"/>
        <v>0</v>
      </c>
      <c r="M131" s="15">
        <f t="shared" si="16"/>
        <v>0</v>
      </c>
      <c r="N131" s="15">
        <f t="shared" si="16"/>
        <v>0</v>
      </c>
      <c r="O131" s="15">
        <f t="shared" si="16"/>
        <v>0</v>
      </c>
      <c r="P131" s="3"/>
      <c r="Q131" s="3"/>
      <c r="R131" s="3"/>
      <c r="S131" s="3"/>
      <c r="T131" s="3"/>
      <c r="U131" s="3"/>
      <c r="V131" s="3"/>
      <c r="W131" s="3"/>
      <c r="X131" s="3"/>
      <c r="Y131" s="3"/>
      <c r="Z131" s="3"/>
    </row>
    <row r="132" spans="1:26" ht="12.75" x14ac:dyDescent="0.2">
      <c r="A132" s="11"/>
      <c r="B132" s="4"/>
      <c r="C132" s="27" t="s">
        <v>265</v>
      </c>
      <c r="D132" s="4"/>
      <c r="E132" s="24"/>
      <c r="F132" s="25">
        <v>1</v>
      </c>
      <c r="G132" s="25">
        <f t="shared" ref="G132:O132" si="17">F132*(1+G131)</f>
        <v>1</v>
      </c>
      <c r="H132" s="25">
        <f t="shared" si="17"/>
        <v>1</v>
      </c>
      <c r="I132" s="25">
        <f t="shared" si="17"/>
        <v>1</v>
      </c>
      <c r="J132" s="25">
        <f t="shared" si="17"/>
        <v>1</v>
      </c>
      <c r="K132" s="25">
        <f t="shared" si="17"/>
        <v>1</v>
      </c>
      <c r="L132" s="25">
        <f t="shared" si="17"/>
        <v>1</v>
      </c>
      <c r="M132" s="25">
        <f t="shared" si="17"/>
        <v>1</v>
      </c>
      <c r="N132" s="25">
        <f t="shared" si="17"/>
        <v>1</v>
      </c>
      <c r="O132" s="25">
        <f t="shared" si="17"/>
        <v>1</v>
      </c>
      <c r="P132" s="3"/>
      <c r="Q132" s="3"/>
      <c r="R132" s="3"/>
      <c r="S132" s="3"/>
      <c r="T132" s="3"/>
      <c r="U132" s="3"/>
      <c r="V132" s="3"/>
      <c r="W132" s="3"/>
      <c r="X132" s="3"/>
      <c r="Y132" s="3"/>
      <c r="Z132" s="3"/>
    </row>
    <row r="133" spans="1:26" ht="12.75" x14ac:dyDescent="0.2">
      <c r="A133" s="11"/>
      <c r="B133" s="11"/>
      <c r="C133" s="3"/>
      <c r="D133" s="11"/>
      <c r="E133" s="26"/>
      <c r="F133" s="11"/>
      <c r="G133" s="11"/>
      <c r="H133" s="11"/>
      <c r="I133" s="11"/>
      <c r="J133" s="11"/>
      <c r="K133" s="11"/>
      <c r="L133" s="11"/>
      <c r="M133" s="11"/>
      <c r="N133" s="11"/>
      <c r="O133" s="3"/>
      <c r="P133" s="3"/>
      <c r="Q133" s="3"/>
      <c r="R133" s="3"/>
      <c r="S133" s="3"/>
      <c r="T133" s="3"/>
      <c r="U133" s="3"/>
      <c r="V133" s="3"/>
      <c r="W133" s="3"/>
      <c r="X133" s="3"/>
      <c r="Y133" s="3"/>
      <c r="Z133" s="3"/>
    </row>
    <row r="134" spans="1:26" ht="12.75" x14ac:dyDescent="0.2">
      <c r="A134" s="11"/>
      <c r="B134" s="42" t="s">
        <v>211</v>
      </c>
      <c r="C134" s="43"/>
      <c r="D134" s="44"/>
      <c r="E134" s="45"/>
      <c r="F134" s="44"/>
      <c r="G134" s="44"/>
      <c r="H134" s="44"/>
      <c r="I134" s="44"/>
      <c r="J134" s="44"/>
      <c r="K134" s="44"/>
      <c r="L134" s="44"/>
      <c r="M134" s="44"/>
      <c r="N134" s="44"/>
      <c r="O134" s="43"/>
      <c r="P134" s="3"/>
      <c r="Q134" s="3"/>
      <c r="R134" s="3"/>
      <c r="S134" s="3"/>
      <c r="T134" s="3"/>
      <c r="U134" s="3"/>
      <c r="V134" s="3"/>
      <c r="W134" s="3"/>
      <c r="X134" s="3"/>
      <c r="Y134" s="3"/>
      <c r="Z134" s="3"/>
    </row>
    <row r="135" spans="1:26" ht="12.75" x14ac:dyDescent="0.2">
      <c r="A135" s="11"/>
      <c r="B135" s="42"/>
      <c r="C135" s="46" t="s">
        <v>44</v>
      </c>
      <c r="D135" s="44"/>
      <c r="E135" s="45"/>
      <c r="F135" s="47">
        <f>$F$25</f>
        <v>1</v>
      </c>
      <c r="G135" s="47">
        <f t="shared" ref="G135:O135" si="18">$F$25</f>
        <v>1</v>
      </c>
      <c r="H135" s="47">
        <f t="shared" si="18"/>
        <v>1</v>
      </c>
      <c r="I135" s="47">
        <f t="shared" si="18"/>
        <v>1</v>
      </c>
      <c r="J135" s="47">
        <f t="shared" si="18"/>
        <v>1</v>
      </c>
      <c r="K135" s="47">
        <f t="shared" si="18"/>
        <v>1</v>
      </c>
      <c r="L135" s="47">
        <f t="shared" si="18"/>
        <v>1</v>
      </c>
      <c r="M135" s="47">
        <f t="shared" si="18"/>
        <v>1</v>
      </c>
      <c r="N135" s="47">
        <f t="shared" si="18"/>
        <v>1</v>
      </c>
      <c r="O135" s="47">
        <f t="shared" si="18"/>
        <v>1</v>
      </c>
      <c r="P135" s="3"/>
      <c r="Q135" s="3"/>
      <c r="R135" s="3"/>
      <c r="S135" s="3"/>
      <c r="T135" s="3"/>
      <c r="U135" s="3"/>
      <c r="V135" s="3"/>
      <c r="W135" s="3"/>
      <c r="X135" s="3"/>
      <c r="Y135" s="3"/>
      <c r="Z135" s="3"/>
    </row>
    <row r="136" spans="1:26" ht="12.75" x14ac:dyDescent="0.2">
      <c r="A136" s="11"/>
      <c r="B136" s="44"/>
      <c r="C136" s="46" t="s">
        <v>212</v>
      </c>
      <c r="D136" s="44"/>
      <c r="E136" s="45"/>
      <c r="F136" s="47">
        <f>$I$25</f>
        <v>1</v>
      </c>
      <c r="G136" s="47">
        <f t="shared" ref="G136:O136" si="19">$I$25</f>
        <v>1</v>
      </c>
      <c r="H136" s="47">
        <f t="shared" si="19"/>
        <v>1</v>
      </c>
      <c r="I136" s="47">
        <f t="shared" si="19"/>
        <v>1</v>
      </c>
      <c r="J136" s="47">
        <f t="shared" si="19"/>
        <v>1</v>
      </c>
      <c r="K136" s="47">
        <f t="shared" si="19"/>
        <v>1</v>
      </c>
      <c r="L136" s="47">
        <f t="shared" si="19"/>
        <v>1</v>
      </c>
      <c r="M136" s="47">
        <f t="shared" si="19"/>
        <v>1</v>
      </c>
      <c r="N136" s="47">
        <f t="shared" si="19"/>
        <v>1</v>
      </c>
      <c r="O136" s="47">
        <f t="shared" si="19"/>
        <v>1</v>
      </c>
      <c r="P136" s="3"/>
      <c r="Q136" s="3"/>
      <c r="R136" s="3"/>
      <c r="S136" s="3"/>
      <c r="T136" s="3"/>
      <c r="U136" s="3"/>
      <c r="V136" s="3"/>
      <c r="W136" s="3"/>
      <c r="X136" s="3"/>
      <c r="Y136" s="3"/>
      <c r="Z136" s="3"/>
    </row>
    <row r="137" spans="1:26" ht="12.75" x14ac:dyDescent="0.2">
      <c r="A137" s="11"/>
      <c r="B137" s="11"/>
      <c r="C137" s="3"/>
      <c r="D137" s="11"/>
      <c r="E137" s="26"/>
      <c r="F137" s="11"/>
      <c r="G137" s="11"/>
      <c r="H137" s="11"/>
      <c r="I137" s="11"/>
      <c r="J137" s="11"/>
      <c r="K137" s="11"/>
      <c r="L137" s="11"/>
      <c r="M137" s="11"/>
      <c r="N137" s="11"/>
      <c r="O137" s="3"/>
      <c r="P137" s="3"/>
      <c r="Q137" s="3"/>
      <c r="R137" s="3"/>
      <c r="S137" s="3"/>
      <c r="T137" s="3"/>
      <c r="U137" s="3"/>
      <c r="V137" s="3"/>
      <c r="W137" s="3"/>
      <c r="X137" s="3"/>
      <c r="Y137" s="3"/>
      <c r="Z137" s="3"/>
    </row>
    <row r="138" spans="1:26" s="57" customFormat="1" ht="12.75" x14ac:dyDescent="0.2">
      <c r="A138" s="52" t="s">
        <v>192</v>
      </c>
      <c r="B138" s="52"/>
      <c r="C138" s="53"/>
      <c r="D138" s="54" t="s">
        <v>193</v>
      </c>
      <c r="E138" s="55"/>
      <c r="F138" s="56">
        <v>0</v>
      </c>
      <c r="G138" s="56">
        <v>1</v>
      </c>
      <c r="H138" s="56">
        <v>2</v>
      </c>
      <c r="I138" s="56">
        <v>3</v>
      </c>
      <c r="J138" s="56">
        <v>4</v>
      </c>
      <c r="K138" s="56">
        <v>5</v>
      </c>
      <c r="L138" s="56">
        <v>6</v>
      </c>
      <c r="M138" s="56">
        <v>7</v>
      </c>
      <c r="N138" s="56">
        <v>8</v>
      </c>
      <c r="O138" s="56">
        <v>9</v>
      </c>
      <c r="P138" s="43"/>
      <c r="Q138" s="43"/>
      <c r="R138" s="43"/>
      <c r="S138" s="43"/>
      <c r="T138" s="43"/>
      <c r="U138" s="43"/>
      <c r="V138" s="43"/>
      <c r="W138" s="43"/>
      <c r="X138" s="43"/>
      <c r="Y138" s="43"/>
      <c r="Z138" s="43"/>
    </row>
    <row r="139" spans="1:26" ht="12.75" x14ac:dyDescent="0.2">
      <c r="A139" s="3"/>
      <c r="B139" s="4" t="s">
        <v>194</v>
      </c>
      <c r="C139" s="9"/>
      <c r="D139" s="2"/>
      <c r="E139" s="2"/>
      <c r="F139" s="2"/>
      <c r="G139" s="2"/>
      <c r="H139" s="2"/>
      <c r="I139" s="2"/>
      <c r="J139" s="2"/>
      <c r="K139" s="2"/>
      <c r="L139" s="2"/>
      <c r="M139" s="2"/>
      <c r="N139" s="2"/>
      <c r="O139" s="2"/>
      <c r="P139" s="3"/>
      <c r="Q139" s="3"/>
      <c r="R139" s="3"/>
      <c r="S139" s="3"/>
      <c r="T139" s="3"/>
      <c r="U139" s="3"/>
      <c r="V139" s="3"/>
      <c r="W139" s="3"/>
      <c r="X139" s="3"/>
      <c r="Y139" s="3"/>
      <c r="Z139" s="3"/>
    </row>
    <row r="140" spans="1:26" ht="12.75" x14ac:dyDescent="0.2">
      <c r="A140" s="3"/>
      <c r="B140" s="2"/>
      <c r="C140" s="9" t="s">
        <v>195</v>
      </c>
      <c r="D140" s="2"/>
      <c r="E140" s="2"/>
      <c r="F140" s="39">
        <f>F$135*$F$31*F126</f>
        <v>2.58</v>
      </c>
      <c r="G140" s="39">
        <f>G$135*$F$31*G126</f>
        <v>2.6057999999999999</v>
      </c>
      <c r="H140" s="39">
        <f>H$135*$F$31*H126</f>
        <v>2.6318580000000003</v>
      </c>
      <c r="I140" s="39">
        <f>I$135*$F$31*I126</f>
        <v>2.6581765799999997</v>
      </c>
      <c r="J140" s="39">
        <f>J$135*$F$31*J126</f>
        <v>2.6847583458000002</v>
      </c>
      <c r="K140" s="39">
        <f>K$135*$F$31*K126</f>
        <v>2.7116059292579999</v>
      </c>
      <c r="L140" s="39">
        <f>L$135*$F$31*L126</f>
        <v>2.73872198855058</v>
      </c>
      <c r="M140" s="39">
        <f>M$135*$F$31*M126</f>
        <v>2.7661092084360854</v>
      </c>
      <c r="N140" s="39">
        <f>N$135*$F$31*N126</f>
        <v>2.7937703005204466</v>
      </c>
      <c r="O140" s="39">
        <f>O$135*$F$31*O126</f>
        <v>2.821708003525651</v>
      </c>
      <c r="P140" s="3"/>
      <c r="Q140" s="3"/>
      <c r="R140" s="3"/>
      <c r="S140" s="3"/>
      <c r="T140" s="3"/>
      <c r="U140" s="3"/>
      <c r="V140" s="3"/>
      <c r="W140" s="3"/>
      <c r="X140" s="3"/>
      <c r="Y140" s="3"/>
      <c r="Z140" s="3"/>
    </row>
    <row r="141" spans="1:26" ht="12.75" x14ac:dyDescent="0.2">
      <c r="A141" s="3"/>
      <c r="B141" s="2"/>
      <c r="C141" s="27" t="s">
        <v>232</v>
      </c>
      <c r="D141" s="2"/>
      <c r="E141" s="2"/>
      <c r="F141" s="39">
        <f>$F$35*F140</f>
        <v>0.58050000000000002</v>
      </c>
      <c r="G141" s="39">
        <f t="shared" ref="G141:O141" si="20">$F$35*G140</f>
        <v>0.58630499999999997</v>
      </c>
      <c r="H141" s="39">
        <f t="shared" si="20"/>
        <v>0.59216805000000006</v>
      </c>
      <c r="I141" s="39">
        <f t="shared" si="20"/>
        <v>0.59808973049999992</v>
      </c>
      <c r="J141" s="39">
        <f t="shared" si="20"/>
        <v>0.60407062780500009</v>
      </c>
      <c r="K141" s="39">
        <f t="shared" si="20"/>
        <v>0.61011133408304996</v>
      </c>
      <c r="L141" s="39">
        <f t="shared" si="20"/>
        <v>0.61621244742388048</v>
      </c>
      <c r="M141" s="39">
        <f t="shared" si="20"/>
        <v>0.62237457189811929</v>
      </c>
      <c r="N141" s="39">
        <f t="shared" si="20"/>
        <v>0.6285983176171005</v>
      </c>
      <c r="O141" s="39">
        <f t="shared" si="20"/>
        <v>0.63488430079327152</v>
      </c>
      <c r="P141" s="3"/>
      <c r="Q141" s="3"/>
      <c r="R141" s="3"/>
      <c r="S141" s="3"/>
      <c r="T141" s="3"/>
      <c r="U141" s="3"/>
      <c r="V141" s="3"/>
      <c r="W141" s="3"/>
      <c r="X141" s="3"/>
      <c r="Y141" s="3"/>
      <c r="Z141" s="3"/>
    </row>
    <row r="142" spans="1:26" ht="12.75" x14ac:dyDescent="0.2">
      <c r="A142" s="3"/>
      <c r="B142" s="2"/>
      <c r="C142" s="27" t="s">
        <v>233</v>
      </c>
      <c r="D142" s="2"/>
      <c r="E142" s="2"/>
      <c r="F142" s="39">
        <f>$F$28/1000</f>
        <v>9.459999999999999E-2</v>
      </c>
      <c r="G142" s="39">
        <f t="shared" ref="G142:O142" si="21">$F$28/1000</f>
        <v>9.459999999999999E-2</v>
      </c>
      <c r="H142" s="39">
        <f t="shared" si="21"/>
        <v>9.459999999999999E-2</v>
      </c>
      <c r="I142" s="39">
        <f t="shared" si="21"/>
        <v>9.459999999999999E-2</v>
      </c>
      <c r="J142" s="39">
        <f t="shared" si="21"/>
        <v>9.459999999999999E-2</v>
      </c>
      <c r="K142" s="39">
        <f t="shared" si="21"/>
        <v>9.459999999999999E-2</v>
      </c>
      <c r="L142" s="39">
        <f t="shared" si="21"/>
        <v>9.459999999999999E-2</v>
      </c>
      <c r="M142" s="39">
        <f t="shared" si="21"/>
        <v>9.459999999999999E-2</v>
      </c>
      <c r="N142" s="39">
        <f t="shared" si="21"/>
        <v>9.459999999999999E-2</v>
      </c>
      <c r="O142" s="39">
        <f t="shared" si="21"/>
        <v>9.459999999999999E-2</v>
      </c>
      <c r="P142" s="3"/>
      <c r="Q142" s="3"/>
      <c r="R142" s="3"/>
      <c r="S142" s="3"/>
      <c r="T142" s="3"/>
      <c r="U142" s="3"/>
      <c r="V142" s="3"/>
      <c r="W142" s="3"/>
      <c r="X142" s="3"/>
      <c r="Y142" s="3"/>
      <c r="Z142" s="3"/>
    </row>
    <row r="143" spans="1:26" ht="12.75" x14ac:dyDescent="0.2">
      <c r="A143" s="3"/>
      <c r="B143" s="2"/>
      <c r="C143" s="27" t="s">
        <v>234</v>
      </c>
      <c r="D143" s="2"/>
      <c r="E143" s="2"/>
      <c r="F143" s="39">
        <f>$F$62*F$135/1000</f>
        <v>0.08</v>
      </c>
      <c r="G143" s="39">
        <f>$F$62*G$135/1000</f>
        <v>0.08</v>
      </c>
      <c r="H143" s="39">
        <f>$F$62*H$135/1000</f>
        <v>0.08</v>
      </c>
      <c r="I143" s="39">
        <f>$F$62*I$135/1000</f>
        <v>0.08</v>
      </c>
      <c r="J143" s="39">
        <f>$F$62*J$135/1000</f>
        <v>0.08</v>
      </c>
      <c r="K143" s="39">
        <f>$F$62*K$135/1000</f>
        <v>0.08</v>
      </c>
      <c r="L143" s="39">
        <f>$F$62*L$135/1000</f>
        <v>0.08</v>
      </c>
      <c r="M143" s="39">
        <f>$F$62*M$135/1000</f>
        <v>0.08</v>
      </c>
      <c r="N143" s="39">
        <f>$F$62*N$135/1000</f>
        <v>0.08</v>
      </c>
      <c r="O143" s="39">
        <f>$F$62*O$135/1000</f>
        <v>0.08</v>
      </c>
      <c r="P143" s="3"/>
      <c r="Q143" s="3"/>
      <c r="R143" s="3"/>
      <c r="S143" s="3"/>
      <c r="T143" s="3"/>
      <c r="U143" s="3"/>
      <c r="V143" s="3"/>
      <c r="W143" s="3"/>
      <c r="X143" s="3"/>
      <c r="Y143" s="3"/>
      <c r="Z143" s="3"/>
    </row>
    <row r="144" spans="1:26" ht="12.75" x14ac:dyDescent="0.2">
      <c r="A144" s="3"/>
      <c r="B144" s="2"/>
      <c r="C144" s="9" t="s">
        <v>196</v>
      </c>
      <c r="D144" s="2"/>
      <c r="E144" s="2"/>
      <c r="F144" s="39">
        <f>F140-F141-F142-F143</f>
        <v>1.8249</v>
      </c>
      <c r="G144" s="39">
        <f t="shared" ref="G144:O144" si="22">G140-G141-G142-G143</f>
        <v>1.844895</v>
      </c>
      <c r="H144" s="39">
        <f t="shared" si="22"/>
        <v>1.86508995</v>
      </c>
      <c r="I144" s="39">
        <f t="shared" si="22"/>
        <v>1.8854868494999997</v>
      </c>
      <c r="J144" s="39">
        <f t="shared" si="22"/>
        <v>1.906087717995</v>
      </c>
      <c r="K144" s="39">
        <f t="shared" si="22"/>
        <v>1.9268945951749501</v>
      </c>
      <c r="L144" s="39">
        <f t="shared" si="22"/>
        <v>1.9479095411266996</v>
      </c>
      <c r="M144" s="39">
        <f t="shared" si="22"/>
        <v>1.9691346365379663</v>
      </c>
      <c r="N144" s="39">
        <f t="shared" si="22"/>
        <v>1.9905719829033464</v>
      </c>
      <c r="O144" s="39">
        <f t="shared" si="22"/>
        <v>2.0122237027323795</v>
      </c>
      <c r="P144" s="3"/>
      <c r="Q144" s="3"/>
      <c r="R144" s="3"/>
      <c r="S144" s="3"/>
      <c r="T144" s="3"/>
      <c r="U144" s="3"/>
      <c r="V144" s="3"/>
      <c r="W144" s="3"/>
      <c r="X144" s="3"/>
      <c r="Y144" s="3"/>
      <c r="Z144" s="3"/>
    </row>
    <row r="145" spans="1:26" ht="12.75" x14ac:dyDescent="0.2">
      <c r="A145" s="3"/>
      <c r="B145" s="3"/>
      <c r="C145" s="12"/>
      <c r="D145" s="3"/>
      <c r="E145" s="3"/>
      <c r="F145" s="28"/>
      <c r="G145" s="28"/>
      <c r="H145" s="28"/>
      <c r="I145" s="28"/>
      <c r="J145" s="28"/>
      <c r="K145" s="28"/>
      <c r="L145" s="28"/>
      <c r="M145" s="3"/>
      <c r="N145" s="3"/>
      <c r="O145" s="3"/>
      <c r="P145" s="3"/>
      <c r="Q145" s="3"/>
      <c r="R145" s="3"/>
      <c r="S145" s="3"/>
      <c r="T145" s="3"/>
      <c r="U145" s="3"/>
      <c r="V145" s="3"/>
      <c r="W145" s="3"/>
      <c r="X145" s="3"/>
      <c r="Y145" s="3"/>
      <c r="Z145" s="3"/>
    </row>
    <row r="146" spans="1:26" ht="12.75" x14ac:dyDescent="0.2">
      <c r="A146" s="3"/>
      <c r="B146" s="4" t="s">
        <v>197</v>
      </c>
      <c r="C146" s="9"/>
      <c r="D146" s="2"/>
      <c r="E146" s="2"/>
      <c r="F146" s="563"/>
      <c r="G146" s="563"/>
      <c r="H146" s="563"/>
      <c r="I146" s="563"/>
      <c r="J146" s="563"/>
      <c r="K146" s="563"/>
      <c r="L146" s="397"/>
      <c r="M146" s="397"/>
      <c r="N146" s="397"/>
      <c r="O146" s="397"/>
      <c r="P146" s="3"/>
      <c r="Q146" s="3"/>
      <c r="R146" s="3"/>
      <c r="S146" s="3"/>
      <c r="T146" s="3"/>
      <c r="U146" s="3"/>
      <c r="V146" s="3"/>
      <c r="W146" s="3"/>
      <c r="X146" s="3"/>
      <c r="Y146" s="3"/>
      <c r="Z146" s="3"/>
    </row>
    <row r="147" spans="1:26" ht="12.75" x14ac:dyDescent="0.2">
      <c r="A147" s="3"/>
      <c r="B147" s="2"/>
      <c r="C147" s="9" t="s">
        <v>195</v>
      </c>
      <c r="D147" s="2"/>
      <c r="E147" s="2"/>
      <c r="F147" s="39">
        <f>MIN(F$136*$I$31*F$128,$I$32*F$136)</f>
        <v>4.4799999999999995</v>
      </c>
      <c r="G147" s="39">
        <f>MIN(G$136*$I$31*G$128,$I$32*G$136)</f>
        <v>4.7039999999999997</v>
      </c>
      <c r="H147" s="39">
        <f>MIN(H$136*$I$31*H$128,$I$32*H$136)</f>
        <v>4.9391999999999996</v>
      </c>
      <c r="I147" s="39">
        <f>MIN(I$136*$I$31*I$128,$I$32*I$136)</f>
        <v>5.1861600000000001</v>
      </c>
      <c r="J147" s="39">
        <f>MIN(J$136*$I$31*J$128,$I$32*J$136)</f>
        <v>5.4454680000000009</v>
      </c>
      <c r="K147" s="39">
        <f>MIN(K$136*$I$31*K$128,$I$32*K$136)</f>
        <v>5.6</v>
      </c>
      <c r="L147" s="39">
        <f>MIN(L$136*$I$31*L$128,$I$32*L$136)</f>
        <v>5.6</v>
      </c>
      <c r="M147" s="39">
        <f>MIN(M$136*$I$31*M$128,$I$32*M$136)</f>
        <v>5.6</v>
      </c>
      <c r="N147" s="39">
        <f>MIN(N$136*$I$31*N$128,$I$32*N$136)</f>
        <v>5.6</v>
      </c>
      <c r="O147" s="39">
        <f>MIN(O$136*$I$31*O$128,$I$32*O$136)</f>
        <v>5.6</v>
      </c>
      <c r="P147" s="3"/>
      <c r="Q147" s="3"/>
      <c r="R147" s="3"/>
      <c r="S147" s="3"/>
      <c r="T147" s="3"/>
      <c r="U147" s="3"/>
      <c r="V147" s="3"/>
      <c r="W147" s="3"/>
      <c r="X147" s="3"/>
      <c r="Y147" s="3"/>
      <c r="Z147" s="3"/>
    </row>
    <row r="148" spans="1:26" ht="12.75" x14ac:dyDescent="0.2">
      <c r="A148" s="3"/>
      <c r="B148" s="2"/>
      <c r="C148" s="27" t="s">
        <v>232</v>
      </c>
      <c r="D148" s="2"/>
      <c r="E148" s="2"/>
      <c r="F148" s="39">
        <f t="shared" ref="F148:O148" si="23">IF(F138&lt;=$I$36,($F$35-(F138*$I$37)),$I$35)*F147</f>
        <v>1.008</v>
      </c>
      <c r="G148" s="39">
        <f t="shared" si="23"/>
        <v>0.94079999999999997</v>
      </c>
      <c r="H148" s="39">
        <f t="shared" si="23"/>
        <v>0.86435999999999991</v>
      </c>
      <c r="I148" s="39">
        <f t="shared" si="23"/>
        <v>0.77792399999999995</v>
      </c>
      <c r="J148" s="39">
        <f t="shared" si="23"/>
        <v>0.81682020000000011</v>
      </c>
      <c r="K148" s="39">
        <f t="shared" si="23"/>
        <v>0.84</v>
      </c>
      <c r="L148" s="39">
        <f t="shared" si="23"/>
        <v>0.84</v>
      </c>
      <c r="M148" s="39">
        <f t="shared" si="23"/>
        <v>0.84</v>
      </c>
      <c r="N148" s="39">
        <f t="shared" si="23"/>
        <v>0.84</v>
      </c>
      <c r="O148" s="39">
        <f t="shared" si="23"/>
        <v>0.84</v>
      </c>
      <c r="P148" s="3"/>
      <c r="Q148" s="3"/>
      <c r="R148" s="3"/>
      <c r="S148" s="3"/>
      <c r="T148" s="3"/>
      <c r="U148" s="3"/>
      <c r="V148" s="3"/>
      <c r="W148" s="3"/>
      <c r="X148" s="3"/>
      <c r="Y148" s="3"/>
      <c r="Z148" s="3"/>
    </row>
    <row r="149" spans="1:26" ht="12.75" x14ac:dyDescent="0.2">
      <c r="A149" s="3"/>
      <c r="B149" s="2"/>
      <c r="C149" s="27" t="s">
        <v>233</v>
      </c>
      <c r="D149" s="2"/>
      <c r="E149" s="2"/>
      <c r="F149" s="39">
        <f>$I$28/1000</f>
        <v>0.15</v>
      </c>
      <c r="G149" s="39">
        <f t="shared" ref="G149:O149" si="24">$I$28/1000</f>
        <v>0.15</v>
      </c>
      <c r="H149" s="39">
        <f t="shared" si="24"/>
        <v>0.15</v>
      </c>
      <c r="I149" s="39">
        <f t="shared" si="24"/>
        <v>0.15</v>
      </c>
      <c r="J149" s="39">
        <f t="shared" si="24"/>
        <v>0.15</v>
      </c>
      <c r="K149" s="39">
        <f t="shared" si="24"/>
        <v>0.15</v>
      </c>
      <c r="L149" s="39">
        <f t="shared" si="24"/>
        <v>0.15</v>
      </c>
      <c r="M149" s="39">
        <f t="shared" si="24"/>
        <v>0.15</v>
      </c>
      <c r="N149" s="39">
        <f t="shared" si="24"/>
        <v>0.15</v>
      </c>
      <c r="O149" s="39">
        <f t="shared" si="24"/>
        <v>0.15</v>
      </c>
      <c r="P149" s="3"/>
      <c r="Q149" s="3"/>
      <c r="R149" s="3"/>
      <c r="S149" s="3"/>
      <c r="T149" s="3"/>
      <c r="U149" s="3"/>
      <c r="V149" s="3"/>
      <c r="W149" s="3"/>
      <c r="X149" s="3"/>
      <c r="Y149" s="3"/>
      <c r="Z149" s="3"/>
    </row>
    <row r="150" spans="1:26" ht="12.75" x14ac:dyDescent="0.2">
      <c r="A150" s="3"/>
      <c r="B150" s="2"/>
      <c r="C150" s="27" t="s">
        <v>234</v>
      </c>
      <c r="D150" s="2"/>
      <c r="E150" s="2"/>
      <c r="F150" s="39">
        <f>$I$62*F$136/1000</f>
        <v>0</v>
      </c>
      <c r="G150" s="39">
        <f>$I$62*G$136/1000</f>
        <v>0</v>
      </c>
      <c r="H150" s="39">
        <f>$I$62*H$136/1000</f>
        <v>0</v>
      </c>
      <c r="I150" s="39">
        <f>$I$62*I$136/1000</f>
        <v>0</v>
      </c>
      <c r="J150" s="39">
        <f>$I$62*J$136/1000</f>
        <v>0</v>
      </c>
      <c r="K150" s="39">
        <f>$I$62*K$136/1000</f>
        <v>0</v>
      </c>
      <c r="L150" s="39">
        <f>$I$62*L$136/1000</f>
        <v>0</v>
      </c>
      <c r="M150" s="39">
        <f>$I$62*M$136/1000</f>
        <v>0</v>
      </c>
      <c r="N150" s="39">
        <f>$I$62*N$136/1000</f>
        <v>0</v>
      </c>
      <c r="O150" s="39">
        <f>$I$62*O$136/1000</f>
        <v>0</v>
      </c>
      <c r="P150" s="3"/>
      <c r="Q150" s="3"/>
      <c r="R150" s="3"/>
      <c r="S150" s="3"/>
      <c r="T150" s="3"/>
      <c r="U150" s="3"/>
      <c r="V150" s="3"/>
      <c r="W150" s="3"/>
      <c r="X150" s="3"/>
      <c r="Y150" s="3"/>
      <c r="Z150" s="3"/>
    </row>
    <row r="151" spans="1:26" ht="12.75" x14ac:dyDescent="0.2">
      <c r="A151" s="3"/>
      <c r="B151" s="2"/>
      <c r="C151" s="9" t="s">
        <v>196</v>
      </c>
      <c r="D151" s="2"/>
      <c r="E151" s="2"/>
      <c r="F151" s="39">
        <f>F147-F148-F149-F150</f>
        <v>3.3219999999999996</v>
      </c>
      <c r="G151" s="39">
        <f t="shared" ref="G151:O151" si="25">G147-G148-G149-G150</f>
        <v>3.6132</v>
      </c>
      <c r="H151" s="39">
        <f t="shared" si="25"/>
        <v>3.9248400000000001</v>
      </c>
      <c r="I151" s="39">
        <f t="shared" si="25"/>
        <v>4.2582360000000001</v>
      </c>
      <c r="J151" s="39">
        <f t="shared" si="25"/>
        <v>4.4786478000000001</v>
      </c>
      <c r="K151" s="39">
        <f t="shared" si="25"/>
        <v>4.6099999999999994</v>
      </c>
      <c r="L151" s="39">
        <f t="shared" si="25"/>
        <v>4.6099999999999994</v>
      </c>
      <c r="M151" s="39">
        <f t="shared" si="25"/>
        <v>4.6099999999999994</v>
      </c>
      <c r="N151" s="39">
        <f t="shared" si="25"/>
        <v>4.6099999999999994</v>
      </c>
      <c r="O151" s="39">
        <f t="shared" si="25"/>
        <v>4.6099999999999994</v>
      </c>
      <c r="P151" s="3"/>
      <c r="Q151" s="3"/>
      <c r="R151" s="3"/>
      <c r="S151" s="3"/>
      <c r="T151" s="3"/>
      <c r="U151" s="3"/>
      <c r="V151" s="3"/>
      <c r="W151" s="3"/>
      <c r="X151" s="3"/>
      <c r="Y151" s="3"/>
      <c r="Z151" s="3"/>
    </row>
    <row r="152" spans="1:26" ht="12.75"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x14ac:dyDescent="0.2">
      <c r="A153" s="3"/>
      <c r="B153" s="29" t="s">
        <v>225</v>
      </c>
      <c r="C153" s="2"/>
      <c r="D153" s="2"/>
      <c r="E153" s="2"/>
      <c r="F153" s="39"/>
      <c r="G153" s="39"/>
      <c r="H153" s="39"/>
      <c r="I153" s="39"/>
      <c r="J153" s="39"/>
      <c r="K153" s="39"/>
      <c r="L153" s="39"/>
      <c r="M153" s="39"/>
      <c r="N153" s="39"/>
      <c r="O153" s="39"/>
      <c r="P153" s="3"/>
      <c r="Q153" s="3"/>
      <c r="R153" s="3"/>
      <c r="S153" s="3"/>
      <c r="T153" s="3"/>
      <c r="U153" s="3"/>
      <c r="V153" s="3"/>
      <c r="W153" s="3"/>
      <c r="X153" s="3"/>
      <c r="Y153" s="3"/>
      <c r="Z153" s="3"/>
    </row>
    <row r="154" spans="1:26" ht="12.75" x14ac:dyDescent="0.2">
      <c r="A154" s="3"/>
      <c r="B154" s="2"/>
      <c r="C154" s="9" t="s">
        <v>199</v>
      </c>
      <c r="D154" s="2"/>
      <c r="E154" s="2"/>
      <c r="F154" s="39">
        <f>F140*$F$84*F$115*(1+$F$87)</f>
        <v>160.96620000000001</v>
      </c>
      <c r="G154" s="39">
        <f>G140*$F$84*G$115*(1+$F$87)</f>
        <v>175.41935509799998</v>
      </c>
      <c r="H154" s="39">
        <f>H140*$F$84*H$115*(1+$F$87)</f>
        <v>191.17025899224944</v>
      </c>
      <c r="I154" s="39">
        <f>I140*$F$84*I$115*(1+$F$87)</f>
        <v>208.33543654716343</v>
      </c>
      <c r="J154" s="39">
        <f>J140*$F$84*J$115*(1+$F$87)</f>
        <v>227.0418753947333</v>
      </c>
      <c r="K154" s="39">
        <f>K140*$F$84*K$115*(1+$F$87)</f>
        <v>247.42796538642639</v>
      </c>
      <c r="L154" s="39">
        <f>L140*$F$84*L$115*(1+$F$87)</f>
        <v>269.64452239847361</v>
      </c>
      <c r="M154" s="39">
        <f>M140*$F$84*M$115*(1+$F$87)</f>
        <v>293.85590406463251</v>
      </c>
      <c r="N154" s="39">
        <f>N140*$F$84*N$115*(1+$F$87)</f>
        <v>320.24122569059591</v>
      </c>
      <c r="O154" s="39">
        <f>O140*$F$84*O$115*(1+$F$87)</f>
        <v>348.99568534535445</v>
      </c>
      <c r="P154" s="3"/>
      <c r="Q154" s="3"/>
      <c r="R154" s="3"/>
      <c r="S154" s="3"/>
      <c r="T154" s="3"/>
      <c r="U154" s="3"/>
      <c r="V154" s="3"/>
      <c r="W154" s="3"/>
      <c r="X154" s="3"/>
      <c r="Y154" s="3"/>
      <c r="Z154" s="3"/>
    </row>
    <row r="155" spans="1:26" ht="12.75" x14ac:dyDescent="0.2">
      <c r="A155" s="3"/>
      <c r="B155" s="2"/>
      <c r="C155" s="27" t="s">
        <v>231</v>
      </c>
      <c r="D155" s="2"/>
      <c r="E155" s="2"/>
      <c r="F155" s="39">
        <f>F141*$F$85*F$115*(1+$F$87)</f>
        <v>35.056395000000002</v>
      </c>
      <c r="G155" s="39">
        <f>G141*$F$85*G$115*(1+$F$87)</f>
        <v>38.204108707049997</v>
      </c>
      <c r="H155" s="39">
        <f>H141*$F$85*H$115*(1+$F$87)</f>
        <v>41.63445562785602</v>
      </c>
      <c r="I155" s="39">
        <f>I141*$F$85*I$115*(1+$F$87)</f>
        <v>45.372813398681203</v>
      </c>
      <c r="J155" s="39">
        <f>J141*$F$85*J$115*(1+$F$87)</f>
        <v>49.446838313748799</v>
      </c>
      <c r="K155" s="39">
        <f>K141*$F$85*K$115*(1+$F$87)</f>
        <v>53.886669925940296</v>
      </c>
      <c r="L155" s="39">
        <f>L141*$F$85*L$115*(1+$F$87)</f>
        <v>58.725154018590473</v>
      </c>
      <c r="M155" s="39">
        <f>M141*$F$85*M$115*(1+$F$87)</f>
        <v>63.998085597919712</v>
      </c>
      <c r="N155" s="39">
        <f>N141*$F$85*N$115*(1+$F$87)</f>
        <v>69.74447370375691</v>
      </c>
      <c r="O155" s="39">
        <f>O141*$F$85*O$115*(1+$F$87)</f>
        <v>76.006829997617245</v>
      </c>
      <c r="P155" s="3"/>
      <c r="Q155" s="3"/>
      <c r="R155" s="3"/>
      <c r="S155" s="3"/>
      <c r="T155" s="3"/>
      <c r="U155" s="3"/>
      <c r="V155" s="3"/>
      <c r="W155" s="3"/>
      <c r="X155" s="3"/>
      <c r="Y155" s="3"/>
      <c r="Z155" s="3"/>
    </row>
    <row r="156" spans="1:26" ht="12.75" x14ac:dyDescent="0.2">
      <c r="A156" s="3"/>
      <c r="B156" s="2"/>
      <c r="C156" s="393" t="s">
        <v>878</v>
      </c>
      <c r="D156" s="2"/>
      <c r="E156" s="2"/>
      <c r="F156" s="39">
        <f>F142*$F$85*F$115*(1+$F$87)</f>
        <v>5.7128939999999995</v>
      </c>
      <c r="G156" s="39">
        <f>G142*$F$85*G$115*(1+$F$87)</f>
        <v>6.1642126259999994</v>
      </c>
      <c r="H156" s="39">
        <f>H142*$F$85*H$115*(1+$F$87)</f>
        <v>6.6511854234539989</v>
      </c>
      <c r="I156" s="39">
        <f>I142*$F$85*I$115*(1+$F$87)</f>
        <v>7.1766290719068646</v>
      </c>
      <c r="J156" s="39">
        <f>J142*$F$85*J$115*(1+$F$87)</f>
        <v>7.7435827685875074</v>
      </c>
      <c r="K156" s="39">
        <f>K142*$F$85*K$115*(1+$F$87)</f>
        <v>8.3553258073059204</v>
      </c>
      <c r="L156" s="39">
        <f>L142*$F$85*L$115*(1+$F$87)</f>
        <v>9.0153965460830872</v>
      </c>
      <c r="M156" s="39">
        <f>M142*$F$85*M$115*(1+$F$87)</f>
        <v>9.7276128732236504</v>
      </c>
      <c r="N156" s="39">
        <f>N142*$F$85*N$115*(1+$F$87)</f>
        <v>10.496094290208319</v>
      </c>
      <c r="O156" s="39">
        <f>O142*$F$85*O$115*(1+$F$87)</f>
        <v>11.325285739134776</v>
      </c>
      <c r="P156" s="3"/>
      <c r="Q156" s="3"/>
      <c r="R156" s="3"/>
      <c r="S156" s="3"/>
      <c r="T156" s="3"/>
      <c r="U156" s="3"/>
      <c r="V156" s="3"/>
      <c r="W156" s="3"/>
      <c r="X156" s="3"/>
      <c r="Y156" s="3"/>
      <c r="Z156" s="3"/>
    </row>
    <row r="157" spans="1:26" ht="12.75" x14ac:dyDescent="0.2">
      <c r="A157" s="3"/>
      <c r="B157" s="2"/>
      <c r="C157" s="393" t="s">
        <v>879</v>
      </c>
      <c r="D157" s="2"/>
      <c r="E157" s="2"/>
      <c r="F157" s="39">
        <f>F143*$F$85*F$115*(1+$F$87)</f>
        <v>4.8311999999999999</v>
      </c>
      <c r="G157" s="39">
        <f>G143*$F$85*G$115*(1+$F$87)</f>
        <v>5.2128647999999993</v>
      </c>
      <c r="H157" s="39">
        <f>H143*$F$85*H$115*(1+$F$87)</f>
        <v>5.624681119199999</v>
      </c>
      <c r="I157" s="39">
        <f>I143*$F$85*I$115*(1+$F$87)</f>
        <v>6.0690309276167991</v>
      </c>
      <c r="J157" s="39">
        <f>J143*$F$85*J$115*(1+$F$87)</f>
        <v>6.5484843708985263</v>
      </c>
      <c r="K157" s="39">
        <f>K143*$F$85*K$115*(1+$F$87)</f>
        <v>7.0658146361995096</v>
      </c>
      <c r="L157" s="39">
        <f>L143*$F$85*L$115*(1+$F$87)</f>
        <v>7.6240139924592709</v>
      </c>
      <c r="M157" s="39">
        <f>M143*$F$85*M$115*(1+$F$87)</f>
        <v>8.2263110978635527</v>
      </c>
      <c r="N157" s="39">
        <f>N143*$F$85*N$115*(1+$F$87)</f>
        <v>8.876189674594773</v>
      </c>
      <c r="O157" s="39">
        <f>O143*$F$85*O$115*(1+$F$87)</f>
        <v>9.5774086588877605</v>
      </c>
      <c r="P157" s="3"/>
      <c r="Q157" s="3"/>
      <c r="R157" s="3"/>
      <c r="S157" s="3"/>
      <c r="T157" s="3"/>
      <c r="U157" s="3"/>
      <c r="V157" s="3"/>
      <c r="W157" s="3"/>
      <c r="X157" s="3"/>
      <c r="Y157" s="3"/>
      <c r="Z157" s="3"/>
    </row>
    <row r="158" spans="1:26" ht="12.75" x14ac:dyDescent="0.2">
      <c r="A158" s="3"/>
      <c r="B158" s="2"/>
      <c r="C158" s="31" t="s">
        <v>200</v>
      </c>
      <c r="D158" s="60"/>
      <c r="E158" s="60"/>
      <c r="F158" s="61">
        <f>F154-F155-F156-F157</f>
        <v>115.365711</v>
      </c>
      <c r="G158" s="61">
        <f t="shared" ref="G158:O158" si="26">G154-G155-G156-G157</f>
        <v>125.83816896494997</v>
      </c>
      <c r="H158" s="61">
        <f t="shared" si="26"/>
        <v>137.25993682173942</v>
      </c>
      <c r="I158" s="61">
        <f t="shared" si="26"/>
        <v>149.71696314895857</v>
      </c>
      <c r="J158" s="61">
        <f t="shared" si="26"/>
        <v>163.30296994149845</v>
      </c>
      <c r="K158" s="61">
        <f t="shared" si="26"/>
        <v>178.12015501698065</v>
      </c>
      <c r="L158" s="61">
        <f t="shared" si="26"/>
        <v>194.27995784134077</v>
      </c>
      <c r="M158" s="61">
        <f t="shared" si="26"/>
        <v>211.90389449562559</v>
      </c>
      <c r="N158" s="61">
        <f t="shared" si="26"/>
        <v>231.12446802203593</v>
      </c>
      <c r="O158" s="61">
        <f t="shared" si="26"/>
        <v>252.08616094971467</v>
      </c>
      <c r="P158" s="3"/>
      <c r="Q158" s="3"/>
      <c r="R158" s="3"/>
      <c r="S158" s="3"/>
      <c r="T158" s="3"/>
      <c r="U158" s="3"/>
      <c r="V158" s="3"/>
      <c r="W158" s="3"/>
      <c r="X158" s="3"/>
      <c r="Y158" s="3"/>
      <c r="Z158" s="3"/>
    </row>
    <row r="159" spans="1:26" ht="12.75" x14ac:dyDescent="0.2">
      <c r="A159" s="3"/>
      <c r="B159" s="3"/>
      <c r="C159" s="3"/>
      <c r="D159" s="3"/>
      <c r="E159" s="3"/>
      <c r="F159" s="28"/>
      <c r="G159" s="28"/>
      <c r="H159" s="28"/>
      <c r="I159" s="28"/>
      <c r="J159" s="28"/>
      <c r="K159" s="28"/>
      <c r="L159" s="28"/>
      <c r="M159" s="3"/>
      <c r="N159" s="3"/>
      <c r="O159" s="3"/>
      <c r="P159" s="3"/>
      <c r="Q159" s="3"/>
      <c r="R159" s="3"/>
      <c r="S159" s="3"/>
      <c r="T159" s="3"/>
      <c r="U159" s="3"/>
      <c r="V159" s="3"/>
      <c r="W159" s="3"/>
      <c r="X159" s="3"/>
      <c r="Y159" s="3"/>
      <c r="Z159" s="3"/>
    </row>
    <row r="160" spans="1:26" ht="12.75" x14ac:dyDescent="0.2">
      <c r="A160" s="3"/>
      <c r="B160" s="29" t="s">
        <v>224</v>
      </c>
      <c r="C160" s="2"/>
      <c r="D160" s="2"/>
      <c r="E160" s="2"/>
      <c r="F160" s="2"/>
      <c r="G160" s="2"/>
      <c r="H160" s="2"/>
      <c r="I160" s="2"/>
      <c r="J160" s="2"/>
      <c r="K160" s="2"/>
      <c r="L160" s="2"/>
      <c r="M160" s="2"/>
      <c r="N160" s="2"/>
      <c r="O160" s="2"/>
      <c r="P160" s="3"/>
      <c r="Q160" s="3"/>
      <c r="R160" s="3"/>
      <c r="S160" s="3"/>
      <c r="T160" s="3"/>
      <c r="U160" s="3"/>
      <c r="V160" s="3"/>
      <c r="W160" s="3"/>
      <c r="X160" s="3"/>
      <c r="Y160" s="3"/>
      <c r="Z160" s="3"/>
    </row>
    <row r="161" spans="1:26" ht="12.75" x14ac:dyDescent="0.2">
      <c r="A161" s="3"/>
      <c r="B161" s="2"/>
      <c r="C161" s="9" t="s">
        <v>195</v>
      </c>
      <c r="D161" s="2"/>
      <c r="E161" s="2"/>
      <c r="F161" s="39">
        <f>F147*$I$84*F$115*(1+$F$87)</f>
        <v>279.50719999999995</v>
      </c>
      <c r="G161" s="39">
        <f>G147*$I$84*G$115*(1+$F$87)</f>
        <v>316.66768223999998</v>
      </c>
      <c r="H161" s="39">
        <f>H147*$I$84*H$115*(1+$F$87)</f>
        <v>358.76865059380793</v>
      </c>
      <c r="I161" s="39">
        <f>I147*$I$84*I$115*(1+$F$87)</f>
        <v>406.46694269025471</v>
      </c>
      <c r="J161" s="39">
        <f>J147*$I$84*J$115*(1+$F$87)</f>
        <v>460.50672272092419</v>
      </c>
      <c r="K161" s="39">
        <f>K147*$I$84*K$115*(1+$F$87)</f>
        <v>510.98745256953327</v>
      </c>
      <c r="L161" s="39">
        <f>L147*$I$84*L$115*(1+$F$87)</f>
        <v>551.35546132252648</v>
      </c>
      <c r="M161" s="39">
        <f>M147*$I$84*M$115*(1+$F$87)</f>
        <v>594.91254276700602</v>
      </c>
      <c r="N161" s="39">
        <f>N147*$I$84*N$115*(1+$F$87)</f>
        <v>641.91063364559943</v>
      </c>
      <c r="O161" s="39">
        <f>O147*$I$84*O$115*(1+$F$87)</f>
        <v>692.62157370360183</v>
      </c>
      <c r="P161" s="3"/>
      <c r="Q161" s="3"/>
      <c r="R161" s="3"/>
      <c r="S161" s="3"/>
      <c r="T161" s="3"/>
      <c r="U161" s="3"/>
      <c r="V161" s="3"/>
      <c r="W161" s="3"/>
      <c r="X161" s="3"/>
      <c r="Y161" s="3"/>
      <c r="Z161" s="3"/>
    </row>
    <row r="162" spans="1:26" ht="12.75" x14ac:dyDescent="0.2">
      <c r="A162" s="3"/>
      <c r="B162" s="2"/>
      <c r="C162" s="27" t="s">
        <v>231</v>
      </c>
      <c r="D162" s="2"/>
      <c r="E162" s="2"/>
      <c r="F162" s="39">
        <f>F148*$I$84*F$115*(1+$F$87)</f>
        <v>62.889119999999998</v>
      </c>
      <c r="G162" s="39">
        <f>G148*$I$84*G$115*(1+$F$87)</f>
        <v>63.333536447999997</v>
      </c>
      <c r="H162" s="39">
        <f>H148*$I$84*H$115*(1+$F$87)</f>
        <v>62.784513853916387</v>
      </c>
      <c r="I162" s="39">
        <f>I148*$I$84*I$115*(1+$F$87)</f>
        <v>60.970041403538204</v>
      </c>
      <c r="J162" s="39">
        <f>J148*$I$84*J$115*(1+$F$87)</f>
        <v>69.07600840813862</v>
      </c>
      <c r="K162" s="39">
        <f>K148*$I$84*K$115*(1+$F$87)</f>
        <v>76.648117885429997</v>
      </c>
      <c r="L162" s="39">
        <f>L148*$I$84*L$115*(1+$F$87)</f>
        <v>82.703319198378964</v>
      </c>
      <c r="M162" s="39">
        <f>M148*$I$84*M$115*(1+$F$87)</f>
        <v>89.236881415050902</v>
      </c>
      <c r="N162" s="39">
        <f>N148*$I$84*N$115*(1+$F$87)</f>
        <v>96.286595046839921</v>
      </c>
      <c r="O162" s="39">
        <f>O148*$I$84*O$115*(1+$F$87)</f>
        <v>103.89323605554027</v>
      </c>
      <c r="P162" s="3"/>
      <c r="Q162" s="3"/>
      <c r="R162" s="3"/>
      <c r="S162" s="3"/>
      <c r="T162" s="3"/>
      <c r="U162" s="3"/>
      <c r="V162" s="3"/>
      <c r="W162" s="3"/>
      <c r="X162" s="3"/>
      <c r="Y162" s="3"/>
      <c r="Z162" s="3"/>
    </row>
    <row r="163" spans="1:26" ht="12.75" x14ac:dyDescent="0.2">
      <c r="A163" s="3"/>
      <c r="B163" s="2"/>
      <c r="C163" s="393" t="s">
        <v>878</v>
      </c>
      <c r="D163" s="2"/>
      <c r="E163" s="2"/>
      <c r="F163" s="39">
        <f>F149*$I$84*F$115*(1+$F$87)</f>
        <v>9.3584999999999994</v>
      </c>
      <c r="G163" s="39">
        <f>G149*$I$84*G$115*(1+$F$87)</f>
        <v>10.097821499999998</v>
      </c>
      <c r="H163" s="39">
        <f>H149*$I$84*H$115*(1+$F$87)</f>
        <v>10.895549398499998</v>
      </c>
      <c r="I163" s="39">
        <f>I149*$I$84*I$115*(1+$F$87)</f>
        <v>11.756297800981498</v>
      </c>
      <c r="J163" s="39">
        <f>J149*$I$84*J$115*(1+$F$87)</f>
        <v>12.685045327259036</v>
      </c>
      <c r="K163" s="39">
        <f>K149*$I$84*K$115*(1+$F$87)</f>
        <v>13.687163908112499</v>
      </c>
      <c r="L163" s="39">
        <f>L149*$I$84*L$115*(1+$F$87)</f>
        <v>14.768449856853387</v>
      </c>
      <c r="M163" s="39">
        <f>M149*$I$84*M$115*(1+$F$87)</f>
        <v>15.935157395544804</v>
      </c>
      <c r="N163" s="39">
        <f>N149*$I$84*N$115*(1+$F$87)</f>
        <v>17.194034829792841</v>
      </c>
      <c r="O163" s="39">
        <f>O149*$I$84*O$115*(1+$F$87)</f>
        <v>18.552363581346476</v>
      </c>
      <c r="P163" s="3"/>
      <c r="Q163" s="3"/>
      <c r="R163" s="3"/>
      <c r="S163" s="3"/>
      <c r="T163" s="3"/>
      <c r="U163" s="3"/>
      <c r="V163" s="3"/>
      <c r="W163" s="3"/>
      <c r="X163" s="3"/>
      <c r="Y163" s="3"/>
      <c r="Z163" s="3"/>
    </row>
    <row r="164" spans="1:26" ht="12.75" x14ac:dyDescent="0.2">
      <c r="A164" s="3"/>
      <c r="B164" s="2"/>
      <c r="C164" s="393" t="s">
        <v>879</v>
      </c>
      <c r="D164" s="2"/>
      <c r="E164" s="2"/>
      <c r="F164" s="39">
        <f>F150*$I$84*F$115*(1+$F$87)</f>
        <v>0</v>
      </c>
      <c r="G164" s="39">
        <f>G150*$I$84*G$115*(1+$F$87)</f>
        <v>0</v>
      </c>
      <c r="H164" s="39">
        <f>H150*$I$84*H$115*(1+$F$87)</f>
        <v>0</v>
      </c>
      <c r="I164" s="39">
        <f>I150*$I$84*I$115*(1+$F$87)</f>
        <v>0</v>
      </c>
      <c r="J164" s="39">
        <f>J150*$I$84*J$115*(1+$F$87)</f>
        <v>0</v>
      </c>
      <c r="K164" s="39">
        <f>K150*$I$84*K$115*(1+$F$87)</f>
        <v>0</v>
      </c>
      <c r="L164" s="39">
        <f>L150*$I$84*L$115*(1+$F$87)</f>
        <v>0</v>
      </c>
      <c r="M164" s="39">
        <f>M150*$I$84*M$115*(1+$F$87)</f>
        <v>0</v>
      </c>
      <c r="N164" s="39">
        <f>N150*$I$84*N$115*(1+$F$87)</f>
        <v>0</v>
      </c>
      <c r="O164" s="39">
        <f>O150*$I$84*O$115*(1+$F$87)</f>
        <v>0</v>
      </c>
      <c r="P164" s="3"/>
      <c r="Q164" s="3"/>
      <c r="R164" s="3"/>
      <c r="S164" s="3"/>
      <c r="T164" s="3"/>
      <c r="U164" s="3"/>
      <c r="V164" s="3"/>
      <c r="W164" s="3"/>
      <c r="X164" s="3"/>
      <c r="Y164" s="3"/>
      <c r="Z164" s="3"/>
    </row>
    <row r="165" spans="1:26" ht="12.75" x14ac:dyDescent="0.2">
      <c r="A165" s="3"/>
      <c r="B165" s="2"/>
      <c r="C165" s="31" t="s">
        <v>201</v>
      </c>
      <c r="D165" s="60"/>
      <c r="E165" s="60"/>
      <c r="F165" s="61">
        <f t="shared" ref="F165:O165" si="27">F161-F162-F163-F164</f>
        <v>207.25957999999997</v>
      </c>
      <c r="G165" s="61">
        <f>G161-G162-G163-G164</f>
        <v>243.23632429199998</v>
      </c>
      <c r="H165" s="61">
        <f t="shared" si="27"/>
        <v>285.08858734139153</v>
      </c>
      <c r="I165" s="61">
        <f>I161-I162-I163-I164</f>
        <v>333.74060348573499</v>
      </c>
      <c r="J165" s="61">
        <f t="shared" si="27"/>
        <v>378.74566898552649</v>
      </c>
      <c r="K165" s="61">
        <f t="shared" si="27"/>
        <v>420.65217077599078</v>
      </c>
      <c r="L165" s="61">
        <f t="shared" si="27"/>
        <v>453.88369226729412</v>
      </c>
      <c r="M165" s="61">
        <f t="shared" si="27"/>
        <v>489.74050395641029</v>
      </c>
      <c r="N165" s="61">
        <f t="shared" si="27"/>
        <v>528.43000376896669</v>
      </c>
      <c r="O165" s="61">
        <f t="shared" si="27"/>
        <v>570.17597406671507</v>
      </c>
      <c r="P165" s="3"/>
      <c r="Q165" s="3"/>
      <c r="R165" s="3"/>
      <c r="S165" s="3"/>
      <c r="T165" s="3"/>
      <c r="U165" s="3"/>
      <c r="V165" s="3"/>
      <c r="W165" s="3"/>
      <c r="X165" s="3"/>
      <c r="Y165" s="3"/>
      <c r="Z165" s="3"/>
    </row>
    <row r="166" spans="1:26" ht="12.75" x14ac:dyDescent="0.2">
      <c r="A166" s="3"/>
      <c r="B166" s="3"/>
      <c r="C166" s="3"/>
      <c r="D166" s="3"/>
      <c r="E166" s="3"/>
      <c r="F166" s="28"/>
      <c r="G166" s="3"/>
      <c r="H166" s="3"/>
      <c r="I166" s="3"/>
      <c r="J166" s="3"/>
      <c r="K166" s="3"/>
      <c r="L166" s="3"/>
      <c r="M166" s="3"/>
      <c r="N166" s="3"/>
      <c r="O166" s="3"/>
      <c r="P166" s="3"/>
      <c r="Q166" s="3"/>
      <c r="R166" s="3"/>
      <c r="S166" s="3"/>
      <c r="T166" s="3"/>
      <c r="U166" s="3"/>
      <c r="V166" s="3"/>
      <c r="W166" s="3"/>
      <c r="X166" s="3"/>
      <c r="Y166" s="3"/>
      <c r="Z166" s="3"/>
    </row>
    <row r="167" spans="1:26" ht="12.75" x14ac:dyDescent="0.2">
      <c r="A167" s="4" t="s">
        <v>202</v>
      </c>
      <c r="B167" s="2"/>
      <c r="C167" s="2"/>
      <c r="D167" s="6" t="s">
        <v>174</v>
      </c>
      <c r="E167" s="21"/>
      <c r="F167" s="51">
        <v>0</v>
      </c>
      <c r="G167" s="51">
        <v>1</v>
      </c>
      <c r="H167" s="51">
        <v>2</v>
      </c>
      <c r="I167" s="51">
        <v>3</v>
      </c>
      <c r="J167" s="51">
        <v>4</v>
      </c>
      <c r="K167" s="51">
        <v>5</v>
      </c>
      <c r="L167" s="51">
        <v>6</v>
      </c>
      <c r="M167" s="51">
        <v>7</v>
      </c>
      <c r="N167" s="51">
        <v>8</v>
      </c>
      <c r="O167" s="51">
        <v>9</v>
      </c>
      <c r="P167" s="2"/>
      <c r="Q167" s="2"/>
      <c r="R167" s="2"/>
      <c r="S167" s="2"/>
      <c r="T167" s="2"/>
      <c r="U167" s="2"/>
      <c r="V167" s="2"/>
      <c r="W167" s="2"/>
      <c r="X167" s="2"/>
      <c r="Y167" s="2"/>
      <c r="Z167" s="2"/>
    </row>
    <row r="168" spans="1:26" ht="12.75" x14ac:dyDescent="0.2">
      <c r="A168" s="3"/>
      <c r="B168" s="32" t="s">
        <v>226</v>
      </c>
      <c r="C168" s="33"/>
      <c r="D168" s="33"/>
      <c r="E168" s="33"/>
      <c r="F168" s="33"/>
      <c r="G168" s="33"/>
      <c r="H168" s="33"/>
      <c r="I168" s="33"/>
      <c r="J168" s="33"/>
      <c r="K168" s="33"/>
      <c r="L168" s="33"/>
      <c r="M168" s="33"/>
      <c r="N168" s="33"/>
      <c r="O168" s="33"/>
      <c r="P168" s="3"/>
      <c r="Q168" s="3"/>
      <c r="R168" s="3"/>
      <c r="S168" s="3"/>
      <c r="T168" s="3"/>
      <c r="U168" s="3"/>
      <c r="V168" s="3"/>
      <c r="W168" s="3"/>
      <c r="X168" s="3"/>
      <c r="Y168" s="3"/>
      <c r="Z168" s="3"/>
    </row>
    <row r="169" spans="1:26" ht="12.75" x14ac:dyDescent="0.2">
      <c r="A169" s="3"/>
      <c r="B169" s="33"/>
      <c r="C169" s="34" t="s">
        <v>218</v>
      </c>
      <c r="D169" s="33"/>
      <c r="E169" s="33"/>
      <c r="F169" s="33"/>
      <c r="G169" s="33"/>
      <c r="H169" s="33"/>
      <c r="I169" s="33"/>
      <c r="J169" s="33"/>
      <c r="K169" s="33"/>
      <c r="L169" s="33"/>
      <c r="M169" s="33"/>
      <c r="N169" s="33"/>
      <c r="O169" s="33"/>
      <c r="P169" s="3"/>
      <c r="Q169" s="3"/>
      <c r="R169" s="3"/>
      <c r="S169" s="3"/>
      <c r="T169" s="3"/>
      <c r="U169" s="3"/>
      <c r="V169" s="3"/>
      <c r="W169" s="3"/>
      <c r="X169" s="3"/>
      <c r="Y169" s="3"/>
      <c r="Z169" s="3"/>
    </row>
    <row r="170" spans="1:26" ht="12.75" x14ac:dyDescent="0.2">
      <c r="A170" s="3"/>
      <c r="B170" s="33"/>
      <c r="C170" s="94" t="s">
        <v>272</v>
      </c>
      <c r="D170" s="33"/>
      <c r="E170" s="33"/>
      <c r="F170" s="39">
        <f>$F40*F$135*$F48*F$130*F$115/1000</f>
        <v>10.297000000000001</v>
      </c>
      <c r="G170" s="39">
        <f>$F40*G$135*$F48*G$130*G$115/1000</f>
        <v>11.110462999999999</v>
      </c>
      <c r="H170" s="39">
        <f>$F40*H$135*$F48*H$130*H$115/1000</f>
        <v>11.988189577</v>
      </c>
      <c r="I170" s="39">
        <f>$F40*I$135*$F48*I$130*I$115/1000</f>
        <v>12.935256553582999</v>
      </c>
      <c r="J170" s="39">
        <f>$F40*J$135*$F48*J$130*J$115/1000</f>
        <v>13.957141821316055</v>
      </c>
      <c r="K170" s="39">
        <f>$F40*K$135*$F48*K$130*K$115/1000</f>
        <v>15.059756025200024</v>
      </c>
      <c r="L170" s="39">
        <f>$F40*L$135*$F48*L$130*L$115/1000</f>
        <v>16.249476751190826</v>
      </c>
      <c r="M170" s="39">
        <f>$F40*M$135*$F48*M$130*M$115/1000</f>
        <v>17.533185414534898</v>
      </c>
      <c r="N170" s="39">
        <f>$F40*N$135*$F48*N$130*N$115/1000</f>
        <v>18.918307062283155</v>
      </c>
      <c r="O170" s="39">
        <f>$F40*O$135*$F48*O$130*O$115/1000</f>
        <v>20.412853320203524</v>
      </c>
      <c r="P170" s="3"/>
      <c r="Q170" s="3"/>
      <c r="R170" s="3"/>
      <c r="S170" s="3"/>
      <c r="T170" s="3"/>
      <c r="U170" s="3"/>
      <c r="V170" s="3"/>
      <c r="W170" s="3"/>
      <c r="X170" s="3"/>
      <c r="Y170" s="3"/>
      <c r="Z170" s="3"/>
    </row>
    <row r="171" spans="1:26" ht="12.75" x14ac:dyDescent="0.2">
      <c r="A171" s="3"/>
      <c r="B171" s="33"/>
      <c r="C171" s="94" t="s">
        <v>273</v>
      </c>
      <c r="D171" s="33"/>
      <c r="E171" s="33"/>
      <c r="F171" s="39">
        <f>$F41*F$135*$F49*F$130*F$115/1000</f>
        <v>4.9059999999999997</v>
      </c>
      <c r="G171" s="39">
        <f>$F41*G$135*$F49*G$130*G$115/1000</f>
        <v>5.2935739999999996</v>
      </c>
      <c r="H171" s="39">
        <f>$F41*H$135*$F49*H$130*H$115/1000</f>
        <v>5.7117663459999992</v>
      </c>
      <c r="I171" s="39">
        <f>$F41*I$135*$F49*I$130*I$115/1000</f>
        <v>6.1629958873339996</v>
      </c>
      <c r="J171" s="39">
        <f>$F41*J$135*$F49*J$130*J$115/1000</f>
        <v>6.6498725624333854</v>
      </c>
      <c r="K171" s="39">
        <f>$F41*K$135*$F49*K$130*K$115/1000</f>
        <v>7.1752124948656224</v>
      </c>
      <c r="L171" s="39">
        <f>$F41*L$135*$F49*L$130*L$115/1000</f>
        <v>7.7420542819600069</v>
      </c>
      <c r="M171" s="39">
        <f>$F41*M$135*$F49*M$130*M$115/1000</f>
        <v>8.3536765702348461</v>
      </c>
      <c r="N171" s="39">
        <f>$F41*N$135*$F49*N$130*N$115/1000</f>
        <v>9.0136170192833998</v>
      </c>
      <c r="O171" s="39">
        <f>$F41*O$135*$F49*O$130*O$115/1000</f>
        <v>9.7256927638067889</v>
      </c>
      <c r="P171" s="3"/>
      <c r="Q171" s="3"/>
      <c r="R171" s="3"/>
      <c r="S171" s="3"/>
      <c r="T171" s="3"/>
      <c r="U171" s="3"/>
      <c r="V171" s="3"/>
      <c r="W171" s="3"/>
      <c r="X171" s="3"/>
      <c r="Y171" s="3"/>
      <c r="Z171" s="3"/>
    </row>
    <row r="172" spans="1:26" ht="12.75" x14ac:dyDescent="0.2">
      <c r="A172" s="3"/>
      <c r="B172" s="33"/>
      <c r="C172" s="94" t="s">
        <v>274</v>
      </c>
      <c r="D172" s="33"/>
      <c r="E172" s="35"/>
      <c r="F172" s="39">
        <f>$F42*F$135*$F50*F$130*F$115/1000</f>
        <v>10.379099999999999</v>
      </c>
      <c r="G172" s="39">
        <f>$F42*G$135*$F50*G$130*G$115/1000</f>
        <v>11.199048899999998</v>
      </c>
      <c r="H172" s="39">
        <f>$F42*H$135*$F50*H$130*H$115/1000</f>
        <v>12.083773763099996</v>
      </c>
      <c r="I172" s="39">
        <f>$F42*I$135*$F50*I$130*I$115/1000</f>
        <v>13.038391890384897</v>
      </c>
      <c r="J172" s="39">
        <f>$F42*J$135*$F50*J$130*J$115/1000</f>
        <v>14.068424849725305</v>
      </c>
      <c r="K172" s="39">
        <f>$F42*K$135*$F50*K$130*K$115/1000</f>
        <v>15.179830412853603</v>
      </c>
      <c r="L172" s="39">
        <f>$F42*L$135*$F50*L$130*L$115/1000</f>
        <v>16.379037015469038</v>
      </c>
      <c r="M172" s="39">
        <f>$F42*M$135*$F50*M$130*M$115/1000</f>
        <v>17.67298093969109</v>
      </c>
      <c r="N172" s="39">
        <f>$F42*N$135*$F50*N$130*N$115/1000</f>
        <v>19.069146433926687</v>
      </c>
      <c r="O172" s="39">
        <f>$F42*O$135*$F50*O$130*O$115/1000</f>
        <v>20.575609002206892</v>
      </c>
      <c r="P172" s="3"/>
      <c r="Q172" s="3"/>
      <c r="R172" s="3"/>
      <c r="S172" s="3"/>
      <c r="T172" s="3"/>
      <c r="U172" s="3"/>
      <c r="V172" s="3"/>
      <c r="W172" s="3"/>
      <c r="X172" s="3"/>
      <c r="Y172" s="3"/>
      <c r="Z172" s="3"/>
    </row>
    <row r="173" spans="1:26" ht="12.75" x14ac:dyDescent="0.2">
      <c r="A173" s="3"/>
      <c r="B173" s="33"/>
      <c r="C173" s="94" t="s">
        <v>275</v>
      </c>
      <c r="D173" s="33"/>
      <c r="E173" s="35"/>
      <c r="F173" s="39">
        <f>$F43*F$135*$F51*F$130*F$115/1000</f>
        <v>11.868</v>
      </c>
      <c r="G173" s="39">
        <f>$F43*G$135*$F51*G$130*G$115/1000</f>
        <v>12.805572</v>
      </c>
      <c r="H173" s="39">
        <f>$F43*H$135*$F51*H$130*H$115/1000</f>
        <v>13.817212187999997</v>
      </c>
      <c r="I173" s="39">
        <f>$F43*I$135*$F51*I$130*I$115/1000</f>
        <v>14.908771950851998</v>
      </c>
      <c r="J173" s="39">
        <f>$F43*J$135*$F51*J$130*J$115/1000</f>
        <v>16.086564934969307</v>
      </c>
      <c r="K173" s="39">
        <f>$F43*K$135*$F51*K$130*K$115/1000</f>
        <v>17.357403564831881</v>
      </c>
      <c r="L173" s="39">
        <f>$F43*L$135*$F51*L$130*L$115/1000</f>
        <v>18.728638446453598</v>
      </c>
      <c r="M173" s="39">
        <f>$F43*M$135*$F51*M$130*M$115/1000</f>
        <v>20.208200883723432</v>
      </c>
      <c r="N173" s="39">
        <f>$F43*N$135*$F51*N$130*N$115/1000</f>
        <v>21.804648753537581</v>
      </c>
      <c r="O173" s="39">
        <f>$F43*O$135*$F51*O$130*O$115/1000</f>
        <v>23.527216005067054</v>
      </c>
      <c r="P173" s="3"/>
      <c r="Q173" s="3"/>
      <c r="R173" s="3"/>
      <c r="S173" s="3"/>
      <c r="T173" s="3"/>
      <c r="U173" s="3"/>
      <c r="V173" s="3"/>
      <c r="W173" s="3"/>
      <c r="X173" s="3"/>
      <c r="Y173" s="3"/>
      <c r="Z173" s="3"/>
    </row>
    <row r="174" spans="1:26" ht="12.75" x14ac:dyDescent="0.2">
      <c r="A174" s="3"/>
      <c r="B174" s="33"/>
      <c r="C174" s="84" t="s">
        <v>293</v>
      </c>
      <c r="D174" s="33"/>
      <c r="E174" s="35"/>
      <c r="F174" s="104">
        <f>$F44*F$135*$F52*F$130*F$115/1000</f>
        <v>11.7325</v>
      </c>
      <c r="G174" s="104">
        <f>$F44*G$135*$F52*G$130*G$115/1000</f>
        <v>12.6593675</v>
      </c>
      <c r="H174" s="104">
        <f>$F44*H$135*$F52*H$130*H$115/1000</f>
        <v>13.659457532499999</v>
      </c>
      <c r="I174" s="104">
        <f>$F44*I$135*$F52*I$130*I$115/1000</f>
        <v>14.7385546775675</v>
      </c>
      <c r="J174" s="104">
        <f>$F44*J$135*$F52*J$130*J$115/1000</f>
        <v>15.902900497095333</v>
      </c>
      <c r="K174" s="104">
        <f>$F44*K$135*$F52*K$130*K$115/1000</f>
        <v>17.159229636365861</v>
      </c>
      <c r="L174" s="104">
        <f>$F44*L$135*$F52*L$130*L$115/1000</f>
        <v>18.514808777638766</v>
      </c>
      <c r="M174" s="104">
        <f>$F44*M$135*$F52*M$130*M$115/1000</f>
        <v>19.977478671072227</v>
      </c>
      <c r="N174" s="104">
        <f>$F44*N$135*$F52*N$130*N$115/1000</f>
        <v>21.55569948608693</v>
      </c>
      <c r="O174" s="104">
        <f>$F44*O$135*$F52*O$130*O$115/1000</f>
        <v>23.258599745487796</v>
      </c>
      <c r="P174" s="3"/>
      <c r="Q174" s="3"/>
      <c r="R174" s="3"/>
      <c r="S174" s="3"/>
      <c r="T174" s="3"/>
      <c r="U174" s="3"/>
      <c r="V174" s="3"/>
      <c r="W174" s="3"/>
      <c r="X174" s="3"/>
      <c r="Y174" s="3"/>
      <c r="Z174" s="3"/>
    </row>
    <row r="175" spans="1:26" ht="12.75" x14ac:dyDescent="0.2">
      <c r="A175" s="3"/>
      <c r="B175" s="33"/>
      <c r="C175" s="94" t="s">
        <v>278</v>
      </c>
      <c r="D175" s="33"/>
      <c r="E175" s="35"/>
      <c r="F175" s="39">
        <f>$F45*F$135*$F53*F$130*F$115/1000</f>
        <v>60.950099999999999</v>
      </c>
      <c r="G175" s="39">
        <f>$F45*G$135*$F53*G$130*G$115/1000</f>
        <v>65.765157899999991</v>
      </c>
      <c r="H175" s="39">
        <f>$F45*H$135*$F53*H$130*H$115/1000</f>
        <v>70.960605374099998</v>
      </c>
      <c r="I175" s="39">
        <f>$F45*I$135*$F53*I$130*I$115/1000</f>
        <v>76.566493198653887</v>
      </c>
      <c r="J175" s="39">
        <f>$F45*J$135*$F53*J$130*J$115/1000</f>
        <v>82.615246161347542</v>
      </c>
      <c r="K175" s="39">
        <f>$F45*K$135*$F53*K$130*K$115/1000</f>
        <v>89.141850608094003</v>
      </c>
      <c r="L175" s="39">
        <f>$F45*L$135*$F53*L$130*L$115/1000</f>
        <v>96.184056806133427</v>
      </c>
      <c r="M175" s="39">
        <f>$F45*M$135*$F53*M$130*M$115/1000</f>
        <v>103.78259729381796</v>
      </c>
      <c r="N175" s="39">
        <f>$F45*N$135*$F53*N$130*N$115/1000</f>
        <v>111.98142248002958</v>
      </c>
      <c r="O175" s="39">
        <f>$F45*O$135*$F53*O$130*O$115/1000</f>
        <v>120.82795485595192</v>
      </c>
      <c r="P175" s="3"/>
      <c r="Q175" s="3"/>
      <c r="R175" s="3"/>
      <c r="S175" s="3"/>
      <c r="T175" s="3"/>
      <c r="U175" s="3"/>
      <c r="V175" s="3"/>
      <c r="W175" s="3"/>
      <c r="X175" s="3"/>
      <c r="Y175" s="3"/>
      <c r="Z175" s="3"/>
    </row>
    <row r="176" spans="1:26" ht="12.75" x14ac:dyDescent="0.2">
      <c r="A176" s="3"/>
      <c r="B176" s="33"/>
      <c r="C176" s="9" t="s">
        <v>85</v>
      </c>
      <c r="D176" s="33"/>
      <c r="E176" s="35"/>
      <c r="F176" s="39">
        <f>IF(F167&gt;($F$47-1),0,$F46*F$135*$F53*F$130*F$115/1000)</f>
        <v>0</v>
      </c>
      <c r="G176" s="39">
        <f>IF(G167&gt;($F$47-1),0,$F46*G$135*$F53*G$130*G$115/1000)</f>
        <v>0</v>
      </c>
      <c r="H176" s="39">
        <f>IF(H167&gt;($F$47-1),0,$F46*H$135*$F53*H$130*H$115/1000)</f>
        <v>0</v>
      </c>
      <c r="I176" s="39">
        <f>IF(I167&gt;($F$47-1),0,$F46*I$135*$F53*I$130*I$115/1000)</f>
        <v>0</v>
      </c>
      <c r="J176" s="39">
        <f>IF(J167&gt;($F$47-1),0,$F46*J$135*$F53*J$130*J$115/1000)</f>
        <v>0</v>
      </c>
      <c r="K176" s="39">
        <f>IF(K167&gt;($F$47-1),0,$F46*K$135*$F53*K$130*K$115/1000)</f>
        <v>0</v>
      </c>
      <c r="L176" s="39">
        <f>IF(L167&gt;($F$47-1),0,$F46*L$135*$F53*L$130*L$115/1000)</f>
        <v>0</v>
      </c>
      <c r="M176" s="39">
        <f>IF(M167&gt;($F$47-1),0,$F46*M$135*$F53*M$130*M$115/1000)</f>
        <v>0</v>
      </c>
      <c r="N176" s="39">
        <f>IF(N167&gt;($F$47-1),0,$F46*N$135*$F53*N$130*N$115/1000)</f>
        <v>0</v>
      </c>
      <c r="O176" s="39">
        <f>IF(O167&gt;($F$47-1),0,$F46*O$135*$F53*O$130*O$115/1000)</f>
        <v>0</v>
      </c>
      <c r="P176" s="3"/>
      <c r="Q176" s="3"/>
      <c r="R176" s="3"/>
      <c r="S176" s="3"/>
      <c r="T176" s="3"/>
      <c r="U176" s="3"/>
      <c r="V176" s="3"/>
      <c r="W176" s="3"/>
      <c r="X176" s="3"/>
      <c r="Y176" s="3"/>
      <c r="Z176" s="3"/>
    </row>
    <row r="177" spans="1:26" ht="12.75" x14ac:dyDescent="0.2">
      <c r="A177" s="3"/>
      <c r="B177" s="33"/>
      <c r="C177" s="31" t="s">
        <v>207</v>
      </c>
      <c r="D177" s="36"/>
      <c r="E177" s="36"/>
      <c r="F177" s="40">
        <f>SUM(F170:F176)</f>
        <v>110.1327</v>
      </c>
      <c r="G177" s="40">
        <f t="shared" ref="G177:O177" si="28">SUM(G170:G176)</f>
        <v>118.83318329999999</v>
      </c>
      <c r="H177" s="40">
        <f t="shared" si="28"/>
        <v>128.22100478069999</v>
      </c>
      <c r="I177" s="40">
        <f t="shared" si="28"/>
        <v>138.35046415837527</v>
      </c>
      <c r="J177" s="40">
        <f t="shared" si="28"/>
        <v>149.28015082688694</v>
      </c>
      <c r="K177" s="40">
        <f t="shared" si="28"/>
        <v>161.07328274221101</v>
      </c>
      <c r="L177" s="40">
        <f t="shared" si="28"/>
        <v>173.79807207884568</v>
      </c>
      <c r="M177" s="40">
        <f t="shared" si="28"/>
        <v>187.52811977307445</v>
      </c>
      <c r="N177" s="40">
        <f t="shared" si="28"/>
        <v>202.34284123514732</v>
      </c>
      <c r="O177" s="40">
        <f t="shared" si="28"/>
        <v>218.32792569272397</v>
      </c>
      <c r="P177" s="3"/>
      <c r="Q177" s="3"/>
      <c r="R177" s="3"/>
      <c r="S177" s="3"/>
      <c r="T177" s="3"/>
      <c r="U177" s="3"/>
      <c r="V177" s="3"/>
      <c r="W177" s="3"/>
      <c r="X177" s="3"/>
      <c r="Y177" s="3"/>
      <c r="Z177" s="3"/>
    </row>
    <row r="178" spans="1:26" ht="12.75" x14ac:dyDescent="0.2">
      <c r="A178" s="3"/>
      <c r="B178" s="33"/>
      <c r="C178" s="9"/>
      <c r="D178" s="33"/>
      <c r="E178" s="33"/>
      <c r="F178" s="41"/>
      <c r="G178" s="41"/>
      <c r="H178" s="41"/>
      <c r="I178" s="41"/>
      <c r="J178" s="41"/>
      <c r="K178" s="41"/>
      <c r="L178" s="41"/>
      <c r="M178" s="41"/>
      <c r="N178" s="41"/>
      <c r="O178" s="41"/>
      <c r="P178" s="3"/>
      <c r="Q178" s="3"/>
      <c r="R178" s="3"/>
      <c r="S178" s="3"/>
      <c r="T178" s="3"/>
      <c r="U178" s="3"/>
      <c r="V178" s="3"/>
      <c r="W178" s="3"/>
      <c r="X178" s="3"/>
      <c r="Y178" s="3"/>
      <c r="Z178" s="3"/>
    </row>
    <row r="179" spans="1:26" ht="12.75" x14ac:dyDescent="0.2">
      <c r="A179" s="3"/>
      <c r="B179" s="33"/>
      <c r="C179" s="34" t="s">
        <v>215</v>
      </c>
      <c r="D179" s="33"/>
      <c r="E179" s="33"/>
      <c r="F179" s="41"/>
      <c r="G179" s="41"/>
      <c r="H179" s="41"/>
      <c r="I179" s="41"/>
      <c r="J179" s="41"/>
      <c r="K179" s="41"/>
      <c r="L179" s="41"/>
      <c r="M179" s="41"/>
      <c r="N179" s="41"/>
      <c r="O179" s="41"/>
      <c r="P179" s="3"/>
      <c r="Q179" s="3"/>
      <c r="R179" s="3"/>
      <c r="S179" s="3"/>
      <c r="T179" s="3"/>
      <c r="U179" s="3"/>
      <c r="V179" s="3"/>
      <c r="W179" s="3"/>
      <c r="X179" s="3"/>
      <c r="Y179" s="3"/>
      <c r="Z179" s="3"/>
    </row>
    <row r="180" spans="1:26" ht="12.75" x14ac:dyDescent="0.2">
      <c r="A180" s="3"/>
      <c r="B180" s="33"/>
      <c r="C180" s="9" t="s">
        <v>110</v>
      </c>
      <c r="D180" s="33"/>
      <c r="E180" s="33"/>
      <c r="F180" s="104">
        <f>$F$57*F$135*F$115/1000</f>
        <v>2.6819999999999999</v>
      </c>
      <c r="G180" s="104">
        <f>$F$57*G$135*G$115/1000</f>
        <v>2.8938779999999995</v>
      </c>
      <c r="H180" s="104">
        <f>$F$57*H$135*H$115/1000</f>
        <v>3.1224943619999994</v>
      </c>
      <c r="I180" s="104">
        <f>$F$57*I$135*I$115/1000</f>
        <v>3.3691714165979998</v>
      </c>
      <c r="J180" s="104">
        <f>$F$57*J$135*J$115/1000</f>
        <v>3.6353359585092417</v>
      </c>
      <c r="K180" s="104">
        <f>$F$57*K$135*K$115/1000</f>
        <v>3.9225274992314718</v>
      </c>
      <c r="L180" s="104">
        <f>$F$57*L$135*L$115/1000</f>
        <v>4.2324071716707579</v>
      </c>
      <c r="M180" s="104">
        <f>$F$57*M$135*M$115/1000</f>
        <v>4.5667673382327472</v>
      </c>
      <c r="N180" s="104">
        <f>$F$57*N$135*N$115/1000</f>
        <v>4.9275419579531343</v>
      </c>
      <c r="O180" s="104">
        <f>$F$57*O$135*O$115/1000</f>
        <v>5.3168177726314312</v>
      </c>
      <c r="P180" s="3"/>
      <c r="Q180" s="3"/>
      <c r="R180" s="3"/>
      <c r="S180" s="3"/>
      <c r="T180" s="3"/>
      <c r="U180" s="3"/>
      <c r="V180" s="3"/>
      <c r="W180" s="3"/>
      <c r="X180" s="3"/>
      <c r="Y180" s="3"/>
      <c r="Z180" s="3"/>
    </row>
    <row r="181" spans="1:26" ht="12.75" x14ac:dyDescent="0.2">
      <c r="A181" s="3"/>
      <c r="B181" s="33"/>
      <c r="C181" s="84" t="s">
        <v>283</v>
      </c>
      <c r="D181" s="43"/>
      <c r="E181" s="43"/>
      <c r="F181" s="107">
        <f>($F$59+$F$59*(F$135-1)*($F$58))/1000*F$115</f>
        <v>2.4788235294117649</v>
      </c>
      <c r="G181" s="107">
        <f>($F$59+$F$59*(G$135-1)*($F$58))/1000*G$115</f>
        <v>2.674650588235294</v>
      </c>
      <c r="H181" s="107">
        <f>($F$59+$F$59*(H$135-1)*($F$58))/1000*H$115</f>
        <v>2.885947984705882</v>
      </c>
      <c r="I181" s="107">
        <f>($F$59+$F$59*(I$135-1)*($F$58))/1000*I$115</f>
        <v>3.1139378754976472</v>
      </c>
      <c r="J181" s="107">
        <f>($F$59+$F$59*(J$135-1)*($F$58))/1000*J$115</f>
        <v>3.3599389676619613</v>
      </c>
      <c r="K181" s="107">
        <f>($F$59+$F$59*(K$135-1)*($F$58))/1000*K$115</f>
        <v>3.6253741461072559</v>
      </c>
      <c r="L181" s="107">
        <f>($F$59+$F$59*(L$135-1)*($F$58))/1000*L$115</f>
        <v>3.9117787036497291</v>
      </c>
      <c r="M181" s="107">
        <f>($F$59+$F$59*(M$135-1)*($F$58))/1000*M$115</f>
        <v>4.2208092212380572</v>
      </c>
      <c r="N181" s="107">
        <f>($F$59+$F$59*(N$135-1)*($F$58))/1000*N$115</f>
        <v>4.5542531497158638</v>
      </c>
      <c r="O181" s="107">
        <f>($F$59+$F$59*(O$135-1)*($F$58))/1000*O$115</f>
        <v>4.9140391485434174</v>
      </c>
      <c r="P181" s="3"/>
      <c r="Q181" s="3"/>
      <c r="R181" s="3"/>
      <c r="S181" s="3"/>
      <c r="T181" s="3"/>
      <c r="U181" s="3"/>
      <c r="V181" s="3"/>
      <c r="W181" s="3"/>
      <c r="X181" s="3"/>
      <c r="Y181" s="3"/>
      <c r="Z181" s="3"/>
    </row>
    <row r="182" spans="1:26" ht="12.75" x14ac:dyDescent="0.2">
      <c r="A182" s="3"/>
      <c r="B182" s="33"/>
      <c r="C182" s="31" t="s">
        <v>216</v>
      </c>
      <c r="D182" s="36"/>
      <c r="E182" s="36"/>
      <c r="F182" s="40">
        <f>SUM(F180:F181)</f>
        <v>5.1608235294117648</v>
      </c>
      <c r="G182" s="40">
        <f t="shared" ref="G182:O182" si="29">SUM(G180:G181)</f>
        <v>5.568528588235294</v>
      </c>
      <c r="H182" s="40">
        <f t="shared" si="29"/>
        <v>6.0084423467058814</v>
      </c>
      <c r="I182" s="40">
        <f t="shared" si="29"/>
        <v>6.483109292095647</v>
      </c>
      <c r="J182" s="40">
        <f t="shared" si="29"/>
        <v>6.9952749261712031</v>
      </c>
      <c r="K182" s="40">
        <f t="shared" si="29"/>
        <v>7.5479016453387278</v>
      </c>
      <c r="L182" s="40">
        <f t="shared" si="29"/>
        <v>8.1441858753204865</v>
      </c>
      <c r="M182" s="40">
        <f t="shared" si="29"/>
        <v>8.7875765594708035</v>
      </c>
      <c r="N182" s="40">
        <f t="shared" si="29"/>
        <v>9.4817951076689972</v>
      </c>
      <c r="O182" s="40">
        <f t="shared" si="29"/>
        <v>10.230856921174848</v>
      </c>
      <c r="P182" s="3"/>
      <c r="Q182" s="3"/>
      <c r="R182" s="3"/>
      <c r="S182" s="3"/>
      <c r="T182" s="3"/>
      <c r="U182" s="3"/>
      <c r="V182" s="3"/>
      <c r="W182" s="3"/>
      <c r="X182" s="3"/>
      <c r="Y182" s="3"/>
      <c r="Z182" s="3"/>
    </row>
    <row r="183" spans="1:26" ht="12.75" x14ac:dyDescent="0.2">
      <c r="A183" s="3"/>
      <c r="B183" s="33"/>
      <c r="C183" s="35"/>
      <c r="D183" s="33"/>
      <c r="E183" s="33"/>
      <c r="F183" s="41"/>
      <c r="G183" s="41"/>
      <c r="H183" s="41"/>
      <c r="I183" s="41"/>
      <c r="J183" s="41"/>
      <c r="K183" s="41"/>
      <c r="L183" s="41"/>
      <c r="M183" s="41"/>
      <c r="N183" s="41"/>
      <c r="O183" s="41"/>
      <c r="P183" s="3"/>
      <c r="Q183" s="3"/>
      <c r="R183" s="3"/>
      <c r="S183" s="3"/>
      <c r="T183" s="3"/>
      <c r="U183" s="3"/>
      <c r="V183" s="3"/>
      <c r="W183" s="3"/>
      <c r="X183" s="3"/>
      <c r="Y183" s="3"/>
      <c r="Z183" s="3"/>
    </row>
    <row r="184" spans="1:26" ht="12.75" x14ac:dyDescent="0.2">
      <c r="A184" s="3"/>
      <c r="B184" s="33"/>
      <c r="C184" s="34" t="s">
        <v>219</v>
      </c>
      <c r="D184" s="33"/>
      <c r="E184" s="33"/>
      <c r="F184" s="41"/>
      <c r="G184" s="41"/>
      <c r="H184" s="41"/>
      <c r="I184" s="41"/>
      <c r="J184" s="41"/>
      <c r="K184" s="41"/>
      <c r="L184" s="41"/>
      <c r="M184" s="41"/>
      <c r="N184" s="41"/>
      <c r="O184" s="41"/>
      <c r="P184" s="3"/>
      <c r="Q184" s="3"/>
      <c r="R184" s="3"/>
      <c r="S184" s="3"/>
      <c r="T184" s="3"/>
      <c r="U184" s="3"/>
      <c r="V184" s="3"/>
      <c r="W184" s="3"/>
      <c r="X184" s="3"/>
      <c r="Y184" s="3"/>
      <c r="Z184" s="3"/>
    </row>
    <row r="185" spans="1:26" ht="12.75" x14ac:dyDescent="0.2">
      <c r="A185" s="3"/>
      <c r="B185" s="33"/>
      <c r="C185" s="9" t="s">
        <v>92</v>
      </c>
      <c r="D185" s="33"/>
      <c r="E185" s="33"/>
      <c r="F185" s="39">
        <f>F157*(1+$F$77)</f>
        <v>4.8311999999999999</v>
      </c>
      <c r="G185" s="39">
        <f>G157*(1+$F$77)</f>
        <v>5.2128647999999993</v>
      </c>
      <c r="H185" s="39">
        <f>H157*(1+$F$77)</f>
        <v>5.624681119199999</v>
      </c>
      <c r="I185" s="39">
        <f>I157*(1+$F$77)</f>
        <v>6.0690309276167991</v>
      </c>
      <c r="J185" s="39">
        <f>J157*(1+$F$77)</f>
        <v>6.5484843708985263</v>
      </c>
      <c r="K185" s="39">
        <f>K157*(1+$F$77)</f>
        <v>7.0658146361995096</v>
      </c>
      <c r="L185" s="39">
        <f>L157*(1+$F$77)</f>
        <v>7.6240139924592709</v>
      </c>
      <c r="M185" s="39">
        <f>M157*(1+$F$77)</f>
        <v>8.2263110978635527</v>
      </c>
      <c r="N185" s="39">
        <f>N157*(1+$F$77)</f>
        <v>8.876189674594773</v>
      </c>
      <c r="O185" s="39">
        <f>O157*(1+$F$77)</f>
        <v>9.5774086588877605</v>
      </c>
      <c r="P185" s="3"/>
      <c r="Q185" s="3"/>
      <c r="R185" s="3"/>
      <c r="S185" s="3"/>
      <c r="T185" s="3"/>
      <c r="U185" s="3"/>
      <c r="V185" s="3"/>
      <c r="W185" s="3"/>
      <c r="X185" s="3"/>
      <c r="Y185" s="3"/>
      <c r="Z185" s="3"/>
    </row>
    <row r="186" spans="1:26" ht="12.75" x14ac:dyDescent="0.2">
      <c r="A186" s="3"/>
      <c r="B186" s="33"/>
      <c r="C186" s="9" t="s">
        <v>96</v>
      </c>
      <c r="D186" s="33"/>
      <c r="E186" s="33"/>
      <c r="F186" s="39">
        <f>$F63*F$135*$F71/1000*F$115*F$132*(1+$F$77)</f>
        <v>0</v>
      </c>
      <c r="G186" s="39">
        <f>$F63*G$135*$F71/1000*G$115*G$132*(1+$F$77)</f>
        <v>0</v>
      </c>
      <c r="H186" s="39">
        <f>$F63*H$135*$F71/1000*H$115*H$132*(1+$F$77)</f>
        <v>0</v>
      </c>
      <c r="I186" s="39">
        <f>$F63*I$135*$F71/1000*I$115*I$132*(1+$F$77)</f>
        <v>0</v>
      </c>
      <c r="J186" s="39">
        <f>$F63*J$135*$F71/1000*J$115*J$132*(1+$F$77)</f>
        <v>0</v>
      </c>
      <c r="K186" s="39">
        <f>$F63*K$135*$F71/1000*K$115*K$132*(1+$F$77)</f>
        <v>0</v>
      </c>
      <c r="L186" s="39">
        <f>$F63*L$135*$F71/1000*L$115*L$132*(1+$F$77)</f>
        <v>0</v>
      </c>
      <c r="M186" s="39">
        <f>$F63*M$135*$F71/1000*M$115*M$132*(1+$F$77)</f>
        <v>0</v>
      </c>
      <c r="N186" s="39">
        <f>$F63*N$135*$F71/1000*N$115*N$132*(1+$F$77)</f>
        <v>0</v>
      </c>
      <c r="O186" s="39">
        <f>$F63*O$135*$F71/1000*O$115*O$132*(1+$F$77)</f>
        <v>0</v>
      </c>
      <c r="P186" s="3"/>
      <c r="Q186" s="3"/>
      <c r="R186" s="3"/>
      <c r="S186" s="3"/>
      <c r="T186" s="3"/>
      <c r="U186" s="3"/>
      <c r="V186" s="3"/>
      <c r="W186" s="3"/>
      <c r="X186" s="3"/>
      <c r="Y186" s="3"/>
      <c r="Z186" s="3"/>
    </row>
    <row r="187" spans="1:26" ht="12.75" x14ac:dyDescent="0.2">
      <c r="A187" s="3"/>
      <c r="B187" s="33"/>
      <c r="C187" s="9" t="s">
        <v>99</v>
      </c>
      <c r="D187" s="33"/>
      <c r="E187" s="33"/>
      <c r="F187" s="39">
        <f>$F64*F$135*$F72/1000*F$122*(1+$F$77)*F117</f>
        <v>4.7577079999999992</v>
      </c>
      <c r="G187" s="39">
        <f>$F64*G$135*$F72/1000*G$122*(1+$F$77)*G117</f>
        <v>5.133566931999999</v>
      </c>
      <c r="H187" s="39">
        <f>$F64*H$135*$F72/1000*H$122*(1+$F$77)*H117</f>
        <v>5.5391187196279983</v>
      </c>
      <c r="I187" s="39">
        <f>$F64*I$135*$F72/1000*I$122*(1+$F$77)*I117</f>
        <v>5.9767090984786106</v>
      </c>
      <c r="J187" s="39">
        <f>$F64*J$135*$F72/1000*J$122*(1+$F$77)*J117</f>
        <v>6.4488691172584209</v>
      </c>
      <c r="K187" s="39">
        <f>$F64*K$135*$F72/1000*K$122*(1+$F$77)*K117</f>
        <v>6.9583297775218362</v>
      </c>
      <c r="L187" s="39">
        <f>$F64*L$135*$F72/1000*L$122*(1+$F$77)*L117</f>
        <v>7.5080378299460602</v>
      </c>
      <c r="M187" s="39">
        <f>$F64*M$135*$F72/1000*M$122*(1+$F$77)*M117</f>
        <v>8.1011728185118006</v>
      </c>
      <c r="N187" s="39">
        <f>$F64*N$135*$F72/1000*N$122*(1+$F$77)*N117</f>
        <v>8.7411654711742308</v>
      </c>
      <c r="O187" s="39">
        <f>$F64*O$135*$F72/1000*O$122*(1+$F$77)*O117</f>
        <v>9.4317175433969958</v>
      </c>
      <c r="P187" s="3"/>
      <c r="Q187" s="3"/>
      <c r="R187" s="3"/>
      <c r="S187" s="3"/>
      <c r="T187" s="3"/>
      <c r="U187" s="3"/>
      <c r="V187" s="3"/>
      <c r="W187" s="3"/>
      <c r="X187" s="3"/>
      <c r="Y187" s="3"/>
      <c r="Z187" s="3"/>
    </row>
    <row r="188" spans="1:26" ht="12.75" x14ac:dyDescent="0.2">
      <c r="A188" s="3"/>
      <c r="B188" s="33"/>
      <c r="C188" s="9" t="s">
        <v>102</v>
      </c>
      <c r="D188" s="33"/>
      <c r="E188" s="33"/>
      <c r="F188" s="39">
        <f>$F65*F$135*$F73/1000*F$122*(1+$F$77)*F117</f>
        <v>0</v>
      </c>
      <c r="G188" s="39">
        <f>$F65*G$135*$F73/1000*G$122*(1+$F$77)*G117</f>
        <v>0</v>
      </c>
      <c r="H188" s="39">
        <f>$F65*H$135*$F73/1000*H$122*(1+$F$77)*H117</f>
        <v>0</v>
      </c>
      <c r="I188" s="39">
        <f>$F65*I$135*$F73/1000*I$122*(1+$F$77)*I117</f>
        <v>0</v>
      </c>
      <c r="J188" s="39">
        <f>$F65*J$135*$F73/1000*J$122*(1+$F$77)*J117</f>
        <v>0</v>
      </c>
      <c r="K188" s="39">
        <f>$F65*K$135*$F73/1000*K$122*(1+$F$77)*K117</f>
        <v>0</v>
      </c>
      <c r="L188" s="39">
        <f>$F65*L$135*$F73/1000*L$122*(1+$F$77)*L117</f>
        <v>0</v>
      </c>
      <c r="M188" s="39">
        <f>$F65*M$135*$F73/1000*M$122*(1+$F$77)*M117</f>
        <v>0</v>
      </c>
      <c r="N188" s="39">
        <f>$F65*N$135*$F73/1000*N$122*(1+$F$77)*N117</f>
        <v>0</v>
      </c>
      <c r="O188" s="39">
        <f>$F65*O$135*$F73/1000*O$122*(1+$F$77)*O117</f>
        <v>0</v>
      </c>
      <c r="P188" s="3"/>
      <c r="Q188" s="3"/>
      <c r="R188" s="3"/>
      <c r="S188" s="3"/>
      <c r="T188" s="3"/>
      <c r="U188" s="3"/>
      <c r="V188" s="3"/>
      <c r="W188" s="3"/>
      <c r="X188" s="3"/>
      <c r="Y188" s="3"/>
      <c r="Z188" s="3"/>
    </row>
    <row r="189" spans="1:26" ht="12.75" x14ac:dyDescent="0.2">
      <c r="A189" s="3"/>
      <c r="B189" s="33"/>
      <c r="C189" s="9" t="s">
        <v>105</v>
      </c>
      <c r="D189" s="33"/>
      <c r="E189" s="33"/>
      <c r="F189" s="39">
        <f>$F66*F$135*$F74/1000*F$122*(1+$F$77)*F117</f>
        <v>1.6</v>
      </c>
      <c r="G189" s="39">
        <f>$F66*G$135*$F74/1000*G$122*(1+$F$77)*G117</f>
        <v>1.7263999999999997</v>
      </c>
      <c r="H189" s="39">
        <f>$F66*H$135*$F74/1000*H$122*(1+$F$77)*H117</f>
        <v>1.8627855999999996</v>
      </c>
      <c r="I189" s="39">
        <f>$F66*I$135*$F74/1000*I$122*(1+$F$77)*I117</f>
        <v>2.0099456623999998</v>
      </c>
      <c r="J189" s="39">
        <f>$F66*J$135*$F74/1000*J$122*(1+$F$77)*J117</f>
        <v>2.1687313697295996</v>
      </c>
      <c r="K189" s="39">
        <f>$F66*K$135*$F74/1000*K$122*(1+$F$77)*K117</f>
        <v>2.3400611479382381</v>
      </c>
      <c r="L189" s="39">
        <f>$F66*L$135*$F74/1000*L$122*(1+$F$77)*L117</f>
        <v>2.5249259786253586</v>
      </c>
      <c r="M189" s="39">
        <f>$F66*M$135*$F74/1000*M$122*(1+$F$77)*M117</f>
        <v>2.7243951309367622</v>
      </c>
      <c r="N189" s="39">
        <f>$F66*N$135*$F74/1000*N$122*(1+$F$77)*N117</f>
        <v>2.9396223462807662</v>
      </c>
      <c r="O189" s="39">
        <f>$F66*O$135*$F74/1000*O$122*(1+$F$77)*O117</f>
        <v>3.1718525116369465</v>
      </c>
      <c r="P189" s="3"/>
      <c r="Q189" s="3"/>
      <c r="R189" s="3"/>
      <c r="S189" s="3"/>
      <c r="T189" s="3"/>
      <c r="U189" s="3"/>
      <c r="V189" s="3"/>
      <c r="W189" s="3"/>
      <c r="X189" s="3"/>
      <c r="Y189" s="3"/>
      <c r="Z189" s="3"/>
    </row>
    <row r="190" spans="1:26" ht="12.75" x14ac:dyDescent="0.2">
      <c r="A190" s="3"/>
      <c r="B190" s="33"/>
      <c r="C190" s="9" t="s">
        <v>108</v>
      </c>
      <c r="D190" s="33"/>
      <c r="E190" s="33"/>
      <c r="F190" s="39">
        <f>ROUNDUP(F144*1000/$F$67,0)*$F75/1000*F$115</f>
        <v>3.7</v>
      </c>
      <c r="G190" s="39">
        <f>ROUNDUP(G144*1000/$F$67,0)*$F75/1000*G$115</f>
        <v>3.9923000000000002</v>
      </c>
      <c r="H190" s="39">
        <f>ROUNDUP(H144*1000/$F$67,0)*$F75/1000*H$115</f>
        <v>4.4241157999999992</v>
      </c>
      <c r="I190" s="39">
        <f>ROUNDUP(I144*1000/$F$67,0)*$F75/1000*I$115</f>
        <v>4.7736209481999996</v>
      </c>
      <c r="J190" s="39">
        <f>ROUNDUP(J144*1000/$F$67,0)*$F75/1000*J$115</f>
        <v>5.2862827137158996</v>
      </c>
      <c r="K190" s="39">
        <f>ROUNDUP(K144*1000/$F$67,0)*$F75/1000*K$115</f>
        <v>5.7038990480994549</v>
      </c>
      <c r="L190" s="39">
        <f>ROUNDUP(L144*1000/$F$67,0)*$F75/1000*L$115</f>
        <v>6.1545070728993121</v>
      </c>
      <c r="M190" s="39">
        <f>ROUNDUP(M144*1000/$F$67,0)*$F75/1000*M$115</f>
        <v>6.8109878273419051</v>
      </c>
      <c r="N190" s="39">
        <f>ROUNDUP(N144*1000/$F$67,0)*$F75/1000*N$115</f>
        <v>7.3490558657019154</v>
      </c>
      <c r="O190" s="39">
        <f>ROUNDUP(O144*1000/$F$67,0)*$F75/1000*O$115</f>
        <v>8.1278720610696755</v>
      </c>
      <c r="P190" s="3"/>
      <c r="Q190" s="3"/>
      <c r="R190" s="3"/>
      <c r="S190" s="3"/>
      <c r="T190" s="3"/>
      <c r="U190" s="3"/>
      <c r="V190" s="3"/>
      <c r="W190" s="3"/>
      <c r="X190" s="3"/>
      <c r="Y190" s="3"/>
      <c r="Z190" s="3"/>
    </row>
    <row r="191" spans="1:26" ht="12.75" x14ac:dyDescent="0.2">
      <c r="A191" s="3"/>
      <c r="B191" s="33"/>
      <c r="C191" s="36" t="s">
        <v>217</v>
      </c>
      <c r="D191" s="36"/>
      <c r="E191" s="36"/>
      <c r="F191" s="48">
        <f t="shared" ref="F191:O191" si="30">SUM(F185:F190)</f>
        <v>14.888908000000001</v>
      </c>
      <c r="G191" s="48">
        <f t="shared" si="30"/>
        <v>16.065131731999998</v>
      </c>
      <c r="H191" s="48">
        <f t="shared" si="30"/>
        <v>17.450701238827996</v>
      </c>
      <c r="I191" s="48">
        <f t="shared" si="30"/>
        <v>18.829306636695406</v>
      </c>
      <c r="J191" s="48">
        <f t="shared" si="30"/>
        <v>20.452367571602444</v>
      </c>
      <c r="K191" s="48">
        <f t="shared" si="30"/>
        <v>22.068104609759036</v>
      </c>
      <c r="L191" s="48">
        <f t="shared" si="30"/>
        <v>23.811484873929999</v>
      </c>
      <c r="M191" s="48">
        <f t="shared" si="30"/>
        <v>25.862866874654021</v>
      </c>
      <c r="N191" s="48">
        <f t="shared" si="30"/>
        <v>27.906033357751689</v>
      </c>
      <c r="O191" s="48">
        <f t="shared" si="30"/>
        <v>30.308850774991377</v>
      </c>
      <c r="P191" s="3"/>
      <c r="Q191" s="3"/>
      <c r="R191" s="3"/>
      <c r="S191" s="3"/>
      <c r="T191" s="3"/>
      <c r="U191" s="3"/>
      <c r="V191" s="3"/>
      <c r="W191" s="3"/>
      <c r="X191" s="3"/>
      <c r="Y191" s="3"/>
      <c r="Z191" s="3"/>
    </row>
    <row r="192" spans="1:26" ht="12.75" x14ac:dyDescent="0.2">
      <c r="A192" s="3"/>
      <c r="B192" s="33"/>
      <c r="C192" s="62"/>
      <c r="D192" s="62"/>
      <c r="E192" s="62"/>
      <c r="F192" s="103"/>
      <c r="G192" s="103"/>
      <c r="H192" s="103"/>
      <c r="I192" s="103"/>
      <c r="J192" s="103"/>
      <c r="K192" s="103"/>
      <c r="L192" s="103"/>
      <c r="M192" s="103"/>
      <c r="N192" s="103"/>
      <c r="O192" s="103"/>
      <c r="P192" s="3"/>
      <c r="Q192" s="3"/>
      <c r="R192" s="3"/>
      <c r="S192" s="3"/>
      <c r="T192" s="3"/>
      <c r="U192" s="3"/>
      <c r="V192" s="3"/>
      <c r="W192" s="3"/>
      <c r="X192" s="3"/>
      <c r="Y192" s="3"/>
      <c r="Z192" s="3"/>
    </row>
    <row r="193" spans="1:26" ht="12.75" x14ac:dyDescent="0.2">
      <c r="A193" s="3"/>
      <c r="B193" s="33"/>
      <c r="C193" s="34" t="s">
        <v>287</v>
      </c>
      <c r="D193" s="62"/>
      <c r="E193" s="62"/>
      <c r="F193" s="103"/>
      <c r="G193" s="103"/>
      <c r="H193" s="103"/>
      <c r="I193" s="103"/>
      <c r="J193" s="103"/>
      <c r="K193" s="103"/>
      <c r="L193" s="103"/>
      <c r="M193" s="103"/>
      <c r="N193" s="103"/>
      <c r="O193" s="103"/>
      <c r="P193" s="3"/>
      <c r="Q193" s="3"/>
      <c r="R193" s="3"/>
      <c r="S193" s="3"/>
      <c r="T193" s="3"/>
      <c r="U193" s="3"/>
      <c r="V193" s="3"/>
      <c r="W193" s="3"/>
      <c r="X193" s="3"/>
      <c r="Y193" s="3"/>
      <c r="Z193" s="3"/>
    </row>
    <row r="194" spans="1:26" ht="12.75" x14ac:dyDescent="0.2">
      <c r="A194" s="3"/>
      <c r="B194" s="33"/>
      <c r="C194" s="27" t="s">
        <v>282</v>
      </c>
      <c r="D194" s="33"/>
      <c r="E194" s="33"/>
      <c r="F194" s="106">
        <f>$F80*F$115/1000*F$144</f>
        <v>3.6497999999999999E-3</v>
      </c>
      <c r="G194" s="106">
        <f>$F80*G$115/1000*G$144</f>
        <v>3.9812834099999996E-3</v>
      </c>
      <c r="H194" s="106">
        <f>$F80*H$115/1000*H$144</f>
        <v>4.3428283769558996E-3</v>
      </c>
      <c r="I194" s="106">
        <f>$F80*I$115/1000*I$144</f>
        <v>4.7371576433309576E-3</v>
      </c>
      <c r="J194" s="106">
        <f>$F80*J$115/1000*J$144</f>
        <v>5.1672402843400793E-3</v>
      </c>
      <c r="K194" s="106">
        <f>$F80*K$115/1000*K$144</f>
        <v>5.6363139729263502E-3</v>
      </c>
      <c r="L194" s="106">
        <f>$F80*L$115/1000*L$144</f>
        <v>6.1479092555037571E-3</v>
      </c>
      <c r="M194" s="106">
        <f>$F80*M$115/1000*M$144</f>
        <v>6.7058760199287075E-3</v>
      </c>
      <c r="N194" s="106">
        <f>$F80*N$115/1000*N$144</f>
        <v>7.3144123535288652E-3</v>
      </c>
      <c r="O194" s="106">
        <f>$F80*O$115/1000*O$144</f>
        <v>7.9780960068588681E-3</v>
      </c>
      <c r="P194" s="3"/>
      <c r="Q194" s="3"/>
      <c r="R194" s="3"/>
      <c r="S194" s="3"/>
      <c r="T194" s="3"/>
      <c r="U194" s="3"/>
      <c r="V194" s="3"/>
      <c r="W194" s="3"/>
      <c r="X194" s="3"/>
      <c r="Y194" s="3"/>
      <c r="Z194" s="3"/>
    </row>
    <row r="195" spans="1:26" ht="12.75" x14ac:dyDescent="0.2">
      <c r="A195" s="3"/>
      <c r="B195" s="33"/>
      <c r="C195" s="27" t="s">
        <v>284</v>
      </c>
      <c r="D195" s="33"/>
      <c r="E195" s="33"/>
      <c r="F195" s="107">
        <f>$F81*F$115/1000*(F$144+F$142+F$143)</f>
        <v>0.7662065359477126</v>
      </c>
      <c r="G195" s="107">
        <f>$F81*G$115/1000*(G$144+G$142+G$143)</f>
        <v>0.83500422081045766</v>
      </c>
      <c r="H195" s="107">
        <f>$F81*H$115/1000*(H$144+H$142+H$143)</f>
        <v>0.9099792497970286</v>
      </c>
      <c r="I195" s="107">
        <f>$F81*I$115/1000*(I$144+I$142+I$143)</f>
        <v>0.99168628663630365</v>
      </c>
      <c r="J195" s="107">
        <f>$F81*J$115/1000*(J$144+J$142+J$143)</f>
        <v>1.0807297983133775</v>
      </c>
      <c r="K195" s="107">
        <f>$F81*K$115/1000*(K$144+K$142+K$143)</f>
        <v>1.1777685269039355</v>
      </c>
      <c r="L195" s="107">
        <f>$F81*L$115/1000*(L$144+L$142+L$143)</f>
        <v>1.2835203629346399</v>
      </c>
      <c r="M195" s="107">
        <f>$F81*M$115/1000*(M$144+M$142+M$143)</f>
        <v>1.3987676563225409</v>
      </c>
      <c r="N195" s="107">
        <f>$F81*N$115/1000*(N$144+N$142+N$143)</f>
        <v>1.5243630041837419</v>
      </c>
      <c r="O195" s="107">
        <f>$F81*O$115/1000*(O$144+O$142+O$143)</f>
        <v>1.6612355583294003</v>
      </c>
      <c r="P195" s="3"/>
      <c r="Q195" s="3"/>
      <c r="R195" s="3"/>
      <c r="S195" s="3"/>
      <c r="T195" s="3"/>
      <c r="U195" s="3"/>
      <c r="V195" s="3"/>
      <c r="W195" s="3"/>
      <c r="X195" s="3"/>
      <c r="Y195" s="3"/>
      <c r="Z195" s="3"/>
    </row>
    <row r="196" spans="1:26" ht="12.75" x14ac:dyDescent="0.2">
      <c r="A196" s="3"/>
      <c r="B196" s="33"/>
      <c r="C196" s="31" t="s">
        <v>289</v>
      </c>
      <c r="D196" s="36"/>
      <c r="E196" s="36"/>
      <c r="F196" s="40">
        <f t="shared" ref="F196:O196" si="31">SUM(F194:F195)</f>
        <v>0.76985633594771263</v>
      </c>
      <c r="G196" s="40">
        <f t="shared" si="31"/>
        <v>0.8389855042204577</v>
      </c>
      <c r="H196" s="40">
        <f t="shared" si="31"/>
        <v>0.91432207817398448</v>
      </c>
      <c r="I196" s="40">
        <f t="shared" si="31"/>
        <v>0.99642344427963458</v>
      </c>
      <c r="J196" s="40">
        <f t="shared" si="31"/>
        <v>1.0858970385977176</v>
      </c>
      <c r="K196" s="40">
        <f t="shared" si="31"/>
        <v>1.1834048408768618</v>
      </c>
      <c r="L196" s="40">
        <f t="shared" si="31"/>
        <v>1.2896682721901436</v>
      </c>
      <c r="M196" s="40">
        <f t="shared" si="31"/>
        <v>1.4054735323424696</v>
      </c>
      <c r="N196" s="40">
        <f t="shared" si="31"/>
        <v>1.5316774165372709</v>
      </c>
      <c r="O196" s="40">
        <f t="shared" si="31"/>
        <v>1.6692136543362592</v>
      </c>
      <c r="P196" s="3"/>
      <c r="Q196" s="3"/>
      <c r="R196" s="3"/>
      <c r="S196" s="3"/>
      <c r="T196" s="3"/>
      <c r="U196" s="3"/>
      <c r="V196" s="3"/>
      <c r="W196" s="3"/>
      <c r="X196" s="3"/>
      <c r="Y196" s="3"/>
      <c r="Z196" s="3"/>
    </row>
    <row r="197" spans="1:26" ht="12.75" x14ac:dyDescent="0.2">
      <c r="A197" s="3"/>
      <c r="B197" s="3"/>
      <c r="C197" s="3"/>
      <c r="D197" s="3"/>
      <c r="E197" s="3"/>
      <c r="F197" s="28"/>
      <c r="G197" s="3"/>
      <c r="H197" s="3"/>
      <c r="I197" s="3"/>
      <c r="J197" s="3"/>
      <c r="K197" s="3"/>
      <c r="L197" s="3"/>
      <c r="M197" s="3"/>
      <c r="N197" s="3"/>
      <c r="O197" s="3"/>
      <c r="P197" s="3"/>
      <c r="Q197" s="3"/>
      <c r="R197" s="3"/>
      <c r="S197" s="3"/>
      <c r="T197" s="3"/>
      <c r="U197" s="3"/>
      <c r="V197" s="3"/>
      <c r="W197" s="3"/>
      <c r="X197" s="3"/>
      <c r="Y197" s="3"/>
      <c r="Z197" s="3"/>
    </row>
    <row r="198" spans="1:26" ht="12.75" x14ac:dyDescent="0.2">
      <c r="A198" s="3"/>
      <c r="B198" s="32" t="s">
        <v>227</v>
      </c>
      <c r="C198" s="33"/>
      <c r="D198" s="33"/>
      <c r="E198" s="33"/>
      <c r="F198" s="33"/>
      <c r="G198" s="33"/>
      <c r="H198" s="33"/>
      <c r="I198" s="33"/>
      <c r="J198" s="33"/>
      <c r="K198" s="33"/>
      <c r="L198" s="33"/>
      <c r="M198" s="33"/>
      <c r="N198" s="33"/>
      <c r="O198" s="33"/>
      <c r="P198" s="3"/>
      <c r="Q198" s="3"/>
      <c r="R198" s="3"/>
      <c r="S198" s="3"/>
      <c r="T198" s="3"/>
      <c r="U198" s="3"/>
      <c r="V198" s="3"/>
      <c r="W198" s="3"/>
      <c r="X198" s="3"/>
      <c r="Y198" s="3"/>
      <c r="Z198" s="3"/>
    </row>
    <row r="199" spans="1:26" ht="12.75" x14ac:dyDescent="0.2">
      <c r="A199" s="3"/>
      <c r="B199" s="33"/>
      <c r="C199" s="34" t="s">
        <v>218</v>
      </c>
      <c r="D199" s="33"/>
      <c r="E199" s="33"/>
      <c r="F199" s="33"/>
      <c r="G199" s="33"/>
      <c r="H199" s="33"/>
      <c r="I199" s="33"/>
      <c r="J199" s="33"/>
      <c r="K199" s="33"/>
      <c r="L199" s="33"/>
      <c r="M199" s="33"/>
      <c r="N199" s="33"/>
      <c r="O199" s="33"/>
      <c r="P199" s="3"/>
      <c r="Q199" s="3"/>
      <c r="R199" s="3"/>
      <c r="S199" s="3"/>
      <c r="T199" s="3"/>
      <c r="U199" s="3"/>
      <c r="V199" s="3"/>
      <c r="W199" s="3"/>
      <c r="X199" s="3"/>
      <c r="Y199" s="3"/>
      <c r="Z199" s="3"/>
    </row>
    <row r="200" spans="1:26" ht="12.75" x14ac:dyDescent="0.2">
      <c r="A200" s="3"/>
      <c r="B200" s="33"/>
      <c r="C200" s="94" t="s">
        <v>272</v>
      </c>
      <c r="D200" s="33"/>
      <c r="E200" s="33"/>
      <c r="F200" s="39">
        <f>$I40*F$136*$I48*F$130*F$115/1000</f>
        <v>14.71</v>
      </c>
      <c r="G200" s="39">
        <f>$I40*G$136*$I48*G$130*G$115/1000</f>
        <v>15.87209</v>
      </c>
      <c r="H200" s="39">
        <f>$I40*H$136*$I48*H$130*H$115/1000</f>
        <v>17.125985109999998</v>
      </c>
      <c r="I200" s="39">
        <f>$I40*I$136*$I48*I$130*I$115/1000</f>
        <v>18.478937933689998</v>
      </c>
      <c r="J200" s="39">
        <f>$I40*J$136*$I48*J$130*J$115/1000</f>
        <v>19.938774030451508</v>
      </c>
      <c r="K200" s="39">
        <f>$I40*K$136*$I48*K$130*K$115/1000</f>
        <v>21.513937178857176</v>
      </c>
      <c r="L200" s="39">
        <f>$I40*L$136*$I48*L$130*L$115/1000</f>
        <v>23.213538215986894</v>
      </c>
      <c r="M200" s="39">
        <f>$I40*M$136*$I48*M$130*M$115/1000</f>
        <v>25.047407735049855</v>
      </c>
      <c r="N200" s="39">
        <f>$I40*N$136*$I48*N$130*N$115/1000</f>
        <v>27.026152946118792</v>
      </c>
      <c r="O200" s="39">
        <f>$I40*O$136*$I48*O$130*O$115/1000</f>
        <v>29.161219028862178</v>
      </c>
      <c r="P200" s="3"/>
      <c r="Q200" s="3"/>
      <c r="R200" s="3"/>
      <c r="S200" s="3"/>
      <c r="T200" s="3"/>
      <c r="U200" s="3"/>
      <c r="V200" s="3"/>
      <c r="W200" s="3"/>
      <c r="X200" s="3"/>
      <c r="Y200" s="3"/>
      <c r="Z200" s="3"/>
    </row>
    <row r="201" spans="1:26" ht="12.75" x14ac:dyDescent="0.2">
      <c r="A201" s="3"/>
      <c r="B201" s="33"/>
      <c r="C201" s="94" t="s">
        <v>273</v>
      </c>
      <c r="D201" s="33"/>
      <c r="E201" s="33"/>
      <c r="F201" s="39">
        <f>$I41*F$136*$I49*F$130*F$115/1000</f>
        <v>8.92</v>
      </c>
      <c r="G201" s="39">
        <f>$I41*G$136*$I49*G$130*G$115/1000</f>
        <v>9.6246799999999997</v>
      </c>
      <c r="H201" s="39">
        <f>$I41*H$136*$I49*H$130*H$115/1000</f>
        <v>10.385029719999999</v>
      </c>
      <c r="I201" s="39">
        <f>$I41*I$136*$I49*I$130*I$115/1000</f>
        <v>11.20544706788</v>
      </c>
      <c r="J201" s="39">
        <f>$I41*J$136*$I49*J$130*J$115/1000</f>
        <v>12.09067738624252</v>
      </c>
      <c r="K201" s="39">
        <f>$I41*K$136*$I49*K$130*K$115/1000</f>
        <v>13.045840899755678</v>
      </c>
      <c r="L201" s="39">
        <f>$I41*L$136*$I49*L$130*L$115/1000</f>
        <v>14.076462330836375</v>
      </c>
      <c r="M201" s="39">
        <f>$I41*M$136*$I49*M$130*M$115/1000</f>
        <v>15.188502854972448</v>
      </c>
      <c r="N201" s="39">
        <f>$I41*N$136*$I49*N$130*N$115/1000</f>
        <v>16.388394580515271</v>
      </c>
      <c r="O201" s="39">
        <f>$I41*O$136*$I49*O$130*O$115/1000</f>
        <v>17.683077752375979</v>
      </c>
      <c r="P201" s="3"/>
      <c r="Q201" s="3"/>
      <c r="R201" s="3"/>
      <c r="S201" s="3"/>
      <c r="T201" s="3"/>
      <c r="U201" s="3"/>
      <c r="V201" s="3"/>
      <c r="W201" s="3"/>
      <c r="X201" s="3"/>
      <c r="Y201" s="3"/>
      <c r="Z201" s="3"/>
    </row>
    <row r="202" spans="1:26" ht="12.75" x14ac:dyDescent="0.2">
      <c r="A202" s="3"/>
      <c r="B202" s="33"/>
      <c r="C202" s="94" t="s">
        <v>274</v>
      </c>
      <c r="D202" s="33"/>
      <c r="E202" s="35"/>
      <c r="F202" s="39">
        <f>$I42*F$136*$I50*F$130*F$115/1000</f>
        <v>11.93</v>
      </c>
      <c r="G202" s="39">
        <f>$I42*G$136*$I50*G$130*G$115/1000</f>
        <v>12.87247</v>
      </c>
      <c r="H202" s="39">
        <f>$I42*H$136*$I50*H$130*H$115/1000</f>
        <v>13.889395129999999</v>
      </c>
      <c r="I202" s="39">
        <f>$I42*I$136*$I50*I$130*I$115/1000</f>
        <v>14.98665734527</v>
      </c>
      <c r="J202" s="39">
        <f>$I42*J$136*$I50*J$130*J$115/1000</f>
        <v>16.17060327554633</v>
      </c>
      <c r="K202" s="39">
        <f>$I42*K$136*$I50*K$130*K$115/1000</f>
        <v>17.448080934314486</v>
      </c>
      <c r="L202" s="39">
        <f>$I42*L$136*$I50*L$130*L$115/1000</f>
        <v>18.826479328125334</v>
      </c>
      <c r="M202" s="39">
        <f>$I42*M$136*$I50*M$130*M$115/1000</f>
        <v>20.313771195047234</v>
      </c>
      <c r="N202" s="39">
        <f>$I42*N$136*$I50*N$130*N$115/1000</f>
        <v>21.918559119455963</v>
      </c>
      <c r="O202" s="39">
        <f>$I42*O$136*$I50*O$130*O$115/1000</f>
        <v>23.650125289892983</v>
      </c>
      <c r="P202" s="3"/>
      <c r="Q202" s="3"/>
      <c r="R202" s="3"/>
      <c r="S202" s="3"/>
      <c r="T202" s="3"/>
      <c r="U202" s="3"/>
      <c r="V202" s="3"/>
      <c r="W202" s="3"/>
      <c r="X202" s="3"/>
      <c r="Y202" s="3"/>
      <c r="Z202" s="3"/>
    </row>
    <row r="203" spans="1:26" ht="12.75" x14ac:dyDescent="0.2">
      <c r="A203" s="3"/>
      <c r="B203" s="33"/>
      <c r="C203" s="94" t="s">
        <v>275</v>
      </c>
      <c r="D203" s="33"/>
      <c r="E203" s="35"/>
      <c r="F203" s="39">
        <f>($I43*F$136*$I51*F$130*F$115/1000)*(F147/$O$147)</f>
        <v>17.406399999999998</v>
      </c>
      <c r="G203" s="39">
        <f>($I43*G$136*$I51*G$130*G$115/1000)*(G147/$O$147)</f>
        <v>19.720580879999996</v>
      </c>
      <c r="H203" s="39">
        <f>($I43*H$136*$I51*H$130*H$115/1000)*(H147/$O$147)</f>
        <v>22.342432107995997</v>
      </c>
      <c r="I203" s="39">
        <f>($I43*I$136*$I51*I$130*I$115/1000)*(I147/$O$147)</f>
        <v>25.312858456754068</v>
      </c>
      <c r="J203" s="39">
        <f>($I43*J$136*$I51*J$130*J$115/1000)*(J147/$O$147)</f>
        <v>28.678202988579525</v>
      </c>
      <c r="K203" s="39">
        <f>($I43*K$136*$I51*K$130*K$115/1000)*(K147/$O$147)</f>
        <v>31.821906535525116</v>
      </c>
      <c r="L203" s="39">
        <f>($I43*L$136*$I51*L$130*L$115/1000)*(L147/$O$147)</f>
        <v>34.335837151831598</v>
      </c>
      <c r="M203" s="39">
        <f>($I43*M$136*$I51*M$130*M$115/1000)*(M147/$O$147)</f>
        <v>37.048368286826289</v>
      </c>
      <c r="N203" s="39">
        <f>($I43*N$136*$I51*N$130*N$115/1000)*(N147/$O$147)</f>
        <v>39.975189381485571</v>
      </c>
      <c r="O203" s="39">
        <f>($I43*O$136*$I51*O$130*O$115/1000)*(O147/$O$147)</f>
        <v>43.133229342622933</v>
      </c>
      <c r="P203" s="3"/>
      <c r="Q203" s="3"/>
      <c r="R203" s="3"/>
      <c r="S203" s="3"/>
      <c r="T203" s="3"/>
      <c r="U203" s="3"/>
      <c r="V203" s="3"/>
      <c r="W203" s="3"/>
      <c r="X203" s="3"/>
      <c r="Y203" s="3"/>
      <c r="Z203" s="3"/>
    </row>
    <row r="204" spans="1:26" ht="12.75" x14ac:dyDescent="0.2">
      <c r="A204" s="3"/>
      <c r="B204" s="33"/>
      <c r="C204" s="84" t="s">
        <v>293</v>
      </c>
      <c r="D204" s="35"/>
      <c r="E204" s="35"/>
      <c r="F204" s="104">
        <f>$I44*F$136*$I52*F$130*F$115/1000</f>
        <v>11.7325</v>
      </c>
      <c r="G204" s="104">
        <f>$I44*G$136*$I52*G$130*G$115/1000</f>
        <v>12.6593675</v>
      </c>
      <c r="H204" s="104">
        <f>$I44*H$136*$I52*H$130*H$115/1000</f>
        <v>13.659457532499999</v>
      </c>
      <c r="I204" s="104">
        <f>$I44*I$136*$I52*I$130*I$115/1000</f>
        <v>14.7385546775675</v>
      </c>
      <c r="J204" s="104">
        <f>$I44*J$136*$I52*J$130*J$115/1000</f>
        <v>15.902900497095333</v>
      </c>
      <c r="K204" s="104">
        <f>$I44*K$136*$I52*K$130*K$115/1000</f>
        <v>17.159229636365861</v>
      </c>
      <c r="L204" s="104">
        <f>$I44*L$136*$I52*L$130*L$115/1000</f>
        <v>18.514808777638766</v>
      </c>
      <c r="M204" s="104">
        <f>$I44*M$136*$I52*M$130*M$115/1000</f>
        <v>19.977478671072227</v>
      </c>
      <c r="N204" s="104">
        <f>$I44*N$136*$I52*N$130*N$115/1000</f>
        <v>21.55569948608693</v>
      </c>
      <c r="O204" s="104">
        <f>$I44*O$136*$I52*O$130*O$115/1000</f>
        <v>23.258599745487796</v>
      </c>
      <c r="P204" s="3"/>
      <c r="Q204" s="3"/>
      <c r="R204" s="3"/>
      <c r="S204" s="3"/>
      <c r="T204" s="3"/>
      <c r="U204" s="3"/>
      <c r="V204" s="3"/>
      <c r="W204" s="3"/>
      <c r="X204" s="3"/>
      <c r="Y204" s="3"/>
      <c r="Z204" s="3"/>
    </row>
    <row r="205" spans="1:26" ht="12.75" x14ac:dyDescent="0.2">
      <c r="A205" s="3"/>
      <c r="B205" s="33"/>
      <c r="C205" s="94" t="s">
        <v>278</v>
      </c>
      <c r="D205" s="33"/>
      <c r="E205" s="35"/>
      <c r="F205" s="39">
        <f>$I45*F$136*$I53*F$130*F$115/1000</f>
        <v>60.69</v>
      </c>
      <c r="G205" s="39">
        <f>$I45*G$136*$I53*G$130*G$115/1000</f>
        <v>65.48451</v>
      </c>
      <c r="H205" s="39">
        <f>$I45*H$136*$I53*H$130*H$115/1000</f>
        <v>70.65778628999999</v>
      </c>
      <c r="I205" s="39">
        <f>$I45*I$136*$I53*I$130*I$115/1000</f>
        <v>76.239751406910003</v>
      </c>
      <c r="J205" s="39">
        <f>$I45*J$136*$I53*J$130*J$115/1000</f>
        <v>82.262691768055888</v>
      </c>
      <c r="K205" s="39">
        <f>$I45*K$136*$I53*K$130*K$115/1000</f>
        <v>88.761444417732292</v>
      </c>
      <c r="L205" s="39">
        <f>$I45*L$136*$I53*L$130*L$115/1000</f>
        <v>95.773598526733139</v>
      </c>
      <c r="M205" s="39">
        <f>$I45*M$136*$I53*M$130*M$115/1000</f>
        <v>103.33971281034505</v>
      </c>
      <c r="N205" s="39">
        <f>$I45*N$136*$I53*N$130*N$115/1000</f>
        <v>111.50355012236231</v>
      </c>
      <c r="O205" s="39">
        <f>$I45*O$136*$I53*O$130*O$115/1000</f>
        <v>120.31233058202893</v>
      </c>
      <c r="P205" s="3"/>
      <c r="Q205" s="3"/>
      <c r="R205" s="3"/>
      <c r="S205" s="3"/>
      <c r="T205" s="3"/>
      <c r="U205" s="3"/>
      <c r="V205" s="3"/>
      <c r="W205" s="3"/>
      <c r="X205" s="3"/>
      <c r="Y205" s="3"/>
      <c r="Z205" s="3"/>
    </row>
    <row r="206" spans="1:26" ht="12.75" x14ac:dyDescent="0.2">
      <c r="A206" s="3"/>
      <c r="B206" s="33"/>
      <c r="C206" s="9" t="s">
        <v>85</v>
      </c>
      <c r="D206" s="33"/>
      <c r="E206" s="35"/>
      <c r="F206" s="39">
        <f>IF(F167&gt;($I$47-1),0,$I$46*$I$53*F$130*F$115/1000)</f>
        <v>17.34</v>
      </c>
      <c r="G206" s="39">
        <f>IF(G167&gt;($I$47-1),0,$I$46*$I$53*G$130*G$115/1000)</f>
        <v>18.709859999999999</v>
      </c>
      <c r="H206" s="39">
        <f>IF(H167&gt;($I$47-1),0,$I$46*$I$53*H$130*H$115/1000)</f>
        <v>20.187938939999995</v>
      </c>
      <c r="I206" s="39">
        <f>IF(I167&gt;($I$47-1),0,$I$46*$I$53*I$130*I$115/1000)</f>
        <v>21.782786116259999</v>
      </c>
      <c r="J206" s="39">
        <f>IF(J167&gt;($I$47-1),0,$I$46*$I$53*J$130*J$115/1000)</f>
        <v>0</v>
      </c>
      <c r="K206" s="39">
        <f>IF(K167&gt;($I$47-1),0,$I$46*$I$53*K$130*K$115/1000)</f>
        <v>0</v>
      </c>
      <c r="L206" s="39">
        <f>IF(L167&gt;($I$47-1),0,$I$46*$I$53*L$130*L$115/1000)</f>
        <v>0</v>
      </c>
      <c r="M206" s="39">
        <f>IF(M167&gt;($I$47-1),0,$I$46*$I$53*M$130*M$115/1000)</f>
        <v>0</v>
      </c>
      <c r="N206" s="39">
        <f>IF(N167&gt;($I$47-1),0,$I$46*$I$53*N$130*N$115/1000)</f>
        <v>0</v>
      </c>
      <c r="O206" s="39">
        <f>IF(O167&gt;($I$47-1),0,$I$46*$I$53*O$130*O$115/1000)</f>
        <v>0</v>
      </c>
      <c r="P206" s="3"/>
      <c r="Q206" s="3"/>
      <c r="R206" s="3"/>
      <c r="S206" s="3"/>
      <c r="T206" s="3"/>
      <c r="U206" s="3"/>
      <c r="V206" s="3"/>
      <c r="W206" s="3"/>
      <c r="X206" s="3"/>
      <c r="Y206" s="3"/>
      <c r="Z206" s="3"/>
    </row>
    <row r="207" spans="1:26" ht="12.75" x14ac:dyDescent="0.2">
      <c r="A207" s="3"/>
      <c r="B207" s="33"/>
      <c r="C207" s="31" t="s">
        <v>207</v>
      </c>
      <c r="D207" s="36"/>
      <c r="E207" s="36"/>
      <c r="F207" s="40">
        <f>SUM(F200:F206)</f>
        <v>142.72889999999998</v>
      </c>
      <c r="G207" s="40">
        <f t="shared" ref="G207:O207" si="32">SUM(G200:G206)</f>
        <v>154.94355837999998</v>
      </c>
      <c r="H207" s="40">
        <f t="shared" si="32"/>
        <v>168.24802483049598</v>
      </c>
      <c r="I207" s="40">
        <f t="shared" si="32"/>
        <v>182.7449930043316</v>
      </c>
      <c r="J207" s="40">
        <f t="shared" si="32"/>
        <v>175.04384994597109</v>
      </c>
      <c r="K207" s="40">
        <f t="shared" si="32"/>
        <v>189.75043960255061</v>
      </c>
      <c r="L207" s="40">
        <f t="shared" si="32"/>
        <v>204.74072433115208</v>
      </c>
      <c r="M207" s="40">
        <f t="shared" si="32"/>
        <v>220.91524155331311</v>
      </c>
      <c r="N207" s="40">
        <f t="shared" si="32"/>
        <v>238.36754563602483</v>
      </c>
      <c r="O207" s="40">
        <f t="shared" si="32"/>
        <v>257.1985817412708</v>
      </c>
      <c r="P207" s="3"/>
      <c r="Q207" s="3"/>
      <c r="R207" s="3"/>
      <c r="S207" s="3"/>
      <c r="T207" s="3"/>
      <c r="U207" s="3"/>
      <c r="V207" s="3"/>
      <c r="W207" s="3"/>
      <c r="X207" s="3"/>
      <c r="Y207" s="3"/>
      <c r="Z207" s="3"/>
    </row>
    <row r="208" spans="1:26" ht="12.75" x14ac:dyDescent="0.2">
      <c r="A208" s="3"/>
      <c r="B208" s="33"/>
      <c r="C208" s="9"/>
      <c r="D208" s="33"/>
      <c r="E208" s="33"/>
      <c r="F208" s="41"/>
      <c r="G208" s="41"/>
      <c r="H208" s="41"/>
      <c r="I208" s="41"/>
      <c r="J208" s="41"/>
      <c r="K208" s="41"/>
      <c r="L208" s="41"/>
      <c r="M208" s="41"/>
      <c r="N208" s="41"/>
      <c r="O208" s="41"/>
      <c r="P208" s="3"/>
      <c r="Q208" s="3"/>
      <c r="R208" s="3"/>
      <c r="S208" s="3"/>
      <c r="T208" s="3"/>
      <c r="U208" s="3"/>
      <c r="V208" s="3"/>
      <c r="W208" s="3"/>
      <c r="X208" s="3"/>
      <c r="Y208" s="3"/>
      <c r="Z208" s="3"/>
    </row>
    <row r="209" spans="1:26" ht="12.75" x14ac:dyDescent="0.2">
      <c r="A209" s="3"/>
      <c r="B209" s="33"/>
      <c r="C209" s="34" t="s">
        <v>215</v>
      </c>
      <c r="D209" s="33"/>
      <c r="E209" s="33"/>
      <c r="F209" s="41"/>
      <c r="G209" s="41"/>
      <c r="H209" s="41"/>
      <c r="I209" s="41"/>
      <c r="J209" s="41"/>
      <c r="K209" s="41"/>
      <c r="L209" s="41"/>
      <c r="M209" s="41"/>
      <c r="N209" s="41"/>
      <c r="O209" s="41"/>
      <c r="P209" s="3"/>
      <c r="Q209" s="3"/>
      <c r="R209" s="3"/>
      <c r="S209" s="3"/>
      <c r="T209" s="3"/>
      <c r="U209" s="3"/>
      <c r="V209" s="3"/>
      <c r="W209" s="3"/>
      <c r="X209" s="3"/>
      <c r="Y209" s="3"/>
      <c r="Z209" s="3"/>
    </row>
    <row r="210" spans="1:26" ht="12.75" x14ac:dyDescent="0.2">
      <c r="A210" s="3"/>
      <c r="B210" s="33"/>
      <c r="C210" s="9" t="s">
        <v>110</v>
      </c>
      <c r="D210" s="33"/>
      <c r="E210" s="33"/>
      <c r="F210" s="39">
        <f>$I57*F$136*F$115/1000</f>
        <v>2.6819999999999999</v>
      </c>
      <c r="G210" s="39">
        <f>$I57*G$136*G$115/1000</f>
        <v>2.8938779999999995</v>
      </c>
      <c r="H210" s="39">
        <f>$I57*H$136*H$115/1000</f>
        <v>3.1224943619999994</v>
      </c>
      <c r="I210" s="39">
        <f>$I57*I$136*I$115/1000</f>
        <v>3.3691714165979998</v>
      </c>
      <c r="J210" s="39">
        <f>$I57*J$136*J$115/1000</f>
        <v>3.6353359585092417</v>
      </c>
      <c r="K210" s="39">
        <f>$I57*K$136*K$115/1000</f>
        <v>3.9225274992314718</v>
      </c>
      <c r="L210" s="39">
        <f>$I57*L$136*L$115/1000</f>
        <v>4.2324071716707579</v>
      </c>
      <c r="M210" s="39">
        <f>$I57*M$136*M$115/1000</f>
        <v>4.5667673382327472</v>
      </c>
      <c r="N210" s="39">
        <f>$I57*N$136*N$115/1000</f>
        <v>4.9275419579531343</v>
      </c>
      <c r="O210" s="39">
        <f>$I57*O$136*O$115/1000</f>
        <v>5.3168177726314312</v>
      </c>
      <c r="P210" s="3"/>
      <c r="Q210" s="3"/>
      <c r="R210" s="3"/>
      <c r="S210" s="3"/>
      <c r="T210" s="3"/>
      <c r="U210" s="3"/>
      <c r="V210" s="3"/>
      <c r="W210" s="3"/>
      <c r="X210" s="3"/>
      <c r="Y210" s="3"/>
      <c r="Z210" s="3"/>
    </row>
    <row r="211" spans="1:26" ht="12.75" x14ac:dyDescent="0.2">
      <c r="A211" s="3"/>
      <c r="B211" s="33"/>
      <c r="C211" s="27" t="s">
        <v>283</v>
      </c>
      <c r="D211" s="33"/>
      <c r="E211" s="33"/>
      <c r="F211" s="107">
        <f>($F$59+$F$59*(F$136-1)*($F$58))/1000*F$115</f>
        <v>2.4788235294117649</v>
      </c>
      <c r="G211" s="107">
        <f>($F$59+$F$59*(G$136-1)*($F$58))/1000*G$115</f>
        <v>2.674650588235294</v>
      </c>
      <c r="H211" s="107">
        <f>($F$59+$F$59*(H$136-1)*($F$58))/1000*H$115</f>
        <v>2.885947984705882</v>
      </c>
      <c r="I211" s="107">
        <f>($F$59+$F$59*(I$136-1)*($F$58))/1000*I$115</f>
        <v>3.1139378754976472</v>
      </c>
      <c r="J211" s="107">
        <f>($F$59+$F$59*(J$136-1)*($F$58))/1000*J$115</f>
        <v>3.3599389676619613</v>
      </c>
      <c r="K211" s="107">
        <f>($F$59+$F$59*(K$136-1)*($F$58))/1000*K$115</f>
        <v>3.6253741461072559</v>
      </c>
      <c r="L211" s="107">
        <f>($F$59+$F$59*(L$136-1)*($F$58))/1000*L$115</f>
        <v>3.9117787036497291</v>
      </c>
      <c r="M211" s="107">
        <f>($F$59+$F$59*(M$136-1)*($F$58))/1000*M$115</f>
        <v>4.2208092212380572</v>
      </c>
      <c r="N211" s="107">
        <f>($F$59+$F$59*(N$136-1)*($F$58))/1000*N$115</f>
        <v>4.5542531497158638</v>
      </c>
      <c r="O211" s="107">
        <f>($F$59+$F$59*(O$136-1)*($F$58))/1000*O$115</f>
        <v>4.9140391485434174</v>
      </c>
      <c r="P211" s="3"/>
      <c r="Q211" s="3"/>
      <c r="R211" s="3"/>
      <c r="S211" s="3"/>
      <c r="T211" s="3"/>
      <c r="U211" s="3"/>
      <c r="V211" s="3"/>
      <c r="W211" s="3"/>
      <c r="X211" s="3"/>
      <c r="Y211" s="3"/>
      <c r="Z211" s="3"/>
    </row>
    <row r="212" spans="1:26" ht="12.75" x14ac:dyDescent="0.2">
      <c r="A212" s="3"/>
      <c r="B212" s="33"/>
      <c r="C212" s="31" t="s">
        <v>216</v>
      </c>
      <c r="D212" s="36"/>
      <c r="E212" s="36"/>
      <c r="F212" s="40">
        <f t="shared" ref="F212:O212" si="33">SUM(F210:F211)</f>
        <v>5.1608235294117648</v>
      </c>
      <c r="G212" s="40">
        <f t="shared" si="33"/>
        <v>5.568528588235294</v>
      </c>
      <c r="H212" s="40">
        <f t="shared" si="33"/>
        <v>6.0084423467058814</v>
      </c>
      <c r="I212" s="40">
        <f t="shared" si="33"/>
        <v>6.483109292095647</v>
      </c>
      <c r="J212" s="40">
        <f t="shared" si="33"/>
        <v>6.9952749261712031</v>
      </c>
      <c r="K212" s="40">
        <f t="shared" si="33"/>
        <v>7.5479016453387278</v>
      </c>
      <c r="L212" s="40">
        <f t="shared" si="33"/>
        <v>8.1441858753204865</v>
      </c>
      <c r="M212" s="40">
        <f t="shared" si="33"/>
        <v>8.7875765594708035</v>
      </c>
      <c r="N212" s="40">
        <f t="shared" si="33"/>
        <v>9.4817951076689972</v>
      </c>
      <c r="O212" s="40">
        <f t="shared" si="33"/>
        <v>10.230856921174848</v>
      </c>
      <c r="P212" s="3"/>
      <c r="Q212" s="3"/>
      <c r="R212" s="3"/>
      <c r="S212" s="3"/>
      <c r="T212" s="3"/>
      <c r="U212" s="3"/>
      <c r="V212" s="3"/>
      <c r="W212" s="3"/>
      <c r="X212" s="3"/>
      <c r="Y212" s="3"/>
      <c r="Z212" s="3"/>
    </row>
    <row r="213" spans="1:26" ht="12.75" x14ac:dyDescent="0.2">
      <c r="A213" s="3"/>
      <c r="B213" s="33"/>
      <c r="C213" s="35"/>
      <c r="D213" s="33"/>
      <c r="E213" s="33"/>
      <c r="F213" s="41"/>
      <c r="G213" s="41"/>
      <c r="H213" s="41"/>
      <c r="I213" s="41"/>
      <c r="J213" s="41"/>
      <c r="K213" s="41"/>
      <c r="L213" s="41"/>
      <c r="M213" s="41"/>
      <c r="N213" s="41"/>
      <c r="O213" s="41"/>
      <c r="P213" s="3"/>
      <c r="Q213" s="3"/>
      <c r="R213" s="3"/>
      <c r="S213" s="3"/>
      <c r="T213" s="3"/>
      <c r="U213" s="3"/>
      <c r="V213" s="3"/>
      <c r="W213" s="3"/>
      <c r="X213" s="3"/>
      <c r="Y213" s="3"/>
      <c r="Z213" s="3"/>
    </row>
    <row r="214" spans="1:26" ht="12.75" x14ac:dyDescent="0.2">
      <c r="A214" s="3"/>
      <c r="B214" s="33"/>
      <c r="C214" s="34" t="s">
        <v>219</v>
      </c>
      <c r="D214" s="33"/>
      <c r="E214" s="33"/>
      <c r="F214" s="41"/>
      <c r="G214" s="41"/>
      <c r="H214" s="41"/>
      <c r="I214" s="41"/>
      <c r="J214" s="41"/>
      <c r="K214" s="41"/>
      <c r="L214" s="41"/>
      <c r="M214" s="41"/>
      <c r="N214" s="41"/>
      <c r="O214" s="41"/>
      <c r="P214" s="3"/>
      <c r="Q214" s="3"/>
      <c r="R214" s="3"/>
      <c r="S214" s="3"/>
      <c r="T214" s="3"/>
      <c r="U214" s="3"/>
      <c r="V214" s="3"/>
      <c r="W214" s="3"/>
      <c r="X214" s="3"/>
      <c r="Y214" s="3"/>
      <c r="Z214" s="3"/>
    </row>
    <row r="215" spans="1:26" ht="12.75" x14ac:dyDescent="0.2">
      <c r="A215" s="3"/>
      <c r="B215" s="33"/>
      <c r="C215" s="9" t="s">
        <v>92</v>
      </c>
      <c r="D215" s="33"/>
      <c r="E215" s="33"/>
      <c r="F215" s="39">
        <f>F164*(1+$F$77)</f>
        <v>0</v>
      </c>
      <c r="G215" s="39">
        <f>G164*(1+$F$77)</f>
        <v>0</v>
      </c>
      <c r="H215" s="39">
        <f>H164*(1+$F$77)</f>
        <v>0</v>
      </c>
      <c r="I215" s="39">
        <f>I164*(1+$F$77)</f>
        <v>0</v>
      </c>
      <c r="J215" s="39">
        <f>J164*(1+$F$77)</f>
        <v>0</v>
      </c>
      <c r="K215" s="39">
        <f>K164*(1+$F$77)</f>
        <v>0</v>
      </c>
      <c r="L215" s="39">
        <f>L164*(1+$F$77)</f>
        <v>0</v>
      </c>
      <c r="M215" s="39">
        <f>M164*(1+$F$77)</f>
        <v>0</v>
      </c>
      <c r="N215" s="39">
        <f>N164*(1+$F$77)</f>
        <v>0</v>
      </c>
      <c r="O215" s="39">
        <f>O164*(1+$F$77)</f>
        <v>0</v>
      </c>
      <c r="P215" s="3"/>
      <c r="Q215" s="3"/>
      <c r="R215" s="3"/>
      <c r="S215" s="3"/>
      <c r="T215" s="3"/>
      <c r="U215" s="3"/>
      <c r="V215" s="3"/>
      <c r="W215" s="3"/>
      <c r="X215" s="3"/>
      <c r="Y215" s="3"/>
      <c r="Z215" s="3"/>
    </row>
    <row r="216" spans="1:26" ht="12.75" x14ac:dyDescent="0.2">
      <c r="A216" s="3"/>
      <c r="B216" s="33"/>
      <c r="C216" s="9" t="s">
        <v>96</v>
      </c>
      <c r="D216" s="33"/>
      <c r="E216" s="33"/>
      <c r="F216" s="39">
        <f>$I63*F$136*$I71/1000*F$115*F$132*(1+$F$77)</f>
        <v>11.25</v>
      </c>
      <c r="G216" s="39">
        <f>$I63*G$136*$I71/1000*G$115*G$132*(1+$F$77)</f>
        <v>12.13875</v>
      </c>
      <c r="H216" s="39">
        <f>$I63*H$136*$I71/1000*H$115*H$132*(1+$F$77)</f>
        <v>13.097711249999998</v>
      </c>
      <c r="I216" s="39">
        <f>$I63*I$136*$I71/1000*I$115*I$132*(1+$F$77)</f>
        <v>14.132430438749999</v>
      </c>
      <c r="J216" s="39">
        <f>$I63*J$136*$I71/1000*J$115*J$132*(1+$F$77)</f>
        <v>15.248892443411249</v>
      </c>
      <c r="K216" s="39">
        <f>$I63*K$136*$I71/1000*K$115*K$132*(1+$F$77)</f>
        <v>16.453554946440736</v>
      </c>
      <c r="L216" s="39">
        <f>$I63*L$136*$I71/1000*L$115*L$132*(1+$F$77)</f>
        <v>17.753385787209556</v>
      </c>
      <c r="M216" s="39">
        <f>$I63*M$136*$I71/1000*M$115*M$132*(1+$F$77)</f>
        <v>19.155903264399107</v>
      </c>
      <c r="N216" s="39">
        <f>$I63*N$136*$I71/1000*N$115*N$132*(1+$F$77)</f>
        <v>20.669219622286636</v>
      </c>
      <c r="O216" s="39">
        <f>$I63*O$136*$I71/1000*O$115*O$132*(1+$F$77)</f>
        <v>22.302087972447282</v>
      </c>
      <c r="P216" s="3"/>
      <c r="Q216" s="3"/>
      <c r="R216" s="3"/>
      <c r="S216" s="3"/>
      <c r="T216" s="3"/>
      <c r="U216" s="3"/>
      <c r="V216" s="3"/>
      <c r="W216" s="3"/>
      <c r="X216" s="3"/>
      <c r="Y216" s="3"/>
      <c r="Z216" s="3"/>
    </row>
    <row r="217" spans="1:26" ht="12.75" x14ac:dyDescent="0.2">
      <c r="A217" s="3"/>
      <c r="B217" s="33"/>
      <c r="C217" s="9" t="s">
        <v>99</v>
      </c>
      <c r="D217" s="33"/>
      <c r="E217" s="33"/>
      <c r="F217" s="39">
        <f>$I64*F$136*$I72/1000*F$122*(1+$F$77)*F$117</f>
        <v>9.5154159999999983</v>
      </c>
      <c r="G217" s="39">
        <f>$I64*G$136*$I72/1000*G$122*(1+$F$77)*G$117</f>
        <v>10.267133863999998</v>
      </c>
      <c r="H217" s="39">
        <f>$I64*H$136*$I72/1000*H$122*(1+$F$77)*H$117</f>
        <v>11.078237439255997</v>
      </c>
      <c r="I217" s="39">
        <f>$I64*I$136*$I72/1000*I$122*(1+$F$77)*I$117</f>
        <v>11.953418196957221</v>
      </c>
      <c r="J217" s="39">
        <f>$I64*J$136*$I72/1000*J$122*(1+$F$77)*J$117</f>
        <v>12.897738234516842</v>
      </c>
      <c r="K217" s="39">
        <f>$I64*K$136*$I72/1000*K$122*(1+$F$77)*K$117</f>
        <v>13.916659555043672</v>
      </c>
      <c r="L217" s="39">
        <f>$I64*L$136*$I72/1000*L$122*(1+$F$77)*L$117</f>
        <v>15.01607565989212</v>
      </c>
      <c r="M217" s="39">
        <f>$I64*M$136*$I72/1000*M$122*(1+$F$77)*M$117</f>
        <v>16.202345637023601</v>
      </c>
      <c r="N217" s="39">
        <f>$I64*N$136*$I72/1000*N$122*(1+$F$77)*N$117</f>
        <v>17.482330942348462</v>
      </c>
      <c r="O217" s="39">
        <f>$I64*O$136*$I72/1000*O$122*(1+$F$77)*O$117</f>
        <v>18.863435086793992</v>
      </c>
      <c r="P217" s="3"/>
      <c r="Q217" s="3"/>
      <c r="R217" s="3"/>
      <c r="S217" s="3"/>
      <c r="T217" s="3"/>
      <c r="U217" s="3"/>
      <c r="V217" s="3"/>
      <c r="W217" s="3"/>
      <c r="X217" s="3"/>
      <c r="Y217" s="3"/>
      <c r="Z217" s="3"/>
    </row>
    <row r="218" spans="1:26" ht="12.75" x14ac:dyDescent="0.2">
      <c r="A218" s="3"/>
      <c r="B218" s="33"/>
      <c r="C218" s="9" t="s">
        <v>102</v>
      </c>
      <c r="D218" s="33"/>
      <c r="E218" s="33"/>
      <c r="F218" s="39">
        <f>$I65*F$136*$I73/1000*F$122*(1+$F$77)*F$117</f>
        <v>19.188371999999998</v>
      </c>
      <c r="G218" s="39">
        <f>$I65*G$136*$I73/1000*G$122*(1+$F$77)*G$117</f>
        <v>20.704253387999994</v>
      </c>
      <c r="H218" s="39">
        <f>$I65*H$136*$I73/1000*H$122*(1+$F$77)*H$117</f>
        <v>22.339889405651991</v>
      </c>
      <c r="I218" s="39">
        <f>$I65*I$136*$I73/1000*I$122*(1+$F$77)*I$117</f>
        <v>24.104740668698504</v>
      </c>
      <c r="J218" s="39">
        <f>$I65*J$136*$I73/1000*J$122*(1+$F$77)*J$117</f>
        <v>26.009015181525683</v>
      </c>
      <c r="K218" s="39">
        <f>$I65*K$136*$I73/1000*K$122*(1+$F$77)*K$117</f>
        <v>28.063727380866212</v>
      </c>
      <c r="L218" s="39">
        <f>$I65*L$136*$I73/1000*L$122*(1+$F$77)*L$117</f>
        <v>30.280761843954643</v>
      </c>
      <c r="M218" s="39">
        <f>$I65*M$136*$I73/1000*M$122*(1+$F$77)*M$117</f>
        <v>32.672942029627059</v>
      </c>
      <c r="N218" s="39">
        <f>$I65*N$136*$I73/1000*N$122*(1+$F$77)*N$117</f>
        <v>35.254104449967592</v>
      </c>
      <c r="O218" s="39">
        <f>$I65*O$136*$I73/1000*O$122*(1+$F$77)*O$117</f>
        <v>38.039178701515034</v>
      </c>
      <c r="P218" s="3"/>
      <c r="Q218" s="3"/>
      <c r="R218" s="3"/>
      <c r="S218" s="3"/>
      <c r="T218" s="3"/>
      <c r="U218" s="3"/>
      <c r="V218" s="3"/>
      <c r="W218" s="3"/>
      <c r="X218" s="3"/>
      <c r="Y218" s="3"/>
      <c r="Z218" s="3"/>
    </row>
    <row r="219" spans="1:26" ht="12.75" x14ac:dyDescent="0.2">
      <c r="A219" s="3"/>
      <c r="B219" s="33"/>
      <c r="C219" s="9" t="s">
        <v>105</v>
      </c>
      <c r="D219" s="33"/>
      <c r="E219" s="33"/>
      <c r="F219" s="39">
        <f>$I66*F$136*$I74/1000*F$122*(1+$F$77)*F$117</f>
        <v>4.879999999999999</v>
      </c>
      <c r="G219" s="39">
        <f>$I66*G$136*$I74/1000*G$122*(1+$F$77)*G$117</f>
        <v>5.2655199999999995</v>
      </c>
      <c r="H219" s="39">
        <f>$I66*H$136*$I74/1000*H$122*(1+$F$77)*H$117</f>
        <v>5.6814960799999978</v>
      </c>
      <c r="I219" s="39">
        <f>$I66*I$136*$I74/1000*I$122*(1+$F$77)*I$117</f>
        <v>6.1303342703199997</v>
      </c>
      <c r="J219" s="39">
        <f>$I66*J$136*$I74/1000*J$122*(1+$F$77)*J$117</f>
        <v>6.6146306776752777</v>
      </c>
      <c r="K219" s="39">
        <f>$I66*K$136*$I74/1000*K$122*(1+$F$77)*K$117</f>
        <v>7.1371865012116249</v>
      </c>
      <c r="L219" s="39">
        <f>$I66*L$136*$I74/1000*L$122*(1+$F$77)*L$117</f>
        <v>7.7010242348073437</v>
      </c>
      <c r="M219" s="39">
        <f>$I66*M$136*$I74/1000*M$122*(1+$F$77)*M$117</f>
        <v>8.3094051493571239</v>
      </c>
      <c r="N219" s="39">
        <f>$I66*N$136*$I74/1000*N$122*(1+$F$77)*N$117</f>
        <v>8.9658481561563352</v>
      </c>
      <c r="O219" s="39">
        <f>$I66*O$136*$I74/1000*O$122*(1+$F$77)*O$117</f>
        <v>9.6741501604926867</v>
      </c>
      <c r="P219" s="3"/>
      <c r="Q219" s="3"/>
      <c r="R219" s="3"/>
      <c r="S219" s="3"/>
      <c r="T219" s="3"/>
      <c r="U219" s="3"/>
      <c r="V219" s="3"/>
      <c r="W219" s="3"/>
      <c r="X219" s="3"/>
      <c r="Y219" s="3"/>
      <c r="Z219" s="3"/>
    </row>
    <row r="220" spans="1:26" ht="12.75" x14ac:dyDescent="0.2">
      <c r="A220" s="3"/>
      <c r="B220" s="33"/>
      <c r="C220" s="9" t="s">
        <v>108</v>
      </c>
      <c r="D220" s="33"/>
      <c r="E220" s="33"/>
      <c r="F220" s="39">
        <f>ROUNDUP(F151*1000/$F$67,0)*$I75/1000*F$115</f>
        <v>6.7</v>
      </c>
      <c r="G220" s="39">
        <f>ROUNDUP(G151*1000/$F$67,0)*$I75/1000*G$115</f>
        <v>7.8766999999999996</v>
      </c>
      <c r="H220" s="39">
        <f>ROUNDUP(H151*1000/$F$67,0)*$I75/1000*H$115</f>
        <v>9.1975038999999992</v>
      </c>
      <c r="I220" s="39">
        <f>ROUNDUP(I151*1000/$F$67,0)*$I75/1000*I$115</f>
        <v>10.803457935399999</v>
      </c>
      <c r="J220" s="39">
        <f>ROUNDUP(J151*1000/$F$67,0)*$I75/1000*J$115</f>
        <v>12.199113954728999</v>
      </c>
      <c r="K220" s="39">
        <f>ROUNDUP(K151*1000/$F$67,0)*$I75/1000*K$115</f>
        <v>13.60160542239101</v>
      </c>
      <c r="L220" s="39">
        <f>ROUNDUP(L151*1000/$F$67,0)*$I75/1000*L$115</f>
        <v>14.676132250759899</v>
      </c>
      <c r="M220" s="39">
        <f>ROUNDUP(M151*1000/$F$67,0)*$I75/1000*M$115</f>
        <v>15.83554669856993</v>
      </c>
      <c r="N220" s="39">
        <f>ROUNDUP(N151*1000/$F$67,0)*$I75/1000*N$115</f>
        <v>17.086554887756954</v>
      </c>
      <c r="O220" s="39">
        <f>ROUNDUP(O151*1000/$F$67,0)*$I75/1000*O$115</f>
        <v>18.436392723889753</v>
      </c>
      <c r="P220" s="3"/>
      <c r="Q220" s="3"/>
      <c r="R220" s="3"/>
      <c r="S220" s="3"/>
      <c r="T220" s="3"/>
      <c r="U220" s="3"/>
      <c r="V220" s="3"/>
      <c r="W220" s="3"/>
      <c r="X220" s="3"/>
      <c r="Y220" s="3"/>
      <c r="Z220" s="3"/>
    </row>
    <row r="221" spans="1:26" ht="12.75" x14ac:dyDescent="0.2">
      <c r="A221" s="3"/>
      <c r="B221" s="33"/>
      <c r="C221" s="36" t="s">
        <v>217</v>
      </c>
      <c r="D221" s="36"/>
      <c r="E221" s="36"/>
      <c r="F221" s="48">
        <f t="shared" ref="F221:O221" si="34">SUM(F215:F220)</f>
        <v>51.533788000000001</v>
      </c>
      <c r="G221" s="48">
        <f t="shared" si="34"/>
        <v>56.252357251999989</v>
      </c>
      <c r="H221" s="48">
        <f t="shared" si="34"/>
        <v>61.394838074907987</v>
      </c>
      <c r="I221" s="48">
        <f t="shared" si="34"/>
        <v>67.12438151012573</v>
      </c>
      <c r="J221" s="48">
        <f t="shared" si="34"/>
        <v>72.96939049185805</v>
      </c>
      <c r="K221" s="48">
        <f t="shared" si="34"/>
        <v>79.172733805953271</v>
      </c>
      <c r="L221" s="48">
        <f t="shared" si="34"/>
        <v>85.427379776623553</v>
      </c>
      <c r="M221" s="48">
        <f t="shared" si="34"/>
        <v>92.176142778976811</v>
      </c>
      <c r="N221" s="48">
        <f t="shared" si="34"/>
        <v>99.458058058516002</v>
      </c>
      <c r="O221" s="48">
        <f t="shared" si="34"/>
        <v>107.31524464513875</v>
      </c>
      <c r="P221" s="3"/>
      <c r="Q221" s="3"/>
      <c r="R221" s="3"/>
      <c r="S221" s="3"/>
      <c r="T221" s="3"/>
      <c r="U221" s="3"/>
      <c r="V221" s="3"/>
      <c r="W221" s="3"/>
      <c r="X221" s="3"/>
      <c r="Y221" s="3"/>
      <c r="Z221" s="3"/>
    </row>
    <row r="222" spans="1:26" ht="12.75" x14ac:dyDescent="0.2">
      <c r="A222" s="3"/>
      <c r="B222" s="33"/>
      <c r="C222" s="62"/>
      <c r="D222" s="62"/>
      <c r="E222" s="62"/>
      <c r="F222" s="103"/>
      <c r="G222" s="103"/>
      <c r="H222" s="103"/>
      <c r="I222" s="103"/>
      <c r="J222" s="103"/>
      <c r="K222" s="103"/>
      <c r="L222" s="103"/>
      <c r="M222" s="103"/>
      <c r="N222" s="103"/>
      <c r="O222" s="103"/>
      <c r="P222" s="3"/>
      <c r="Q222" s="3"/>
      <c r="R222" s="3"/>
      <c r="S222" s="3"/>
      <c r="T222" s="3"/>
      <c r="U222" s="3"/>
      <c r="V222" s="3"/>
      <c r="W222" s="3"/>
      <c r="X222" s="3"/>
      <c r="Y222" s="3"/>
      <c r="Z222" s="3"/>
    </row>
    <row r="223" spans="1:26" ht="12.75" x14ac:dyDescent="0.2">
      <c r="A223" s="3"/>
      <c r="B223" s="33"/>
      <c r="C223" s="34" t="s">
        <v>287</v>
      </c>
      <c r="D223" s="62"/>
      <c r="E223" s="62"/>
      <c r="F223" s="103"/>
      <c r="G223" s="103"/>
      <c r="H223" s="103"/>
      <c r="I223" s="103"/>
      <c r="J223" s="103"/>
      <c r="K223" s="103"/>
      <c r="L223" s="103"/>
      <c r="M223" s="103"/>
      <c r="N223" s="103"/>
      <c r="O223" s="103"/>
      <c r="P223" s="3"/>
      <c r="Q223" s="3"/>
      <c r="R223" s="3"/>
      <c r="S223" s="3"/>
      <c r="T223" s="3"/>
      <c r="U223" s="3"/>
      <c r="V223" s="3"/>
      <c r="W223" s="3"/>
      <c r="X223" s="3"/>
      <c r="Y223" s="3"/>
      <c r="Z223" s="3"/>
    </row>
    <row r="224" spans="1:26" ht="12.75" x14ac:dyDescent="0.2">
      <c r="A224" s="3"/>
      <c r="B224" s="33"/>
      <c r="C224" s="27" t="s">
        <v>282</v>
      </c>
      <c r="D224" s="33"/>
      <c r="E224" s="33"/>
      <c r="F224" s="106">
        <f>$I80*F$115/1000*F$151</f>
        <v>6.6439999999999997E-3</v>
      </c>
      <c r="G224" s="106">
        <f>$I80*G$115/1000*G$151</f>
        <v>7.7972855999999995E-3</v>
      </c>
      <c r="H224" s="106">
        <f>$I80*H$115/1000*H$151</f>
        <v>9.1389192928799986E-3</v>
      </c>
      <c r="I224" s="106">
        <f>$I80*I$115/1000*I$151</f>
        <v>1.0698528722094407E-2</v>
      </c>
      <c r="J224" s="106">
        <f>$I80*J$115/1000*J$151</f>
        <v>1.2141229972288075E-2</v>
      </c>
      <c r="K224" s="106">
        <f>$I80*K$115/1000*K$151</f>
        <v>1.3484602364994094E-2</v>
      </c>
      <c r="L224" s="106">
        <f>$I80*L$115/1000*L$151</f>
        <v>1.454988595182863E-2</v>
      </c>
      <c r="M224" s="106">
        <f>$I80*M$115/1000*M$151</f>
        <v>1.5699326942023091E-2</v>
      </c>
      <c r="N224" s="106">
        <f>$I80*N$115/1000*N$151</f>
        <v>1.6939573770442914E-2</v>
      </c>
      <c r="O224" s="106">
        <f>$I80*O$115/1000*O$151</f>
        <v>1.8277800098307904E-2</v>
      </c>
      <c r="P224" s="3"/>
      <c r="Q224" s="3"/>
      <c r="R224" s="3"/>
      <c r="S224" s="3"/>
      <c r="T224" s="3"/>
      <c r="U224" s="3"/>
      <c r="V224" s="3"/>
      <c r="W224" s="3"/>
      <c r="X224" s="3"/>
      <c r="Y224" s="3"/>
      <c r="Z224" s="3"/>
    </row>
    <row r="225" spans="1:26" ht="12.75" x14ac:dyDescent="0.2">
      <c r="A225" s="3"/>
      <c r="B225" s="33"/>
      <c r="C225" s="27" t="s">
        <v>284</v>
      </c>
      <c r="D225" s="33"/>
      <c r="E225" s="33"/>
      <c r="F225" s="107">
        <f>$I81*F$115/1000*(F$151+F$150+F$149)</f>
        <v>1.3304671631960279</v>
      </c>
      <c r="G225" s="107">
        <f>$I81*G$115/1000*(G$151+G$150+G$149)</f>
        <v>1.555977055528196</v>
      </c>
      <c r="H225" s="107">
        <f>$I81*H$115/1000*(H$151+H$150+H$149)</f>
        <v>1.8179330864688155</v>
      </c>
      <c r="I225" s="107">
        <f>$I81*I$115/1000*(I$151+I$150+I$149)</f>
        <v>2.1220402385062034</v>
      </c>
      <c r="J225" s="107">
        <f>$I81*J$115/1000*(J$151+J$150+J$149)</f>
        <v>2.4041654882156029</v>
      </c>
      <c r="K225" s="107">
        <f>$I81*K$115/1000*(K$151+K$150+K$149)</f>
        <v>2.6677100197804777</v>
      </c>
      <c r="L225" s="107">
        <f>$I81*L$115/1000*(L$151+L$150+L$149)</f>
        <v>2.8784591113431355</v>
      </c>
      <c r="M225" s="107">
        <f>$I81*M$115/1000*(M$151+M$150+M$149)</f>
        <v>3.1058573811392431</v>
      </c>
      <c r="N225" s="107">
        <f>$I81*N$115/1000*(N$151+N$150+N$149)</f>
        <v>3.351220114249243</v>
      </c>
      <c r="O225" s="107">
        <f>$I81*O$115/1000*(O$151+O$150+O$149)</f>
        <v>3.6159665032749335</v>
      </c>
      <c r="P225" s="3"/>
      <c r="Q225" s="3"/>
      <c r="R225" s="3"/>
      <c r="S225" s="3"/>
      <c r="T225" s="3"/>
      <c r="U225" s="3"/>
      <c r="V225" s="3"/>
      <c r="W225" s="3"/>
      <c r="X225" s="3"/>
      <c r="Y225" s="3"/>
      <c r="Z225" s="3"/>
    </row>
    <row r="226" spans="1:26" ht="12.75" x14ac:dyDescent="0.2">
      <c r="A226" s="3"/>
      <c r="B226" s="33"/>
      <c r="C226" s="31" t="s">
        <v>289</v>
      </c>
      <c r="D226" s="36"/>
      <c r="E226" s="36"/>
      <c r="F226" s="40">
        <f t="shared" ref="F226:O226" si="35">SUM(F224:F225)</f>
        <v>1.337111163196028</v>
      </c>
      <c r="G226" s="40">
        <f t="shared" si="35"/>
        <v>1.5637743411281959</v>
      </c>
      <c r="H226" s="40">
        <f t="shared" si="35"/>
        <v>1.8270720057616954</v>
      </c>
      <c r="I226" s="40">
        <f t="shared" si="35"/>
        <v>2.1327387672282976</v>
      </c>
      <c r="J226" s="40">
        <f t="shared" si="35"/>
        <v>2.416306718187891</v>
      </c>
      <c r="K226" s="40">
        <f t="shared" si="35"/>
        <v>2.6811946221454717</v>
      </c>
      <c r="L226" s="40">
        <f t="shared" si="35"/>
        <v>2.893008997294964</v>
      </c>
      <c r="M226" s="40">
        <f t="shared" si="35"/>
        <v>3.1215567080812661</v>
      </c>
      <c r="N226" s="40">
        <f t="shared" si="35"/>
        <v>3.368159688019686</v>
      </c>
      <c r="O226" s="40">
        <f t="shared" si="35"/>
        <v>3.6342443033732414</v>
      </c>
      <c r="P226" s="3"/>
      <c r="Q226" s="3"/>
      <c r="R226" s="3"/>
      <c r="S226" s="3"/>
      <c r="T226" s="3"/>
      <c r="U226" s="3"/>
      <c r="V226" s="3"/>
      <c r="W226" s="3"/>
      <c r="X226" s="3"/>
      <c r="Y226" s="3"/>
      <c r="Z226" s="3"/>
    </row>
    <row r="227" spans="1:26" ht="12.75" hidden="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hidden="1" x14ac:dyDescent="0.2">
      <c r="A228" s="3"/>
      <c r="B228" s="32" t="s">
        <v>228</v>
      </c>
      <c r="C228" s="33"/>
      <c r="D228" s="33"/>
      <c r="E228" s="33"/>
      <c r="F228" s="33"/>
      <c r="G228" s="33"/>
      <c r="H228" s="33"/>
      <c r="I228" s="33"/>
      <c r="J228" s="33"/>
      <c r="K228" s="33"/>
      <c r="L228" s="33"/>
      <c r="M228" s="33"/>
      <c r="N228" s="33"/>
      <c r="O228" s="33"/>
      <c r="P228" s="3"/>
      <c r="Q228" s="3"/>
      <c r="R228" s="3"/>
      <c r="S228" s="3"/>
      <c r="T228" s="3"/>
      <c r="U228" s="3"/>
      <c r="V228" s="3"/>
      <c r="W228" s="3"/>
      <c r="X228" s="3"/>
      <c r="Y228" s="3"/>
      <c r="Z228" s="3"/>
    </row>
    <row r="229" spans="1:26" ht="12.75" hidden="1" x14ac:dyDescent="0.2">
      <c r="A229" s="3"/>
      <c r="B229" s="33"/>
      <c r="C229" s="34" t="s">
        <v>218</v>
      </c>
      <c r="D229" s="33"/>
      <c r="E229" s="33"/>
      <c r="F229" s="33"/>
      <c r="G229" s="33"/>
      <c r="H229" s="33"/>
      <c r="I229" s="33"/>
      <c r="J229" s="33"/>
      <c r="K229" s="33"/>
      <c r="L229" s="33"/>
      <c r="M229" s="33"/>
      <c r="N229" s="33"/>
      <c r="O229" s="33"/>
      <c r="P229" s="3"/>
      <c r="Q229" s="3"/>
      <c r="R229" s="3"/>
      <c r="S229" s="3"/>
      <c r="T229" s="3"/>
      <c r="U229" s="3"/>
      <c r="V229" s="3"/>
      <c r="W229" s="3"/>
      <c r="X229" s="3"/>
      <c r="Y229" s="3"/>
      <c r="Z229" s="3"/>
    </row>
    <row r="230" spans="1:26" ht="12.75" hidden="1" x14ac:dyDescent="0.2">
      <c r="A230" s="3"/>
      <c r="B230" s="33"/>
      <c r="C230" s="94" t="s">
        <v>272</v>
      </c>
      <c r="D230" s="33"/>
      <c r="E230" s="33"/>
      <c r="F230" s="39" t="e">
        <f>$M40*#REF!*$M48*F$130*F$115/1000</f>
        <v>#REF!</v>
      </c>
      <c r="G230" s="39" t="e">
        <f>$M40*#REF!*$M48*G$130*G$115/1000</f>
        <v>#REF!</v>
      </c>
      <c r="H230" s="39" t="e">
        <f>$M40*#REF!*$M48*H$130*H$115/1000</f>
        <v>#REF!</v>
      </c>
      <c r="I230" s="39" t="e">
        <f>$M40*#REF!*$M48*I$130*I$115/1000</f>
        <v>#REF!</v>
      </c>
      <c r="J230" s="39" t="e">
        <f>$M40*#REF!*$M48*J$130*J$115/1000</f>
        <v>#REF!</v>
      </c>
      <c r="K230" s="39" t="e">
        <f>$M40*#REF!*$M48*K$130*K$115/1000</f>
        <v>#REF!</v>
      </c>
      <c r="L230" s="39" t="e">
        <f>$M40*#REF!*$M48*L$130*L$115/1000</f>
        <v>#REF!</v>
      </c>
      <c r="M230" s="39" t="e">
        <f>$M40*#REF!*$M48*M$130*M$115/1000</f>
        <v>#REF!</v>
      </c>
      <c r="N230" s="39" t="e">
        <f>$M40*#REF!*$M48*N$130*N$115/1000</f>
        <v>#REF!</v>
      </c>
      <c r="O230" s="39" t="e">
        <f>$M40*#REF!*$M48*O$130*O$115/1000</f>
        <v>#REF!</v>
      </c>
      <c r="P230" s="3"/>
      <c r="Q230" s="3"/>
      <c r="R230" s="3"/>
      <c r="S230" s="3"/>
      <c r="T230" s="3"/>
      <c r="U230" s="3"/>
      <c r="V230" s="3"/>
      <c r="W230" s="3"/>
      <c r="X230" s="3"/>
      <c r="Y230" s="3"/>
      <c r="Z230" s="3"/>
    </row>
    <row r="231" spans="1:26" ht="12.75" hidden="1" x14ac:dyDescent="0.2">
      <c r="A231" s="3"/>
      <c r="B231" s="33"/>
      <c r="C231" s="94" t="s">
        <v>273</v>
      </c>
      <c r="D231" s="33"/>
      <c r="E231" s="33"/>
      <c r="F231" s="39" t="e">
        <f>$M41*#REF!*$M49*F$130*F$115/1000</f>
        <v>#REF!</v>
      </c>
      <c r="G231" s="39" t="e">
        <f>$M41*#REF!*$M49*G$130*G$115/1000</f>
        <v>#REF!</v>
      </c>
      <c r="H231" s="39" t="e">
        <f>$M41*#REF!*$M49*H$130*H$115/1000</f>
        <v>#REF!</v>
      </c>
      <c r="I231" s="39" t="e">
        <f>$M41*#REF!*$M49*I$130*I$115/1000</f>
        <v>#REF!</v>
      </c>
      <c r="J231" s="39" t="e">
        <f>$M41*#REF!*$M49*J$130*J$115/1000</f>
        <v>#REF!</v>
      </c>
      <c r="K231" s="39" t="e">
        <f>$M41*#REF!*$M49*K$130*K$115/1000</f>
        <v>#REF!</v>
      </c>
      <c r="L231" s="39" t="e">
        <f>$M41*#REF!*$M49*L$130*L$115/1000</f>
        <v>#REF!</v>
      </c>
      <c r="M231" s="39" t="e">
        <f>$M41*#REF!*$M49*M$130*M$115/1000</f>
        <v>#REF!</v>
      </c>
      <c r="N231" s="39" t="e">
        <f>$M41*#REF!*$M49*N$130*N$115/1000</f>
        <v>#REF!</v>
      </c>
      <c r="O231" s="39" t="e">
        <f>$M41*#REF!*$M49*O$130*O$115/1000</f>
        <v>#REF!</v>
      </c>
      <c r="P231" s="3"/>
      <c r="Q231" s="3"/>
      <c r="R231" s="3"/>
      <c r="S231" s="3"/>
      <c r="T231" s="3"/>
      <c r="U231" s="3"/>
      <c r="V231" s="3"/>
      <c r="W231" s="3"/>
      <c r="X231" s="3"/>
      <c r="Y231" s="3"/>
      <c r="Z231" s="3"/>
    </row>
    <row r="232" spans="1:26" ht="12.75" hidden="1" x14ac:dyDescent="0.2">
      <c r="A232" s="3"/>
      <c r="B232" s="33"/>
      <c r="C232" s="94" t="s">
        <v>274</v>
      </c>
      <c r="D232" s="33"/>
      <c r="E232" s="35"/>
      <c r="F232" s="39" t="e">
        <f>$M42*#REF!*$M50*F$130*F$115/1000</f>
        <v>#REF!</v>
      </c>
      <c r="G232" s="39" t="e">
        <f>$M42*#REF!*$M50*G$130*G$115/1000</f>
        <v>#REF!</v>
      </c>
      <c r="H232" s="39" t="e">
        <f>$M42*#REF!*$M50*H$130*H$115/1000</f>
        <v>#REF!</v>
      </c>
      <c r="I232" s="39" t="e">
        <f>$M42*#REF!*$M50*I$130*I$115/1000</f>
        <v>#REF!</v>
      </c>
      <c r="J232" s="39" t="e">
        <f>$M42*#REF!*$M50*J$130*J$115/1000</f>
        <v>#REF!</v>
      </c>
      <c r="K232" s="39" t="e">
        <f>$M42*#REF!*$M50*K$130*K$115/1000</f>
        <v>#REF!</v>
      </c>
      <c r="L232" s="39" t="e">
        <f>$M42*#REF!*$M50*L$130*L$115/1000</f>
        <v>#REF!</v>
      </c>
      <c r="M232" s="39" t="e">
        <f>$M42*#REF!*$M50*M$130*M$115/1000</f>
        <v>#REF!</v>
      </c>
      <c r="N232" s="39" t="e">
        <f>$M42*#REF!*$M50*N$130*N$115/1000</f>
        <v>#REF!</v>
      </c>
      <c r="O232" s="39" t="e">
        <f>$M42*#REF!*$M50*O$130*O$115/1000</f>
        <v>#REF!</v>
      </c>
      <c r="P232" s="3"/>
      <c r="Q232" s="3"/>
      <c r="R232" s="3"/>
      <c r="S232" s="3"/>
      <c r="T232" s="3"/>
      <c r="U232" s="3"/>
      <c r="V232" s="3"/>
      <c r="W232" s="3"/>
      <c r="X232" s="3"/>
      <c r="Y232" s="3"/>
      <c r="Z232" s="3"/>
    </row>
    <row r="233" spans="1:26" ht="12.75" hidden="1" x14ac:dyDescent="0.2">
      <c r="A233" s="3"/>
      <c r="B233" s="33"/>
      <c r="C233" s="94" t="s">
        <v>275</v>
      </c>
      <c r="D233" s="33"/>
      <c r="E233" s="35"/>
      <c r="F233" s="39" t="e">
        <f>$M43*#REF!*$M51*F$130*F$115/1000</f>
        <v>#REF!</v>
      </c>
      <c r="G233" s="39" t="e">
        <f>$M43*#REF!*$M51*G$130*G$115/1000</f>
        <v>#REF!</v>
      </c>
      <c r="H233" s="39" t="e">
        <f>$M43*#REF!*$M51*H$130*H$115/1000</f>
        <v>#REF!</v>
      </c>
      <c r="I233" s="39" t="e">
        <f>$M43*#REF!*$M51*I$130*I$115/1000</f>
        <v>#REF!</v>
      </c>
      <c r="J233" s="39" t="e">
        <f>$M43*#REF!*$M51*J$130*J$115/1000</f>
        <v>#REF!</v>
      </c>
      <c r="K233" s="39" t="e">
        <f>$M43*#REF!*$M51*K$130*K$115/1000</f>
        <v>#REF!</v>
      </c>
      <c r="L233" s="39" t="e">
        <f>$M43*#REF!*$M51*L$130*L$115/1000</f>
        <v>#REF!</v>
      </c>
      <c r="M233" s="39" t="e">
        <f>$M43*#REF!*$M51*M$130*M$115/1000</f>
        <v>#REF!</v>
      </c>
      <c r="N233" s="39" t="e">
        <f>$M43*#REF!*$M51*N$130*N$115/1000</f>
        <v>#REF!</v>
      </c>
      <c r="O233" s="39" t="e">
        <f>$M43*#REF!*$M51*O$130*O$115/1000</f>
        <v>#REF!</v>
      </c>
      <c r="P233" s="3"/>
      <c r="Q233" s="3"/>
      <c r="R233" s="3"/>
      <c r="S233" s="3"/>
      <c r="T233" s="3"/>
      <c r="U233" s="3"/>
      <c r="V233" s="3"/>
      <c r="W233" s="3"/>
      <c r="X233" s="3"/>
      <c r="Y233" s="3"/>
      <c r="Z233" s="3"/>
    </row>
    <row r="234" spans="1:26" s="105" customFormat="1" ht="12.75" hidden="1" x14ac:dyDescent="0.2">
      <c r="A234" s="102"/>
      <c r="B234" s="35"/>
      <c r="C234" s="84" t="s">
        <v>293</v>
      </c>
      <c r="D234" s="35"/>
      <c r="E234" s="35"/>
      <c r="F234" s="104" t="e">
        <f>$M44*#REF!*$M52*F$130*F$115/1000</f>
        <v>#REF!</v>
      </c>
      <c r="G234" s="104" t="e">
        <f>$M44*#REF!*$M52*G$130*G$115/1000</f>
        <v>#REF!</v>
      </c>
      <c r="H234" s="104" t="e">
        <f>$M44*#REF!*$M52*H$130*H$115/1000</f>
        <v>#REF!</v>
      </c>
      <c r="I234" s="104" t="e">
        <f>$M44*#REF!*$M52*I$130*I$115/1000</f>
        <v>#REF!</v>
      </c>
      <c r="J234" s="104" t="e">
        <f>$M44*#REF!*$M52*J$130*J$115/1000</f>
        <v>#REF!</v>
      </c>
      <c r="K234" s="104" t="e">
        <f>$M44*#REF!*$M52*K$130*K$115/1000</f>
        <v>#REF!</v>
      </c>
      <c r="L234" s="104" t="e">
        <f>$M44*#REF!*$M52*L$130*L$115/1000</f>
        <v>#REF!</v>
      </c>
      <c r="M234" s="104" t="e">
        <f>$M44*#REF!*$M52*M$130*M$115/1000</f>
        <v>#REF!</v>
      </c>
      <c r="N234" s="104" t="e">
        <f>$M44*#REF!*$M52*N$130*N$115/1000</f>
        <v>#REF!</v>
      </c>
      <c r="O234" s="104" t="e">
        <f>$M44*#REF!*$M52*O$130*O$115/1000</f>
        <v>#REF!</v>
      </c>
      <c r="P234" s="102"/>
      <c r="Q234" s="102"/>
      <c r="R234" s="102"/>
      <c r="S234" s="102"/>
      <c r="T234" s="102"/>
      <c r="U234" s="102"/>
      <c r="V234" s="102"/>
      <c r="W234" s="102"/>
      <c r="X234" s="102"/>
      <c r="Y234" s="102"/>
      <c r="Z234" s="102"/>
    </row>
    <row r="235" spans="1:26" ht="12.75" hidden="1" x14ac:dyDescent="0.2">
      <c r="A235" s="3"/>
      <c r="B235" s="33"/>
      <c r="C235" s="94" t="s">
        <v>278</v>
      </c>
      <c r="D235" s="33"/>
      <c r="E235" s="35"/>
      <c r="F235" s="39" t="e">
        <f>$M45*#REF!*$M53*F$130*F$115/1000</f>
        <v>#REF!</v>
      </c>
      <c r="G235" s="39" t="e">
        <f>$M45*#REF!*$M53*G$130*G$115/1000</f>
        <v>#REF!</v>
      </c>
      <c r="H235" s="39" t="e">
        <f>$M45*#REF!*$M53*H$130*H$115/1000</f>
        <v>#REF!</v>
      </c>
      <c r="I235" s="39" t="e">
        <f>$M45*#REF!*$M53*I$130*I$115/1000</f>
        <v>#REF!</v>
      </c>
      <c r="J235" s="39" t="e">
        <f>$M45*#REF!*$M53*J$130*J$115/1000</f>
        <v>#REF!</v>
      </c>
      <c r="K235" s="39" t="e">
        <f>$M45*#REF!*$M53*K$130*K$115/1000</f>
        <v>#REF!</v>
      </c>
      <c r="L235" s="39" t="e">
        <f>$M45*#REF!*$M53*L$130*L$115/1000</f>
        <v>#REF!</v>
      </c>
      <c r="M235" s="39" t="e">
        <f>$M45*#REF!*$M53*M$130*M$115/1000</f>
        <v>#REF!</v>
      </c>
      <c r="N235" s="39" t="e">
        <f>$M45*#REF!*$M53*N$130*N$115/1000</f>
        <v>#REF!</v>
      </c>
      <c r="O235" s="39" t="e">
        <f>$M45*#REF!*$M53*O$130*O$115/1000</f>
        <v>#REF!</v>
      </c>
      <c r="P235" s="3"/>
      <c r="Q235" s="3"/>
      <c r="R235" s="3"/>
      <c r="S235" s="3"/>
      <c r="T235" s="3"/>
      <c r="U235" s="3"/>
      <c r="V235" s="3"/>
      <c r="W235" s="3"/>
      <c r="X235" s="3"/>
      <c r="Y235" s="3"/>
      <c r="Z235" s="3"/>
    </row>
    <row r="236" spans="1:26" ht="12.75" hidden="1" x14ac:dyDescent="0.2">
      <c r="A236" s="3"/>
      <c r="B236" s="33"/>
      <c r="C236" s="9" t="s">
        <v>85</v>
      </c>
      <c r="D236" s="33"/>
      <c r="E236" s="35"/>
      <c r="F236" s="39">
        <f>$M$46*$M$53*F$130*F$115/1000</f>
        <v>0</v>
      </c>
      <c r="G236" s="39">
        <f>$M$46*$M$53*G$130*G$115/1000</f>
        <v>0</v>
      </c>
      <c r="H236" s="39">
        <f>$M$46*$M$53*H$130*H$115/1000</f>
        <v>0</v>
      </c>
      <c r="I236" s="39">
        <f>$M$46*$M$53*I$130*I$115/1000</f>
        <v>0</v>
      </c>
      <c r="J236" s="39">
        <f>$M$46*$M$53*J$130*J$115/1000</f>
        <v>0</v>
      </c>
      <c r="K236" s="39">
        <f>$M$46*$M$53*K$130*K$115/1000</f>
        <v>0</v>
      </c>
      <c r="L236" s="39">
        <f>$M$46*$M$53*L$130*L$115/1000</f>
        <v>0</v>
      </c>
      <c r="M236" s="39">
        <f>$M$46*$M$53*M$130*M$115/1000</f>
        <v>0</v>
      </c>
      <c r="N236" s="39">
        <f>$M$46*$M$53*N$130*N$115/1000</f>
        <v>0</v>
      </c>
      <c r="O236" s="39">
        <f>$M$46*$M$53*O$130*O$115/1000</f>
        <v>0</v>
      </c>
      <c r="P236" s="3"/>
      <c r="Q236" s="3"/>
      <c r="R236" s="3"/>
      <c r="S236" s="3"/>
      <c r="T236" s="3"/>
      <c r="U236" s="3"/>
      <c r="V236" s="3"/>
      <c r="W236" s="3"/>
      <c r="X236" s="3"/>
      <c r="Y236" s="3"/>
      <c r="Z236" s="3"/>
    </row>
    <row r="237" spans="1:26" ht="12.75" hidden="1" x14ac:dyDescent="0.2">
      <c r="A237" s="3"/>
      <c r="B237" s="33"/>
      <c r="C237" s="31" t="s">
        <v>207</v>
      </c>
      <c r="D237" s="36"/>
      <c r="E237" s="36"/>
      <c r="F237" s="40" t="e">
        <f t="shared" ref="F237:O237" si="36">SUM(F230:F236)*(1+$F$55)</f>
        <v>#REF!</v>
      </c>
      <c r="G237" s="40" t="e">
        <f t="shared" si="36"/>
        <v>#REF!</v>
      </c>
      <c r="H237" s="40" t="e">
        <f t="shared" si="36"/>
        <v>#REF!</v>
      </c>
      <c r="I237" s="40" t="e">
        <f t="shared" si="36"/>
        <v>#REF!</v>
      </c>
      <c r="J237" s="40" t="e">
        <f t="shared" si="36"/>
        <v>#REF!</v>
      </c>
      <c r="K237" s="40" t="e">
        <f t="shared" si="36"/>
        <v>#REF!</v>
      </c>
      <c r="L237" s="40" t="e">
        <f t="shared" si="36"/>
        <v>#REF!</v>
      </c>
      <c r="M237" s="40" t="e">
        <f t="shared" si="36"/>
        <v>#REF!</v>
      </c>
      <c r="N237" s="40" t="e">
        <f t="shared" si="36"/>
        <v>#REF!</v>
      </c>
      <c r="O237" s="40" t="e">
        <f t="shared" si="36"/>
        <v>#REF!</v>
      </c>
      <c r="P237" s="3"/>
      <c r="Q237" s="3"/>
      <c r="R237" s="3"/>
      <c r="S237" s="3"/>
      <c r="T237" s="3"/>
      <c r="U237" s="3"/>
      <c r="V237" s="3"/>
      <c r="W237" s="3"/>
      <c r="X237" s="3"/>
      <c r="Y237" s="3"/>
      <c r="Z237" s="3"/>
    </row>
    <row r="238" spans="1:26" ht="12.75" hidden="1" x14ac:dyDescent="0.2">
      <c r="A238" s="3"/>
      <c r="B238" s="33"/>
      <c r="C238" s="9"/>
      <c r="D238" s="33"/>
      <c r="E238" s="33"/>
      <c r="F238" s="41"/>
      <c r="G238" s="41"/>
      <c r="H238" s="41"/>
      <c r="I238" s="41"/>
      <c r="J238" s="41"/>
      <c r="K238" s="41"/>
      <c r="L238" s="41"/>
      <c r="M238" s="41"/>
      <c r="N238" s="41"/>
      <c r="O238" s="41"/>
      <c r="P238" s="3"/>
      <c r="Q238" s="3"/>
      <c r="R238" s="3"/>
      <c r="S238" s="3"/>
      <c r="T238" s="3"/>
      <c r="U238" s="3"/>
      <c r="V238" s="3"/>
      <c r="W238" s="3"/>
      <c r="X238" s="3"/>
      <c r="Y238" s="3"/>
      <c r="Z238" s="3"/>
    </row>
    <row r="239" spans="1:26" ht="12.75" hidden="1" x14ac:dyDescent="0.2">
      <c r="A239" s="3"/>
      <c r="B239" s="33"/>
      <c r="C239" s="34" t="s">
        <v>215</v>
      </c>
      <c r="D239" s="33"/>
      <c r="E239" s="33"/>
      <c r="F239" s="41"/>
      <c r="G239" s="41"/>
      <c r="H239" s="41"/>
      <c r="I239" s="41"/>
      <c r="J239" s="41"/>
      <c r="K239" s="41"/>
      <c r="L239" s="41"/>
      <c r="M239" s="41"/>
      <c r="N239" s="41"/>
      <c r="O239" s="41"/>
      <c r="P239" s="3"/>
      <c r="Q239" s="3"/>
      <c r="R239" s="3"/>
      <c r="S239" s="3"/>
      <c r="T239" s="3"/>
      <c r="U239" s="3"/>
      <c r="V239" s="3"/>
      <c r="W239" s="3"/>
      <c r="X239" s="3"/>
      <c r="Y239" s="3"/>
      <c r="Z239" s="3"/>
    </row>
    <row r="240" spans="1:26" ht="12.75" hidden="1" x14ac:dyDescent="0.2">
      <c r="A240" s="3"/>
      <c r="B240" s="33"/>
      <c r="C240" s="9" t="s">
        <v>110</v>
      </c>
      <c r="D240" s="33"/>
      <c r="E240" s="33"/>
      <c r="F240" s="39" t="e">
        <f>$M57*#REF!*F$115/1000</f>
        <v>#REF!</v>
      </c>
      <c r="G240" s="39" t="e">
        <f>$M57*#REF!*G$115/1000</f>
        <v>#REF!</v>
      </c>
      <c r="H240" s="39" t="e">
        <f>$M57*#REF!*H$115/1000</f>
        <v>#REF!</v>
      </c>
      <c r="I240" s="39" t="e">
        <f>$M57*#REF!*I$115/1000</f>
        <v>#REF!</v>
      </c>
      <c r="J240" s="39" t="e">
        <f>$M57*#REF!*J$115/1000</f>
        <v>#REF!</v>
      </c>
      <c r="K240" s="39" t="e">
        <f>$M57*#REF!*K$115/1000</f>
        <v>#REF!</v>
      </c>
      <c r="L240" s="39" t="e">
        <f>$M57*#REF!*L$115/1000</f>
        <v>#REF!</v>
      </c>
      <c r="M240" s="39" t="e">
        <f>$M57*#REF!*M$115/1000</f>
        <v>#REF!</v>
      </c>
      <c r="N240" s="39" t="e">
        <f>$M57*#REF!*N$115/1000</f>
        <v>#REF!</v>
      </c>
      <c r="O240" s="39" t="e">
        <f>$M57*#REF!*O$115/1000</f>
        <v>#REF!</v>
      </c>
      <c r="P240" s="3"/>
      <c r="Q240" s="3"/>
      <c r="R240" s="3"/>
      <c r="S240" s="3"/>
      <c r="T240" s="3"/>
      <c r="U240" s="3"/>
      <c r="V240" s="3"/>
      <c r="W240" s="3"/>
      <c r="X240" s="3"/>
      <c r="Y240" s="3"/>
      <c r="Z240" s="3"/>
    </row>
    <row r="241" spans="1:26" ht="12.75" hidden="1" x14ac:dyDescent="0.2">
      <c r="A241" s="3"/>
      <c r="B241" s="33"/>
      <c r="C241" s="27" t="s">
        <v>283</v>
      </c>
      <c r="D241" s="33"/>
      <c r="E241" s="33"/>
      <c r="F241" s="107" t="e">
        <f>($F$59+$F$59*(#REF!-1)*($F$58))/1000*F$115</f>
        <v>#REF!</v>
      </c>
      <c r="G241" s="107" t="e">
        <f>($F$59+$F$59*(#REF!-1)*($F$58))/1000*G$115</f>
        <v>#REF!</v>
      </c>
      <c r="H241" s="107" t="e">
        <f>($F$59+$F$59*(#REF!-1)*($F$58))/1000*H$115</f>
        <v>#REF!</v>
      </c>
      <c r="I241" s="107" t="e">
        <f>($F$59+$F$59*(#REF!-1)*($F$58))/1000*I$115</f>
        <v>#REF!</v>
      </c>
      <c r="J241" s="107" t="e">
        <f>($F$59+$F$59*(#REF!-1)*($F$58))/1000*J$115</f>
        <v>#REF!</v>
      </c>
      <c r="K241" s="107" t="e">
        <f>($F$59+$F$59*(#REF!-1)*($F$58))/1000*K$115</f>
        <v>#REF!</v>
      </c>
      <c r="L241" s="107" t="e">
        <f>($F$59+$F$59*(#REF!-1)*($F$58))/1000*L$115</f>
        <v>#REF!</v>
      </c>
      <c r="M241" s="107" t="e">
        <f>($F$59+$F$59*(#REF!-1)*($F$58))/1000*M$115</f>
        <v>#REF!</v>
      </c>
      <c r="N241" s="107" t="e">
        <f>($F$59+$F$59*(#REF!-1)*($F$58))/1000*N$115</f>
        <v>#REF!</v>
      </c>
      <c r="O241" s="107" t="e">
        <f>($F$59+$F$59*(#REF!-1)*($F$58))/1000*O$115</f>
        <v>#REF!</v>
      </c>
      <c r="P241" s="3"/>
      <c r="Q241" s="3"/>
      <c r="R241" s="3"/>
      <c r="S241" s="3"/>
      <c r="T241" s="3"/>
      <c r="U241" s="3"/>
      <c r="V241" s="3"/>
      <c r="W241" s="3"/>
      <c r="X241" s="3"/>
      <c r="Y241" s="3"/>
      <c r="Z241" s="3"/>
    </row>
    <row r="242" spans="1:26" ht="12.75" hidden="1" x14ac:dyDescent="0.2">
      <c r="A242" s="3"/>
      <c r="B242" s="33"/>
      <c r="C242" s="31" t="s">
        <v>216</v>
      </c>
      <c r="D242" s="36"/>
      <c r="E242" s="36"/>
      <c r="F242" s="40" t="e">
        <f t="shared" ref="F242:O242" si="37">SUM(F240:F241)</f>
        <v>#REF!</v>
      </c>
      <c r="G242" s="40" t="e">
        <f t="shared" si="37"/>
        <v>#REF!</v>
      </c>
      <c r="H242" s="40" t="e">
        <f t="shared" si="37"/>
        <v>#REF!</v>
      </c>
      <c r="I242" s="40" t="e">
        <f t="shared" si="37"/>
        <v>#REF!</v>
      </c>
      <c r="J242" s="40" t="e">
        <f t="shared" si="37"/>
        <v>#REF!</v>
      </c>
      <c r="K242" s="40" t="e">
        <f t="shared" si="37"/>
        <v>#REF!</v>
      </c>
      <c r="L242" s="40" t="e">
        <f t="shared" si="37"/>
        <v>#REF!</v>
      </c>
      <c r="M242" s="40" t="e">
        <f t="shared" si="37"/>
        <v>#REF!</v>
      </c>
      <c r="N242" s="40" t="e">
        <f t="shared" si="37"/>
        <v>#REF!</v>
      </c>
      <c r="O242" s="40" t="e">
        <f t="shared" si="37"/>
        <v>#REF!</v>
      </c>
      <c r="P242" s="3"/>
      <c r="Q242" s="3"/>
      <c r="R242" s="3"/>
      <c r="S242" s="3"/>
      <c r="T242" s="3"/>
      <c r="U242" s="3"/>
      <c r="V242" s="3"/>
      <c r="W242" s="3"/>
      <c r="X242" s="3"/>
      <c r="Y242" s="3"/>
      <c r="Z242" s="3"/>
    </row>
    <row r="243" spans="1:26" ht="12.75" hidden="1" x14ac:dyDescent="0.2">
      <c r="A243" s="3"/>
      <c r="B243" s="33"/>
      <c r="C243" s="30"/>
      <c r="D243" s="62"/>
      <c r="E243" s="62"/>
      <c r="F243" s="63"/>
      <c r="G243" s="63"/>
      <c r="H243" s="63"/>
      <c r="I243" s="63"/>
      <c r="J243" s="63"/>
      <c r="K243" s="63"/>
      <c r="L243" s="63"/>
      <c r="M243" s="63"/>
      <c r="N243" s="63"/>
      <c r="O243" s="63"/>
      <c r="P243" s="3"/>
      <c r="Q243" s="3"/>
      <c r="R243" s="3"/>
      <c r="S243" s="3"/>
      <c r="T243" s="3"/>
      <c r="U243" s="3"/>
      <c r="V243" s="3"/>
      <c r="W243" s="3"/>
      <c r="X243" s="3"/>
      <c r="Y243" s="3"/>
      <c r="Z243" s="3"/>
    </row>
    <row r="244" spans="1:26" ht="12.75" hidden="1" x14ac:dyDescent="0.2">
      <c r="A244" s="3"/>
      <c r="B244" s="33"/>
      <c r="C244" s="34" t="s">
        <v>219</v>
      </c>
      <c r="D244" s="62"/>
      <c r="E244" s="62"/>
      <c r="F244" s="63"/>
      <c r="G244" s="63"/>
      <c r="H244" s="63"/>
      <c r="I244" s="63"/>
      <c r="J244" s="63"/>
      <c r="K244" s="63"/>
      <c r="L244" s="63"/>
      <c r="M244" s="63"/>
      <c r="N244" s="63"/>
      <c r="O244" s="63"/>
      <c r="P244" s="3"/>
      <c r="Q244" s="3"/>
      <c r="R244" s="3"/>
      <c r="S244" s="3"/>
      <c r="T244" s="3"/>
      <c r="U244" s="3"/>
      <c r="V244" s="3"/>
      <c r="W244" s="3"/>
      <c r="X244" s="3"/>
      <c r="Y244" s="3"/>
      <c r="Z244" s="3"/>
    </row>
    <row r="245" spans="1:26" ht="12.75" hidden="1" x14ac:dyDescent="0.2">
      <c r="A245" s="3"/>
      <c r="B245" s="33"/>
      <c r="C245" s="9" t="s">
        <v>92</v>
      </c>
      <c r="D245" s="33"/>
      <c r="E245" s="33"/>
      <c r="F245" s="39" t="e">
        <f>#REF!</f>
        <v>#REF!</v>
      </c>
      <c r="G245" s="39" t="e">
        <f>#REF!</f>
        <v>#REF!</v>
      </c>
      <c r="H245" s="39" t="e">
        <f>#REF!</f>
        <v>#REF!</v>
      </c>
      <c r="I245" s="39" t="e">
        <f>#REF!</f>
        <v>#REF!</v>
      </c>
      <c r="J245" s="39" t="e">
        <f>#REF!</f>
        <v>#REF!</v>
      </c>
      <c r="K245" s="39" t="e">
        <f>#REF!</f>
        <v>#REF!</v>
      </c>
      <c r="L245" s="39" t="e">
        <f>#REF!</f>
        <v>#REF!</v>
      </c>
      <c r="M245" s="39" t="e">
        <f>#REF!</f>
        <v>#REF!</v>
      </c>
      <c r="N245" s="39" t="e">
        <f>#REF!</f>
        <v>#REF!</v>
      </c>
      <c r="O245" s="39" t="e">
        <f>#REF!</f>
        <v>#REF!</v>
      </c>
      <c r="P245" s="3"/>
      <c r="Q245" s="3"/>
      <c r="R245" s="3"/>
      <c r="S245" s="3"/>
      <c r="T245" s="3"/>
      <c r="U245" s="3"/>
      <c r="V245" s="3"/>
      <c r="W245" s="3"/>
      <c r="X245" s="3"/>
      <c r="Y245" s="3"/>
      <c r="Z245" s="3"/>
    </row>
    <row r="246" spans="1:26" ht="12.75" hidden="1" x14ac:dyDescent="0.2">
      <c r="A246" s="3"/>
      <c r="B246" s="33"/>
      <c r="C246" s="9" t="s">
        <v>96</v>
      </c>
      <c r="D246" s="33"/>
      <c r="E246" s="33"/>
      <c r="F246" s="39" t="e">
        <f>$M63*#REF!*$M71/1000*F$115*F$132</f>
        <v>#REF!</v>
      </c>
      <c r="G246" s="39" t="e">
        <f>$M63*#REF!*$M71/1000*G$115*G$132</f>
        <v>#REF!</v>
      </c>
      <c r="H246" s="39" t="e">
        <f>$M63*#REF!*$M71/1000*H$115*H$132</f>
        <v>#REF!</v>
      </c>
      <c r="I246" s="39" t="e">
        <f>$M63*#REF!*$M71/1000*I$115*I$132</f>
        <v>#REF!</v>
      </c>
      <c r="J246" s="39" t="e">
        <f>$M63*#REF!*$M71/1000*J$115*J$132</f>
        <v>#REF!</v>
      </c>
      <c r="K246" s="39" t="e">
        <f>$M63*#REF!*$M71/1000*K$115*K$132</f>
        <v>#REF!</v>
      </c>
      <c r="L246" s="39" t="e">
        <f>$M63*#REF!*$M71/1000*L$115*L$132</f>
        <v>#REF!</v>
      </c>
      <c r="M246" s="39" t="e">
        <f>$M63*#REF!*$M71/1000*M$115*M$132</f>
        <v>#REF!</v>
      </c>
      <c r="N246" s="39" t="e">
        <f>$M63*#REF!*$M71/1000*N$115*N$132</f>
        <v>#REF!</v>
      </c>
      <c r="O246" s="39" t="e">
        <f>$M63*#REF!*$M71/1000*O$115*O$132</f>
        <v>#REF!</v>
      </c>
      <c r="P246" s="3"/>
      <c r="Q246" s="3"/>
      <c r="R246" s="3"/>
      <c r="S246" s="3"/>
      <c r="T246" s="3"/>
      <c r="U246" s="3"/>
      <c r="V246" s="3"/>
      <c r="W246" s="3"/>
      <c r="X246" s="3"/>
      <c r="Y246" s="3"/>
      <c r="Z246" s="3"/>
    </row>
    <row r="247" spans="1:26" ht="12.75" hidden="1" x14ac:dyDescent="0.2">
      <c r="A247" s="3"/>
      <c r="B247" s="33"/>
      <c r="C247" s="9" t="s">
        <v>99</v>
      </c>
      <c r="D247" s="33"/>
      <c r="E247" s="33"/>
      <c r="F247" s="39" t="e">
        <f>$M64*#REF!*$M72/1000*F$115</f>
        <v>#REF!</v>
      </c>
      <c r="G247" s="39" t="e">
        <f>$M64*#REF!*$M72/1000*G$115</f>
        <v>#REF!</v>
      </c>
      <c r="H247" s="39" t="e">
        <f>$M64*#REF!*$M72/1000*H$115</f>
        <v>#REF!</v>
      </c>
      <c r="I247" s="39" t="e">
        <f>$M64*#REF!*$M72/1000*I$115</f>
        <v>#REF!</v>
      </c>
      <c r="J247" s="39" t="e">
        <f>$M64*#REF!*$M72/1000*J$115</f>
        <v>#REF!</v>
      </c>
      <c r="K247" s="39" t="e">
        <f>$M64*#REF!*$M72/1000*K$115</f>
        <v>#REF!</v>
      </c>
      <c r="L247" s="39" t="e">
        <f>$M64*#REF!*$M72/1000*L$115</f>
        <v>#REF!</v>
      </c>
      <c r="M247" s="39" t="e">
        <f>$M64*#REF!*$M72/1000*M$115</f>
        <v>#REF!</v>
      </c>
      <c r="N247" s="39" t="e">
        <f>$M64*#REF!*$M72/1000*N$115</f>
        <v>#REF!</v>
      </c>
      <c r="O247" s="39" t="e">
        <f>$M64*#REF!*$M72/1000*O$115</f>
        <v>#REF!</v>
      </c>
      <c r="P247" s="3"/>
      <c r="Q247" s="3"/>
      <c r="R247" s="3"/>
      <c r="S247" s="3"/>
      <c r="T247" s="3"/>
      <c r="U247" s="3"/>
      <c r="V247" s="3"/>
      <c r="W247" s="3"/>
      <c r="X247" s="3"/>
      <c r="Y247" s="3"/>
      <c r="Z247" s="3"/>
    </row>
    <row r="248" spans="1:26" ht="12.75" hidden="1" x14ac:dyDescent="0.2">
      <c r="A248" s="3"/>
      <c r="B248" s="33"/>
      <c r="C248" s="9" t="s">
        <v>102</v>
      </c>
      <c r="D248" s="33"/>
      <c r="E248" s="33"/>
      <c r="F248" s="39" t="e">
        <f>$M65*#REF!*$M73/1000*F$115</f>
        <v>#REF!</v>
      </c>
      <c r="G248" s="39" t="e">
        <f>$M65*#REF!*$M73/1000*G$115</f>
        <v>#REF!</v>
      </c>
      <c r="H248" s="39" t="e">
        <f>$M65*#REF!*$M73/1000*H$115</f>
        <v>#REF!</v>
      </c>
      <c r="I248" s="39" t="e">
        <f>$M65*#REF!*$M73/1000*I$115</f>
        <v>#REF!</v>
      </c>
      <c r="J248" s="39" t="e">
        <f>$M65*#REF!*$M73/1000*J$115</f>
        <v>#REF!</v>
      </c>
      <c r="K248" s="39" t="e">
        <f>$M65*#REF!*$M73/1000*K$115</f>
        <v>#REF!</v>
      </c>
      <c r="L248" s="39" t="e">
        <f>$M65*#REF!*$M73/1000*L$115</f>
        <v>#REF!</v>
      </c>
      <c r="M248" s="39" t="e">
        <f>$M65*#REF!*$M73/1000*M$115</f>
        <v>#REF!</v>
      </c>
      <c r="N248" s="39" t="e">
        <f>$M65*#REF!*$M73/1000*N$115</f>
        <v>#REF!</v>
      </c>
      <c r="O248" s="39" t="e">
        <f>$M65*#REF!*$M73/1000*O$115</f>
        <v>#REF!</v>
      </c>
      <c r="P248" s="3"/>
      <c r="Q248" s="3"/>
      <c r="R248" s="3"/>
      <c r="S248" s="3"/>
      <c r="T248" s="3"/>
      <c r="U248" s="3"/>
      <c r="V248" s="3"/>
      <c r="W248" s="3"/>
      <c r="X248" s="3"/>
      <c r="Y248" s="3"/>
      <c r="Z248" s="3"/>
    </row>
    <row r="249" spans="1:26" s="105" customFormat="1" ht="12.75" hidden="1" x14ac:dyDescent="0.2">
      <c r="A249" s="102"/>
      <c r="B249" s="35"/>
      <c r="C249" s="84" t="s">
        <v>292</v>
      </c>
      <c r="D249" s="35"/>
      <c r="E249" s="35"/>
      <c r="F249" s="104"/>
      <c r="G249" s="104"/>
      <c r="H249" s="104"/>
      <c r="I249" s="104"/>
      <c r="J249" s="104"/>
      <c r="K249" s="104"/>
      <c r="L249" s="104"/>
      <c r="M249" s="104"/>
      <c r="N249" s="104"/>
      <c r="O249" s="104"/>
      <c r="P249" s="102"/>
      <c r="Q249" s="102"/>
      <c r="R249" s="102"/>
      <c r="S249" s="102"/>
      <c r="T249" s="102"/>
      <c r="U249" s="102"/>
      <c r="V249" s="102"/>
      <c r="W249" s="102"/>
      <c r="X249" s="102"/>
      <c r="Y249" s="102"/>
      <c r="Z249" s="102"/>
    </row>
    <row r="250" spans="1:26" ht="12.75" hidden="1" x14ac:dyDescent="0.2">
      <c r="A250" s="3"/>
      <c r="B250" s="33"/>
      <c r="C250" s="9" t="s">
        <v>105</v>
      </c>
      <c r="D250" s="33"/>
      <c r="E250" s="33"/>
      <c r="F250" s="39" t="e">
        <f>$M66*#REF!*$M74/1000*F$115</f>
        <v>#REF!</v>
      </c>
      <c r="G250" s="39" t="e">
        <f>$M66*#REF!*$M74/1000*G$115</f>
        <v>#REF!</v>
      </c>
      <c r="H250" s="39" t="e">
        <f>$M66*#REF!*$M74/1000*H$115</f>
        <v>#REF!</v>
      </c>
      <c r="I250" s="39" t="e">
        <f>$M66*#REF!*$M74/1000*I$115</f>
        <v>#REF!</v>
      </c>
      <c r="J250" s="39" t="e">
        <f>$M66*#REF!*$M74/1000*J$115</f>
        <v>#REF!</v>
      </c>
      <c r="K250" s="39" t="e">
        <f>$M66*#REF!*$M74/1000*K$115</f>
        <v>#REF!</v>
      </c>
      <c r="L250" s="39" t="e">
        <f>$M66*#REF!*$M74/1000*L$115</f>
        <v>#REF!</v>
      </c>
      <c r="M250" s="39" t="e">
        <f>$M66*#REF!*$M74/1000*M$115</f>
        <v>#REF!</v>
      </c>
      <c r="N250" s="39" t="e">
        <f>$M66*#REF!*$M74/1000*N$115</f>
        <v>#REF!</v>
      </c>
      <c r="O250" s="39" t="e">
        <f>$M66*#REF!*$M74/1000*O$115</f>
        <v>#REF!</v>
      </c>
      <c r="P250" s="3"/>
      <c r="Q250" s="3"/>
      <c r="R250" s="3"/>
      <c r="S250" s="3"/>
      <c r="T250" s="3"/>
      <c r="U250" s="3"/>
      <c r="V250" s="3"/>
      <c r="W250" s="3"/>
      <c r="X250" s="3"/>
      <c r="Y250" s="3"/>
      <c r="Z250" s="3"/>
    </row>
    <row r="251" spans="1:26" ht="12.75" hidden="1" x14ac:dyDescent="0.2">
      <c r="A251" s="3"/>
      <c r="B251" s="33"/>
      <c r="C251" s="9" t="s">
        <v>108</v>
      </c>
      <c r="D251" s="33"/>
      <c r="E251" s="33"/>
      <c r="F251" s="39" t="e">
        <f>ROUNDUP(#REF!*1000/$F$67,0)*$M75/1000*F$115</f>
        <v>#REF!</v>
      </c>
      <c r="G251" s="39" t="e">
        <f>ROUNDUP(#REF!*1000/$F$67,0)*$M75/1000*G$115</f>
        <v>#REF!</v>
      </c>
      <c r="H251" s="39" t="e">
        <f>ROUNDUP(#REF!*1000/$F$67,0)*$M75/1000*H$115</f>
        <v>#REF!</v>
      </c>
      <c r="I251" s="39" t="e">
        <f>ROUNDUP(#REF!*1000/$F$67,0)*$M75/1000*I$115</f>
        <v>#REF!</v>
      </c>
      <c r="J251" s="39" t="e">
        <f>ROUNDUP(#REF!*1000/$F$67,0)*$M75/1000*J$115</f>
        <v>#REF!</v>
      </c>
      <c r="K251" s="39" t="e">
        <f>ROUNDUP(#REF!*1000/$F$67,0)*$M75/1000*K$115</f>
        <v>#REF!</v>
      </c>
      <c r="L251" s="39" t="e">
        <f>ROUNDUP(#REF!*1000/$F$67,0)*$M75/1000*L$115</f>
        <v>#REF!</v>
      </c>
      <c r="M251" s="39" t="e">
        <f>ROUNDUP(#REF!*1000/$F$67,0)*$M75/1000*M$115</f>
        <v>#REF!</v>
      </c>
      <c r="N251" s="39" t="e">
        <f>ROUNDUP(#REF!*1000/$F$67,0)*$M75/1000*N$115</f>
        <v>#REF!</v>
      </c>
      <c r="O251" s="39" t="e">
        <f>ROUNDUP(#REF!*1000/$F$67,0)*$M75/1000*O$115</f>
        <v>#REF!</v>
      </c>
      <c r="P251" s="3"/>
      <c r="Q251" s="3"/>
      <c r="R251" s="3"/>
      <c r="S251" s="3"/>
      <c r="T251" s="3"/>
      <c r="U251" s="3"/>
      <c r="V251" s="3"/>
      <c r="W251" s="3"/>
      <c r="X251" s="3"/>
      <c r="Y251" s="3"/>
      <c r="Z251" s="3"/>
    </row>
    <row r="252" spans="1:26" ht="12.75" hidden="1" x14ac:dyDescent="0.2">
      <c r="A252" s="3"/>
      <c r="B252" s="33"/>
      <c r="C252" s="36" t="s">
        <v>217</v>
      </c>
      <c r="D252" s="36"/>
      <c r="E252" s="36"/>
      <c r="F252" s="48" t="e">
        <f>SUM(F245:F251)</f>
        <v>#REF!</v>
      </c>
      <c r="G252" s="48" t="e">
        <f t="shared" ref="G252:O252" si="38">SUM(G245:G251)</f>
        <v>#REF!</v>
      </c>
      <c r="H252" s="48" t="e">
        <f t="shared" si="38"/>
        <v>#REF!</v>
      </c>
      <c r="I252" s="48" t="e">
        <f t="shared" si="38"/>
        <v>#REF!</v>
      </c>
      <c r="J252" s="48" t="e">
        <f t="shared" si="38"/>
        <v>#REF!</v>
      </c>
      <c r="K252" s="48" t="e">
        <f t="shared" si="38"/>
        <v>#REF!</v>
      </c>
      <c r="L252" s="48" t="e">
        <f t="shared" si="38"/>
        <v>#REF!</v>
      </c>
      <c r="M252" s="48" t="e">
        <f t="shared" si="38"/>
        <v>#REF!</v>
      </c>
      <c r="N252" s="48" t="e">
        <f t="shared" si="38"/>
        <v>#REF!</v>
      </c>
      <c r="O252" s="48" t="e">
        <f t="shared" si="38"/>
        <v>#REF!</v>
      </c>
      <c r="P252" s="3"/>
      <c r="Q252" s="3"/>
      <c r="R252" s="3"/>
      <c r="S252" s="3"/>
      <c r="T252" s="3"/>
      <c r="U252" s="3"/>
      <c r="V252" s="3"/>
      <c r="W252" s="3"/>
      <c r="X252" s="3"/>
      <c r="Y252" s="3"/>
      <c r="Z252" s="3"/>
    </row>
    <row r="253" spans="1:26" ht="12.75" hidden="1" x14ac:dyDescent="0.2">
      <c r="A253" s="3"/>
      <c r="B253" s="33"/>
      <c r="C253" s="33"/>
      <c r="D253" s="33"/>
      <c r="E253" s="33"/>
      <c r="F253" s="33"/>
      <c r="G253" s="33"/>
      <c r="H253" s="33"/>
      <c r="I253" s="33"/>
      <c r="J253" s="33"/>
      <c r="K253" s="33"/>
      <c r="L253" s="33"/>
      <c r="M253" s="33"/>
      <c r="N253" s="33"/>
      <c r="O253" s="33"/>
      <c r="P253" s="3"/>
      <c r="Q253" s="3"/>
      <c r="R253" s="3"/>
      <c r="S253" s="3"/>
      <c r="T253" s="3"/>
      <c r="U253" s="3"/>
      <c r="V253" s="3"/>
      <c r="W253" s="3"/>
      <c r="X253" s="3"/>
      <c r="Y253" s="3"/>
      <c r="Z253" s="3"/>
    </row>
    <row r="254" spans="1:26" ht="12.75" hidden="1" x14ac:dyDescent="0.2">
      <c r="A254" s="3"/>
      <c r="B254" s="33"/>
      <c r="C254" s="34" t="s">
        <v>214</v>
      </c>
      <c r="D254" s="33"/>
      <c r="E254" s="33"/>
      <c r="F254" s="33"/>
      <c r="G254" s="33"/>
      <c r="H254" s="33"/>
      <c r="I254" s="33"/>
      <c r="J254" s="33"/>
      <c r="K254" s="33"/>
      <c r="L254" s="33"/>
      <c r="M254" s="33"/>
      <c r="N254" s="33"/>
      <c r="O254" s="33"/>
      <c r="P254" s="3"/>
      <c r="Q254" s="3"/>
      <c r="R254" s="3"/>
      <c r="S254" s="3"/>
      <c r="T254" s="3"/>
      <c r="U254" s="3"/>
      <c r="V254" s="3"/>
      <c r="W254" s="3"/>
      <c r="X254" s="3"/>
      <c r="Y254" s="3"/>
      <c r="Z254" s="3"/>
    </row>
    <row r="255" spans="1:26" ht="12.75" hidden="1" x14ac:dyDescent="0.2">
      <c r="A255" s="3"/>
      <c r="B255" s="33"/>
      <c r="C255" s="9" t="s">
        <v>128</v>
      </c>
      <c r="D255" s="33"/>
      <c r="E255" s="33"/>
      <c r="F255" s="39" t="e">
        <f>#REF!/1000*F$115</f>
        <v>#REF!</v>
      </c>
      <c r="G255" s="39" t="e">
        <f>#REF!/1000*G$115</f>
        <v>#REF!</v>
      </c>
      <c r="H255" s="39" t="e">
        <f>#REF!/1000*H$115</f>
        <v>#REF!</v>
      </c>
      <c r="I255" s="39" t="e">
        <f>#REF!/1000*I$115</f>
        <v>#REF!</v>
      </c>
      <c r="J255" s="39" t="e">
        <f>#REF!/1000*J$115</f>
        <v>#REF!</v>
      </c>
      <c r="K255" s="39" t="e">
        <f>#REF!/1000*K$115</f>
        <v>#REF!</v>
      </c>
      <c r="L255" s="39" t="e">
        <f>#REF!/1000*L$115</f>
        <v>#REF!</v>
      </c>
      <c r="M255" s="39" t="e">
        <f>#REF!/1000*M$115</f>
        <v>#REF!</v>
      </c>
      <c r="N255" s="39" t="e">
        <f>#REF!/1000*N$115</f>
        <v>#REF!</v>
      </c>
      <c r="O255" s="39" t="e">
        <f>#REF!/1000*O$115</f>
        <v>#REF!</v>
      </c>
      <c r="P255" s="3"/>
      <c r="Q255" s="3"/>
      <c r="R255" s="3"/>
      <c r="S255" s="3"/>
      <c r="T255" s="3"/>
      <c r="U255" s="3"/>
      <c r="V255" s="3"/>
      <c r="W255" s="3"/>
      <c r="X255" s="3"/>
      <c r="Y255" s="3"/>
      <c r="Z255" s="3"/>
    </row>
    <row r="256" spans="1:26" ht="12.75" hidden="1" x14ac:dyDescent="0.2">
      <c r="A256" s="3"/>
      <c r="B256" s="33"/>
      <c r="C256" s="9" t="s">
        <v>129</v>
      </c>
      <c r="D256" s="33"/>
      <c r="E256" s="33"/>
      <c r="F256" s="39" t="e">
        <f>#REF!/1000*F$115</f>
        <v>#REF!</v>
      </c>
      <c r="G256" s="39" t="e">
        <f>#REF!/1000*G$115</f>
        <v>#REF!</v>
      </c>
      <c r="H256" s="39" t="e">
        <f>#REF!/1000*H$115</f>
        <v>#REF!</v>
      </c>
      <c r="I256" s="39" t="e">
        <f>#REF!/1000*I$115</f>
        <v>#REF!</v>
      </c>
      <c r="J256" s="39" t="e">
        <f>#REF!/1000*J$115</f>
        <v>#REF!</v>
      </c>
      <c r="K256" s="39" t="e">
        <f>#REF!/1000*K$115</f>
        <v>#REF!</v>
      </c>
      <c r="L256" s="39" t="e">
        <f>#REF!/1000*L$115</f>
        <v>#REF!</v>
      </c>
      <c r="M256" s="39" t="e">
        <f>#REF!/1000*M$115</f>
        <v>#REF!</v>
      </c>
      <c r="N256" s="39" t="e">
        <f>#REF!/1000*N$115</f>
        <v>#REF!</v>
      </c>
      <c r="O256" s="39" t="e">
        <f>#REF!/1000*O$115</f>
        <v>#REF!</v>
      </c>
      <c r="P256" s="3"/>
      <c r="Q256" s="3"/>
      <c r="R256" s="3"/>
      <c r="S256" s="3"/>
      <c r="T256" s="3"/>
      <c r="U256" s="3"/>
      <c r="V256" s="3"/>
      <c r="W256" s="3"/>
      <c r="X256" s="3"/>
      <c r="Y256" s="3"/>
      <c r="Z256" s="3"/>
    </row>
    <row r="257" spans="1:26" ht="12.75" hidden="1" x14ac:dyDescent="0.2">
      <c r="A257" s="3"/>
      <c r="B257" s="33"/>
      <c r="C257" s="36" t="s">
        <v>220</v>
      </c>
      <c r="D257" s="36"/>
      <c r="E257" s="36"/>
      <c r="F257" s="59" t="e">
        <f>SUM(F255:F256)</f>
        <v>#REF!</v>
      </c>
      <c r="G257" s="59" t="e">
        <f t="shared" ref="G257:O257" si="39">SUM(G255:G256)</f>
        <v>#REF!</v>
      </c>
      <c r="H257" s="59" t="e">
        <f t="shared" si="39"/>
        <v>#REF!</v>
      </c>
      <c r="I257" s="59" t="e">
        <f t="shared" si="39"/>
        <v>#REF!</v>
      </c>
      <c r="J257" s="59" t="e">
        <f t="shared" si="39"/>
        <v>#REF!</v>
      </c>
      <c r="K257" s="59" t="e">
        <f t="shared" si="39"/>
        <v>#REF!</v>
      </c>
      <c r="L257" s="59" t="e">
        <f t="shared" si="39"/>
        <v>#REF!</v>
      </c>
      <c r="M257" s="59" t="e">
        <f t="shared" si="39"/>
        <v>#REF!</v>
      </c>
      <c r="N257" s="59" t="e">
        <f t="shared" si="39"/>
        <v>#REF!</v>
      </c>
      <c r="O257" s="59" t="e">
        <f t="shared" si="39"/>
        <v>#REF!</v>
      </c>
      <c r="P257" s="3"/>
      <c r="Q257" s="3"/>
      <c r="R257" s="3"/>
      <c r="S257" s="3"/>
      <c r="T257" s="3"/>
      <c r="U257" s="3"/>
      <c r="V257" s="3"/>
      <c r="W257" s="3"/>
      <c r="X257" s="3"/>
      <c r="Y257" s="3"/>
      <c r="Z257" s="3"/>
    </row>
    <row r="258" spans="1:26" ht="12.75" hidden="1" x14ac:dyDescent="0.2">
      <c r="A258" s="3"/>
      <c r="B258" s="33"/>
      <c r="C258" s="62"/>
      <c r="D258" s="62"/>
      <c r="E258" s="62"/>
      <c r="F258" s="103"/>
      <c r="G258" s="103"/>
      <c r="H258" s="103"/>
      <c r="I258" s="103"/>
      <c r="J258" s="103"/>
      <c r="K258" s="103"/>
      <c r="L258" s="103"/>
      <c r="M258" s="103"/>
      <c r="N258" s="103"/>
      <c r="O258" s="103"/>
      <c r="P258" s="3"/>
      <c r="Q258" s="3"/>
      <c r="R258" s="3"/>
      <c r="S258" s="3"/>
      <c r="T258" s="3"/>
      <c r="U258" s="3"/>
      <c r="V258" s="3"/>
      <c r="W258" s="3"/>
      <c r="X258" s="3"/>
      <c r="Y258" s="3"/>
      <c r="Z258" s="3"/>
    </row>
    <row r="259" spans="1:26" ht="12.75" hidden="1" x14ac:dyDescent="0.2">
      <c r="A259" s="3"/>
      <c r="B259" s="33"/>
      <c r="C259" s="34" t="s">
        <v>287</v>
      </c>
      <c r="D259" s="62"/>
      <c r="E259" s="62"/>
      <c r="F259" s="103"/>
      <c r="G259" s="103"/>
      <c r="H259" s="103"/>
      <c r="I259" s="103"/>
      <c r="J259" s="103"/>
      <c r="K259" s="103"/>
      <c r="L259" s="103"/>
      <c r="M259" s="103"/>
      <c r="N259" s="103"/>
      <c r="O259" s="103"/>
      <c r="P259" s="3"/>
      <c r="Q259" s="3"/>
      <c r="R259" s="3"/>
      <c r="S259" s="3"/>
      <c r="T259" s="3"/>
      <c r="U259" s="3"/>
      <c r="V259" s="3"/>
      <c r="W259" s="3"/>
      <c r="X259" s="3"/>
      <c r="Y259" s="3"/>
      <c r="Z259" s="3"/>
    </row>
    <row r="260" spans="1:26" ht="12.75" hidden="1" x14ac:dyDescent="0.2">
      <c r="A260" s="3"/>
      <c r="B260" s="33"/>
      <c r="C260" s="27" t="s">
        <v>282</v>
      </c>
      <c r="D260" s="33"/>
      <c r="E260" s="33"/>
      <c r="F260" s="106" t="e">
        <f>$M80*F$115/1000*#REF!</f>
        <v>#REF!</v>
      </c>
      <c r="G260" s="106" t="e">
        <f>$M80*G$115/1000*#REF!</f>
        <v>#REF!</v>
      </c>
      <c r="H260" s="106" t="e">
        <f>$M80*H$115/1000*#REF!</f>
        <v>#REF!</v>
      </c>
      <c r="I260" s="106" t="e">
        <f>$M80*I$115/1000*#REF!</f>
        <v>#REF!</v>
      </c>
      <c r="J260" s="106" t="e">
        <f>$M80*J$115/1000*#REF!</f>
        <v>#REF!</v>
      </c>
      <c r="K260" s="106" t="e">
        <f>$M80*K$115/1000*#REF!</f>
        <v>#REF!</v>
      </c>
      <c r="L260" s="106" t="e">
        <f>$M80*L$115/1000*#REF!</f>
        <v>#REF!</v>
      </c>
      <c r="M260" s="106" t="e">
        <f>$M80*M$115/1000*#REF!</f>
        <v>#REF!</v>
      </c>
      <c r="N260" s="106" t="e">
        <f>$M80*N$115/1000*#REF!</f>
        <v>#REF!</v>
      </c>
      <c r="O260" s="106" t="e">
        <f>$M80*O$115/1000*#REF!</f>
        <v>#REF!</v>
      </c>
      <c r="P260" s="3"/>
      <c r="Q260" s="3"/>
      <c r="R260" s="3"/>
      <c r="S260" s="3"/>
      <c r="T260" s="3"/>
      <c r="U260" s="3"/>
      <c r="V260" s="3"/>
      <c r="W260" s="3"/>
      <c r="X260" s="3"/>
      <c r="Y260" s="3"/>
      <c r="Z260" s="3"/>
    </row>
    <row r="261" spans="1:26" ht="12.75" hidden="1" x14ac:dyDescent="0.2">
      <c r="A261" s="3"/>
      <c r="B261" s="33"/>
      <c r="C261" s="27" t="s">
        <v>284</v>
      </c>
      <c r="D261" s="33"/>
      <c r="E261" s="33"/>
      <c r="F261" s="107" t="e">
        <f>$M81*F$115/1000*(#REF!+#REF!+#REF!)</f>
        <v>#REF!</v>
      </c>
      <c r="G261" s="107" t="e">
        <f>$M81*G$115/1000*(#REF!+#REF!+#REF!)</f>
        <v>#REF!</v>
      </c>
      <c r="H261" s="107" t="e">
        <f>$M81*H$115/1000*(#REF!+#REF!+#REF!)</f>
        <v>#REF!</v>
      </c>
      <c r="I261" s="107" t="e">
        <f>$M81*I$115/1000*(#REF!+#REF!+#REF!)</f>
        <v>#REF!</v>
      </c>
      <c r="J261" s="107" t="e">
        <f>$M81*J$115/1000*(#REF!+#REF!+#REF!)</f>
        <v>#REF!</v>
      </c>
      <c r="K261" s="107" t="e">
        <f>$M81*K$115/1000*(#REF!+#REF!+#REF!)</f>
        <v>#REF!</v>
      </c>
      <c r="L261" s="107" t="e">
        <f>$M81*L$115/1000*(#REF!+#REF!+#REF!)</f>
        <v>#REF!</v>
      </c>
      <c r="M261" s="107" t="e">
        <f>$M81*M$115/1000*(#REF!+#REF!+#REF!)</f>
        <v>#REF!</v>
      </c>
      <c r="N261" s="107" t="e">
        <f>$M81*N$115/1000*(#REF!+#REF!+#REF!)</f>
        <v>#REF!</v>
      </c>
      <c r="O261" s="107" t="e">
        <f>$M81*O$115/1000*(#REF!+#REF!+#REF!)</f>
        <v>#REF!</v>
      </c>
      <c r="P261" s="3"/>
      <c r="Q261" s="3"/>
      <c r="R261" s="3"/>
      <c r="S261" s="3"/>
      <c r="T261" s="3"/>
      <c r="U261" s="3"/>
      <c r="V261" s="3"/>
      <c r="W261" s="3"/>
      <c r="X261" s="3"/>
      <c r="Y261" s="3"/>
      <c r="Z261" s="3"/>
    </row>
    <row r="262" spans="1:26" ht="12.75" hidden="1" x14ac:dyDescent="0.2">
      <c r="A262" s="3"/>
      <c r="B262" s="33"/>
      <c r="C262" s="31" t="s">
        <v>289</v>
      </c>
      <c r="D262" s="36"/>
      <c r="E262" s="36"/>
      <c r="F262" s="40" t="e">
        <f>SUM(F260:F261)</f>
        <v>#REF!</v>
      </c>
      <c r="G262" s="40" t="e">
        <f t="shared" ref="G262:O262" si="40">SUM(G260:G261)</f>
        <v>#REF!</v>
      </c>
      <c r="H262" s="40" t="e">
        <f t="shared" si="40"/>
        <v>#REF!</v>
      </c>
      <c r="I262" s="40" t="e">
        <f t="shared" si="40"/>
        <v>#REF!</v>
      </c>
      <c r="J262" s="40" t="e">
        <f t="shared" si="40"/>
        <v>#REF!</v>
      </c>
      <c r="K262" s="40" t="e">
        <f t="shared" si="40"/>
        <v>#REF!</v>
      </c>
      <c r="L262" s="40" t="e">
        <f t="shared" si="40"/>
        <v>#REF!</v>
      </c>
      <c r="M262" s="40" t="e">
        <f t="shared" si="40"/>
        <v>#REF!</v>
      </c>
      <c r="N262" s="40" t="e">
        <f t="shared" si="40"/>
        <v>#REF!</v>
      </c>
      <c r="O262" s="40" t="e">
        <f t="shared" si="40"/>
        <v>#REF!</v>
      </c>
      <c r="P262" s="3"/>
      <c r="Q262" s="3"/>
      <c r="R262" s="3"/>
      <c r="S262" s="3"/>
      <c r="T262" s="3"/>
      <c r="U262" s="3"/>
      <c r="V262" s="3"/>
      <c r="W262" s="3"/>
      <c r="X262" s="3"/>
      <c r="Y262" s="3"/>
      <c r="Z262" s="3"/>
    </row>
    <row r="263" spans="1:26" ht="12.75"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x14ac:dyDescent="0.2">
      <c r="A264" s="29" t="s">
        <v>221</v>
      </c>
      <c r="B264" s="2"/>
      <c r="C264" s="2"/>
      <c r="D264" s="6" t="s">
        <v>174</v>
      </c>
      <c r="E264" s="21"/>
      <c r="F264" s="51">
        <v>0</v>
      </c>
      <c r="G264" s="51">
        <v>1</v>
      </c>
      <c r="H264" s="51">
        <v>2</v>
      </c>
      <c r="I264" s="51">
        <v>3</v>
      </c>
      <c r="J264" s="51">
        <v>4</v>
      </c>
      <c r="K264" s="51">
        <v>5</v>
      </c>
      <c r="L264" s="51">
        <v>6</v>
      </c>
      <c r="M264" s="51">
        <v>7</v>
      </c>
      <c r="N264" s="51">
        <v>8</v>
      </c>
      <c r="O264" s="51">
        <v>9</v>
      </c>
      <c r="P264" s="2"/>
      <c r="Q264" s="2"/>
      <c r="R264" s="2"/>
      <c r="S264" s="2"/>
      <c r="T264" s="2"/>
      <c r="U264" s="2"/>
      <c r="V264" s="2"/>
      <c r="W264" s="2"/>
      <c r="X264" s="2"/>
      <c r="Y264" s="2"/>
      <c r="Z264" s="2"/>
    </row>
    <row r="265" spans="1:26" ht="12.75" x14ac:dyDescent="0.2">
      <c r="A265" s="3"/>
      <c r="B265" s="65" t="s">
        <v>244</v>
      </c>
      <c r="C265" s="43"/>
      <c r="D265" s="43"/>
      <c r="E265" s="43"/>
      <c r="F265" s="43"/>
      <c r="G265" s="43"/>
      <c r="H265" s="43"/>
      <c r="I265" s="43"/>
      <c r="J265" s="43"/>
      <c r="K265" s="43"/>
      <c r="L265" s="43"/>
      <c r="M265" s="43"/>
      <c r="N265" s="43"/>
      <c r="O265" s="43"/>
      <c r="P265" s="3"/>
      <c r="Q265" s="3"/>
      <c r="R265" s="3"/>
      <c r="S265" s="3"/>
      <c r="T265" s="3"/>
      <c r="U265" s="3"/>
      <c r="V265" s="3"/>
      <c r="W265" s="3"/>
      <c r="X265" s="3"/>
      <c r="Y265" s="3"/>
      <c r="Z265" s="3"/>
    </row>
    <row r="266" spans="1:26" ht="12.75"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x14ac:dyDescent="0.2">
      <c r="A267" s="3"/>
      <c r="B267" s="32" t="s">
        <v>229</v>
      </c>
      <c r="C267" s="33"/>
      <c r="D267" s="33"/>
      <c r="E267" s="33"/>
      <c r="F267" s="33"/>
      <c r="G267" s="33"/>
      <c r="H267" s="33"/>
      <c r="I267" s="33"/>
      <c r="J267" s="33"/>
      <c r="K267" s="33"/>
      <c r="L267" s="33"/>
      <c r="M267" s="33"/>
      <c r="N267" s="33"/>
      <c r="O267" s="33"/>
      <c r="P267" s="3"/>
      <c r="Q267" s="3"/>
      <c r="R267" s="3"/>
      <c r="S267" s="3"/>
      <c r="T267" s="3"/>
      <c r="U267" s="3"/>
      <c r="V267" s="3"/>
      <c r="W267" s="3"/>
      <c r="X267" s="3"/>
      <c r="Y267" s="3"/>
      <c r="Z267" s="3"/>
    </row>
    <row r="268" spans="1:26" ht="12.75" x14ac:dyDescent="0.2">
      <c r="A268" s="3"/>
      <c r="C268" s="64" t="s">
        <v>222</v>
      </c>
      <c r="D268" s="33"/>
      <c r="E268" s="33"/>
      <c r="F268" s="33"/>
      <c r="G268" s="33"/>
      <c r="H268" s="33"/>
      <c r="I268" s="33"/>
      <c r="J268" s="33"/>
      <c r="K268" s="33"/>
      <c r="L268" s="33"/>
      <c r="M268" s="33"/>
      <c r="N268" s="33"/>
      <c r="O268" s="33"/>
      <c r="P268" s="3"/>
      <c r="Q268" s="3"/>
      <c r="R268" s="3"/>
      <c r="S268" s="3"/>
      <c r="T268" s="3"/>
      <c r="U268" s="3"/>
      <c r="V268" s="3"/>
      <c r="W268" s="3"/>
      <c r="X268" s="3"/>
      <c r="Y268" s="3"/>
      <c r="Z268" s="3"/>
    </row>
    <row r="269" spans="1:26" ht="12.75" x14ac:dyDescent="0.2">
      <c r="A269" s="3"/>
      <c r="B269" s="64"/>
      <c r="C269" s="34" t="s">
        <v>246</v>
      </c>
      <c r="D269" s="33"/>
      <c r="E269" s="33"/>
      <c r="F269" s="33"/>
      <c r="G269" s="33"/>
      <c r="H269" s="33"/>
      <c r="I269" s="33"/>
      <c r="J269" s="33"/>
      <c r="K269" s="33"/>
      <c r="L269" s="33"/>
      <c r="M269" s="33"/>
      <c r="N269" s="33"/>
      <c r="O269" s="33"/>
      <c r="P269" s="3"/>
      <c r="Q269" s="3"/>
      <c r="R269" s="3"/>
      <c r="S269" s="3"/>
      <c r="T269" s="3"/>
      <c r="U269" s="3"/>
      <c r="V269" s="3"/>
      <c r="W269" s="3"/>
      <c r="X269" s="3"/>
      <c r="Y269" s="3"/>
      <c r="Z269" s="3"/>
    </row>
    <row r="270" spans="1:26" ht="12.75" x14ac:dyDescent="0.2">
      <c r="A270" s="3"/>
      <c r="B270" s="33"/>
      <c r="C270" s="9" t="s">
        <v>195</v>
      </c>
      <c r="D270" s="33"/>
      <c r="E270" s="33"/>
      <c r="F270" s="39">
        <f>F154/F$115</f>
        <v>160.96620000000001</v>
      </c>
      <c r="G270" s="39">
        <f>G154/G$115</f>
        <v>162.575862</v>
      </c>
      <c r="H270" s="39">
        <f>H154/H$115</f>
        <v>164.20162062000003</v>
      </c>
      <c r="I270" s="39">
        <f>I154/I$115</f>
        <v>165.84363682619997</v>
      </c>
      <c r="J270" s="39">
        <f>J154/J$115</f>
        <v>167.50207319446201</v>
      </c>
      <c r="K270" s="39">
        <f>K154/K$115</f>
        <v>169.17709392640663</v>
      </c>
      <c r="L270" s="39">
        <f>L154/L$115</f>
        <v>170.8688648656707</v>
      </c>
      <c r="M270" s="39">
        <f>M154/M$115</f>
        <v>172.57755351432738</v>
      </c>
      <c r="N270" s="39">
        <f>N154/N$115</f>
        <v>174.3033290494707</v>
      </c>
      <c r="O270" s="39">
        <f>O154/O$115</f>
        <v>176.04636233996536</v>
      </c>
      <c r="P270" s="3"/>
      <c r="Q270" s="3"/>
      <c r="R270" s="3"/>
      <c r="S270" s="3"/>
      <c r="T270" s="3"/>
      <c r="U270" s="3"/>
      <c r="V270" s="3"/>
      <c r="W270" s="3"/>
      <c r="X270" s="3"/>
      <c r="Y270" s="3"/>
      <c r="Z270" s="3"/>
    </row>
    <row r="271" spans="1:26" ht="12.75" x14ac:dyDescent="0.2">
      <c r="A271" s="3"/>
      <c r="B271" s="33"/>
      <c r="C271" s="27" t="s">
        <v>231</v>
      </c>
      <c r="D271" s="33"/>
      <c r="E271" s="33"/>
      <c r="F271" s="39">
        <f>F155/F$115</f>
        <v>35.056395000000002</v>
      </c>
      <c r="G271" s="39">
        <f>G155/G$115</f>
        <v>35.406958949999996</v>
      </c>
      <c r="H271" s="39">
        <f>H155/H$115</f>
        <v>35.761028539500003</v>
      </c>
      <c r="I271" s="39">
        <f>I155/I$115</f>
        <v>36.118638824894994</v>
      </c>
      <c r="J271" s="39">
        <f>J155/J$115</f>
        <v>36.479825213143954</v>
      </c>
      <c r="K271" s="39">
        <f>K155/K$115</f>
        <v>36.84462346527539</v>
      </c>
      <c r="L271" s="39">
        <f>L155/L$115</f>
        <v>37.213069699928141</v>
      </c>
      <c r="M271" s="39">
        <f>M155/M$115</f>
        <v>37.585200396927426</v>
      </c>
      <c r="N271" s="39">
        <f>N155/N$115</f>
        <v>37.961052400896698</v>
      </c>
      <c r="O271" s="39">
        <f>O155/O$115</f>
        <v>38.340662924905665</v>
      </c>
      <c r="P271" s="3"/>
      <c r="Q271" s="3"/>
      <c r="R271" s="3"/>
      <c r="S271" s="3"/>
      <c r="T271" s="3"/>
      <c r="U271" s="3"/>
      <c r="V271" s="3"/>
      <c r="W271" s="3"/>
      <c r="X271" s="3"/>
      <c r="Y271" s="3"/>
      <c r="Z271" s="3"/>
    </row>
    <row r="272" spans="1:26" ht="12.75" x14ac:dyDescent="0.2">
      <c r="A272" s="3"/>
      <c r="B272" s="33"/>
      <c r="C272" s="36" t="s">
        <v>248</v>
      </c>
      <c r="D272" s="36"/>
      <c r="E272" s="36"/>
      <c r="F272" s="59">
        <f t="shared" ref="F272:O272" si="41">F270-F271</f>
        <v>125.90980500000001</v>
      </c>
      <c r="G272" s="59">
        <f t="shared" si="41"/>
        <v>127.16890305000001</v>
      </c>
      <c r="H272" s="59">
        <f t="shared" si="41"/>
        <v>128.44059208050004</v>
      </c>
      <c r="I272" s="59">
        <f t="shared" si="41"/>
        <v>129.72499800130498</v>
      </c>
      <c r="J272" s="59">
        <f t="shared" si="41"/>
        <v>131.02224798131806</v>
      </c>
      <c r="K272" s="59">
        <f t="shared" si="41"/>
        <v>132.33247046113124</v>
      </c>
      <c r="L272" s="59">
        <f t="shared" si="41"/>
        <v>133.65579516574257</v>
      </c>
      <c r="M272" s="59">
        <f t="shared" si="41"/>
        <v>134.99235311739994</v>
      </c>
      <c r="N272" s="59">
        <f t="shared" si="41"/>
        <v>136.342276648574</v>
      </c>
      <c r="O272" s="59">
        <f t="shared" si="41"/>
        <v>137.70569941505968</v>
      </c>
      <c r="P272" s="3"/>
      <c r="Q272" s="3"/>
      <c r="R272" s="3"/>
      <c r="S272" s="3"/>
      <c r="T272" s="3"/>
      <c r="U272" s="3"/>
      <c r="V272" s="3"/>
      <c r="W272" s="3"/>
      <c r="X272" s="3"/>
      <c r="Y272" s="3"/>
      <c r="Z272" s="3"/>
    </row>
    <row r="273" spans="1:26" ht="12.75" x14ac:dyDescent="0.2">
      <c r="A273" s="3"/>
      <c r="B273" s="33"/>
      <c r="C273" s="27"/>
      <c r="D273" s="33"/>
      <c r="E273" s="33"/>
      <c r="F273" s="41"/>
      <c r="G273" s="37"/>
      <c r="H273" s="37"/>
      <c r="I273" s="37"/>
      <c r="J273" s="37"/>
      <c r="K273" s="37"/>
      <c r="L273" s="37"/>
      <c r="M273" s="37"/>
      <c r="N273" s="37"/>
      <c r="O273" s="37"/>
      <c r="P273" s="3"/>
      <c r="Q273" s="3"/>
      <c r="R273" s="3"/>
      <c r="S273" s="3"/>
      <c r="T273" s="3"/>
      <c r="U273" s="3"/>
      <c r="V273" s="3"/>
      <c r="W273" s="3"/>
      <c r="X273" s="3"/>
      <c r="Y273" s="3"/>
      <c r="Z273" s="3"/>
    </row>
    <row r="274" spans="1:26" ht="12.75" x14ac:dyDescent="0.2">
      <c r="A274" s="3"/>
      <c r="B274" s="33"/>
      <c r="C274" s="34" t="s">
        <v>266</v>
      </c>
      <c r="D274" s="33"/>
      <c r="E274" s="33"/>
      <c r="F274" s="37"/>
      <c r="G274" s="37"/>
      <c r="H274" s="37"/>
      <c r="I274" s="37"/>
      <c r="J274" s="37"/>
      <c r="K274" s="37"/>
      <c r="L274" s="37"/>
      <c r="M274" s="37"/>
      <c r="N274" s="37"/>
      <c r="O274" s="37"/>
      <c r="P274" s="3"/>
      <c r="Q274" s="3"/>
      <c r="R274" s="3"/>
      <c r="S274" s="3"/>
      <c r="T274" s="3"/>
      <c r="U274" s="3"/>
      <c r="V274" s="3"/>
      <c r="W274" s="3"/>
      <c r="X274" s="3"/>
      <c r="Y274" s="3"/>
      <c r="Z274" s="3"/>
    </row>
    <row r="275" spans="1:26" ht="12.75" x14ac:dyDescent="0.2">
      <c r="A275" s="3"/>
      <c r="B275" s="33"/>
      <c r="C275" s="35" t="s">
        <v>267</v>
      </c>
      <c r="D275" s="33"/>
      <c r="E275" s="33"/>
      <c r="F275" s="39">
        <f>$F$90/1000</f>
        <v>0</v>
      </c>
      <c r="G275" s="39">
        <f t="shared" ref="G275:O275" si="42">$F$90/1000</f>
        <v>0</v>
      </c>
      <c r="H275" s="39">
        <f t="shared" si="42"/>
        <v>0</v>
      </c>
      <c r="I275" s="39">
        <f t="shared" si="42"/>
        <v>0</v>
      </c>
      <c r="J275" s="39">
        <f t="shared" si="42"/>
        <v>0</v>
      </c>
      <c r="K275" s="39">
        <f t="shared" si="42"/>
        <v>0</v>
      </c>
      <c r="L275" s="39">
        <f t="shared" si="42"/>
        <v>0</v>
      </c>
      <c r="M275" s="39">
        <f t="shared" si="42"/>
        <v>0</v>
      </c>
      <c r="N275" s="39">
        <f t="shared" si="42"/>
        <v>0</v>
      </c>
      <c r="O275" s="39">
        <f t="shared" si="42"/>
        <v>0</v>
      </c>
      <c r="P275" s="3"/>
      <c r="Q275" s="3"/>
      <c r="R275" s="3"/>
      <c r="S275" s="3"/>
      <c r="T275" s="3"/>
      <c r="U275" s="3"/>
      <c r="V275" s="3"/>
      <c r="W275" s="3"/>
      <c r="X275" s="3"/>
      <c r="Y275" s="3"/>
      <c r="Z275" s="3"/>
    </row>
    <row r="276" spans="1:26" ht="12.75" x14ac:dyDescent="0.2">
      <c r="A276" s="3"/>
      <c r="B276" s="33"/>
      <c r="C276" s="35" t="s">
        <v>138</v>
      </c>
      <c r="D276" s="33"/>
      <c r="E276" s="33"/>
      <c r="F276" s="39">
        <f>$F$86/1000</f>
        <v>0</v>
      </c>
      <c r="G276" s="39">
        <f t="shared" ref="G276:O276" si="43">$F$86/1000</f>
        <v>0</v>
      </c>
      <c r="H276" s="39">
        <f t="shared" si="43"/>
        <v>0</v>
      </c>
      <c r="I276" s="39">
        <f t="shared" si="43"/>
        <v>0</v>
      </c>
      <c r="J276" s="39">
        <f t="shared" si="43"/>
        <v>0</v>
      </c>
      <c r="K276" s="39">
        <f t="shared" si="43"/>
        <v>0</v>
      </c>
      <c r="L276" s="39">
        <f t="shared" si="43"/>
        <v>0</v>
      </c>
      <c r="M276" s="39">
        <f t="shared" si="43"/>
        <v>0</v>
      </c>
      <c r="N276" s="39">
        <f t="shared" si="43"/>
        <v>0</v>
      </c>
      <c r="O276" s="39">
        <f t="shared" si="43"/>
        <v>0</v>
      </c>
      <c r="P276" s="3"/>
      <c r="Q276" s="3"/>
      <c r="R276" s="3"/>
      <c r="S276" s="3"/>
      <c r="T276" s="3"/>
      <c r="U276" s="3"/>
      <c r="V276" s="3"/>
      <c r="W276" s="3"/>
      <c r="X276" s="3"/>
      <c r="Y276" s="3"/>
      <c r="Z276" s="3"/>
    </row>
    <row r="277" spans="1:26" ht="12.75" x14ac:dyDescent="0.2">
      <c r="A277" s="3"/>
      <c r="B277" s="33"/>
      <c r="C277" s="36" t="s">
        <v>247</v>
      </c>
      <c r="D277" s="36"/>
      <c r="E277" s="36"/>
      <c r="F277" s="59">
        <f>SUM(F275:F276)</f>
        <v>0</v>
      </c>
      <c r="G277" s="59">
        <f t="shared" ref="G277:O277" si="44">SUM(G275:G276)</f>
        <v>0</v>
      </c>
      <c r="H277" s="59">
        <f t="shared" si="44"/>
        <v>0</v>
      </c>
      <c r="I277" s="59">
        <f t="shared" si="44"/>
        <v>0</v>
      </c>
      <c r="J277" s="59">
        <f t="shared" si="44"/>
        <v>0</v>
      </c>
      <c r="K277" s="59">
        <f t="shared" si="44"/>
        <v>0</v>
      </c>
      <c r="L277" s="59">
        <f t="shared" si="44"/>
        <v>0</v>
      </c>
      <c r="M277" s="59">
        <f t="shared" si="44"/>
        <v>0</v>
      </c>
      <c r="N277" s="59">
        <f t="shared" si="44"/>
        <v>0</v>
      </c>
      <c r="O277" s="59">
        <f t="shared" si="44"/>
        <v>0</v>
      </c>
      <c r="P277" s="3"/>
      <c r="Q277" s="3"/>
      <c r="R277" s="3"/>
      <c r="S277" s="3"/>
      <c r="T277" s="3"/>
      <c r="U277" s="3"/>
      <c r="V277" s="3"/>
      <c r="W277" s="3"/>
      <c r="X277" s="3"/>
      <c r="Y277" s="3"/>
      <c r="Z277" s="3"/>
    </row>
    <row r="278" spans="1:26" ht="12.75" x14ac:dyDescent="0.2">
      <c r="A278" s="3"/>
      <c r="B278" s="33"/>
      <c r="C278" s="27"/>
      <c r="D278" s="33"/>
      <c r="E278" s="33"/>
      <c r="F278" s="37"/>
      <c r="G278" s="37"/>
      <c r="H278" s="37"/>
      <c r="I278" s="37"/>
      <c r="J278" s="37"/>
      <c r="K278" s="37"/>
      <c r="L278" s="37"/>
      <c r="M278" s="37"/>
      <c r="N278" s="37"/>
      <c r="O278" s="37"/>
      <c r="P278" s="3"/>
      <c r="Q278" s="3"/>
      <c r="R278" s="3"/>
      <c r="S278" s="3"/>
      <c r="T278" s="3"/>
      <c r="U278" s="3"/>
      <c r="V278" s="3"/>
      <c r="W278" s="3"/>
      <c r="X278" s="3"/>
      <c r="Y278" s="3"/>
      <c r="Z278" s="3"/>
    </row>
    <row r="279" spans="1:26" ht="12.75" x14ac:dyDescent="0.2">
      <c r="A279" s="3"/>
      <c r="B279" s="33"/>
      <c r="C279" s="66" t="s">
        <v>230</v>
      </c>
      <c r="D279" s="66"/>
      <c r="E279" s="66"/>
      <c r="F279" s="67">
        <f>F272+F277</f>
        <v>125.90980500000001</v>
      </c>
      <c r="G279" s="67">
        <f t="shared" ref="G279:O279" si="45">G272+G277</f>
        <v>127.16890305000001</v>
      </c>
      <c r="H279" s="67">
        <f t="shared" si="45"/>
        <v>128.44059208050004</v>
      </c>
      <c r="I279" s="67">
        <f t="shared" si="45"/>
        <v>129.72499800130498</v>
      </c>
      <c r="J279" s="67">
        <f t="shared" si="45"/>
        <v>131.02224798131806</v>
      </c>
      <c r="K279" s="67">
        <f t="shared" si="45"/>
        <v>132.33247046113124</v>
      </c>
      <c r="L279" s="67">
        <f t="shared" si="45"/>
        <v>133.65579516574257</v>
      </c>
      <c r="M279" s="67">
        <f t="shared" si="45"/>
        <v>134.99235311739994</v>
      </c>
      <c r="N279" s="67">
        <f t="shared" si="45"/>
        <v>136.342276648574</v>
      </c>
      <c r="O279" s="67">
        <f t="shared" si="45"/>
        <v>137.70569941505968</v>
      </c>
      <c r="P279" s="3"/>
      <c r="Q279" s="3"/>
      <c r="R279" s="3"/>
      <c r="S279" s="3"/>
      <c r="T279" s="3"/>
      <c r="U279" s="3"/>
      <c r="V279" s="3"/>
      <c r="W279" s="3"/>
      <c r="X279" s="3"/>
      <c r="Y279" s="3"/>
      <c r="Z279" s="3"/>
    </row>
    <row r="280" spans="1:26" ht="12.75" x14ac:dyDescent="0.2">
      <c r="A280" s="3"/>
      <c r="B280" s="33"/>
      <c r="C280" s="33"/>
      <c r="D280" s="33"/>
      <c r="E280" s="33"/>
      <c r="F280" s="33"/>
      <c r="G280" s="33"/>
      <c r="H280" s="33"/>
      <c r="I280" s="33"/>
      <c r="J280" s="33"/>
      <c r="K280" s="33"/>
      <c r="L280" s="33"/>
      <c r="M280" s="33"/>
      <c r="N280" s="33"/>
      <c r="O280" s="33"/>
      <c r="P280" s="3"/>
      <c r="Q280" s="3"/>
      <c r="R280" s="3"/>
      <c r="S280" s="3"/>
      <c r="T280" s="3"/>
      <c r="U280" s="3"/>
      <c r="V280" s="3"/>
      <c r="W280" s="3"/>
      <c r="X280" s="3"/>
      <c r="Y280" s="3"/>
      <c r="Z280" s="3"/>
    </row>
    <row r="281" spans="1:26" ht="12.75" x14ac:dyDescent="0.2">
      <c r="A281" s="3"/>
      <c r="C281" s="64" t="s">
        <v>235</v>
      </c>
      <c r="D281" s="33"/>
      <c r="E281" s="33"/>
      <c r="F281" s="33"/>
      <c r="G281" s="33"/>
      <c r="H281" s="33"/>
      <c r="I281" s="33"/>
      <c r="J281" s="33"/>
      <c r="K281" s="33"/>
      <c r="L281" s="33"/>
      <c r="M281" s="33"/>
      <c r="N281" s="33"/>
      <c r="O281" s="33"/>
      <c r="P281" s="3"/>
      <c r="Q281" s="3"/>
      <c r="R281" s="3"/>
      <c r="S281" s="3"/>
      <c r="T281" s="3"/>
      <c r="U281" s="3"/>
      <c r="V281" s="3"/>
      <c r="W281" s="3"/>
      <c r="X281" s="3"/>
      <c r="Y281" s="3"/>
      <c r="Z281" s="3"/>
    </row>
    <row r="282" spans="1:26" ht="12.75" x14ac:dyDescent="0.2">
      <c r="A282" s="3"/>
      <c r="B282" s="64"/>
      <c r="C282" s="34" t="s">
        <v>144</v>
      </c>
      <c r="D282" s="33"/>
      <c r="E282" s="33"/>
      <c r="F282" s="33"/>
      <c r="G282" s="33"/>
      <c r="H282" s="33"/>
      <c r="I282" s="33"/>
      <c r="J282" s="33"/>
      <c r="K282" s="33"/>
      <c r="L282" s="33"/>
      <c r="M282" s="33"/>
      <c r="N282" s="33"/>
      <c r="O282" s="33"/>
      <c r="P282" s="3"/>
      <c r="Q282" s="3"/>
      <c r="R282" s="3"/>
      <c r="S282" s="3"/>
      <c r="T282" s="3"/>
      <c r="U282" s="3"/>
      <c r="V282" s="3"/>
      <c r="W282" s="3"/>
      <c r="X282" s="3"/>
      <c r="Y282" s="3"/>
      <c r="Z282" s="3"/>
    </row>
    <row r="283" spans="1:26" ht="12.75" x14ac:dyDescent="0.2">
      <c r="A283" s="3"/>
      <c r="B283" s="64"/>
      <c r="C283" s="35" t="s">
        <v>245</v>
      </c>
      <c r="D283" s="33"/>
      <c r="E283" s="33"/>
      <c r="F283" s="39">
        <f>$F$90*(1+$F$91)/1000</f>
        <v>0</v>
      </c>
      <c r="G283" s="39">
        <f t="shared" ref="G283:O283" si="46">$F$90*(1+$F$95)/1000</f>
        <v>0</v>
      </c>
      <c r="H283" s="39">
        <f t="shared" si="46"/>
        <v>0</v>
      </c>
      <c r="I283" s="39">
        <f t="shared" si="46"/>
        <v>0</v>
      </c>
      <c r="J283" s="39">
        <f t="shared" si="46"/>
        <v>0</v>
      </c>
      <c r="K283" s="39">
        <f t="shared" si="46"/>
        <v>0</v>
      </c>
      <c r="L283" s="39">
        <f t="shared" si="46"/>
        <v>0</v>
      </c>
      <c r="M283" s="39">
        <f t="shared" si="46"/>
        <v>0</v>
      </c>
      <c r="N283" s="39">
        <f t="shared" si="46"/>
        <v>0</v>
      </c>
      <c r="O283" s="39">
        <f t="shared" si="46"/>
        <v>0</v>
      </c>
      <c r="P283" s="3"/>
      <c r="Q283" s="3"/>
      <c r="R283" s="3"/>
      <c r="S283" s="3"/>
      <c r="T283" s="3"/>
      <c r="U283" s="3"/>
      <c r="V283" s="3"/>
      <c r="W283" s="3"/>
      <c r="X283" s="3"/>
      <c r="Y283" s="3"/>
      <c r="Z283" s="3"/>
    </row>
    <row r="284" spans="1:26" ht="12.75" x14ac:dyDescent="0.2">
      <c r="A284" s="3"/>
      <c r="B284" s="64"/>
      <c r="C284" s="36" t="s">
        <v>245</v>
      </c>
      <c r="D284" s="36"/>
      <c r="E284" s="36"/>
      <c r="F284" s="59">
        <f>F283</f>
        <v>0</v>
      </c>
      <c r="G284" s="59">
        <f t="shared" ref="G284:O284" si="47">G283</f>
        <v>0</v>
      </c>
      <c r="H284" s="59">
        <f t="shared" si="47"/>
        <v>0</v>
      </c>
      <c r="I284" s="59">
        <f t="shared" si="47"/>
        <v>0</v>
      </c>
      <c r="J284" s="59">
        <f t="shared" si="47"/>
        <v>0</v>
      </c>
      <c r="K284" s="59">
        <f t="shared" si="47"/>
        <v>0</v>
      </c>
      <c r="L284" s="59">
        <f t="shared" si="47"/>
        <v>0</v>
      </c>
      <c r="M284" s="59">
        <f t="shared" si="47"/>
        <v>0</v>
      </c>
      <c r="N284" s="59">
        <f t="shared" si="47"/>
        <v>0</v>
      </c>
      <c r="O284" s="59">
        <f t="shared" si="47"/>
        <v>0</v>
      </c>
      <c r="P284" s="3"/>
      <c r="Q284" s="3"/>
      <c r="R284" s="3"/>
      <c r="S284" s="3"/>
      <c r="T284" s="3"/>
      <c r="U284" s="3"/>
      <c r="V284" s="3"/>
      <c r="W284" s="3"/>
      <c r="X284" s="3"/>
      <c r="Y284" s="3"/>
      <c r="Z284" s="3"/>
    </row>
    <row r="285" spans="1:26" ht="12.75" x14ac:dyDescent="0.2">
      <c r="A285" s="3"/>
      <c r="B285" s="64"/>
      <c r="C285" s="64"/>
      <c r="D285" s="33"/>
      <c r="E285" s="33"/>
      <c r="F285" s="33"/>
      <c r="G285" s="33"/>
      <c r="H285" s="33"/>
      <c r="I285" s="33"/>
      <c r="J285" s="33"/>
      <c r="K285" s="33"/>
      <c r="L285" s="33"/>
      <c r="M285" s="33"/>
      <c r="N285" s="33"/>
      <c r="O285" s="33"/>
      <c r="P285" s="3"/>
      <c r="Q285" s="3"/>
      <c r="R285" s="3"/>
      <c r="S285" s="3"/>
      <c r="T285" s="3"/>
      <c r="U285" s="3"/>
      <c r="V285" s="3"/>
      <c r="W285" s="3"/>
      <c r="X285" s="3"/>
      <c r="Y285" s="3"/>
      <c r="Z285" s="3"/>
    </row>
    <row r="286" spans="1:26" ht="12.75" x14ac:dyDescent="0.2">
      <c r="A286" s="3"/>
      <c r="B286" s="33"/>
      <c r="C286" s="34" t="s">
        <v>218</v>
      </c>
      <c r="D286" s="33"/>
      <c r="E286" s="33"/>
      <c r="F286" s="33"/>
      <c r="G286" s="33"/>
      <c r="H286" s="33"/>
      <c r="I286" s="33"/>
      <c r="J286" s="33"/>
      <c r="K286" s="33"/>
      <c r="L286" s="33"/>
      <c r="M286" s="33"/>
      <c r="N286" s="33"/>
      <c r="O286" s="33"/>
      <c r="P286" s="3"/>
      <c r="Q286" s="3"/>
      <c r="R286" s="3"/>
      <c r="S286" s="3"/>
      <c r="T286" s="3"/>
      <c r="U286" s="3"/>
      <c r="V286" s="3"/>
      <c r="W286" s="3"/>
      <c r="X286" s="3"/>
      <c r="Y286" s="3"/>
      <c r="Z286" s="3"/>
    </row>
    <row r="287" spans="1:26" ht="12.75" x14ac:dyDescent="0.2">
      <c r="A287" s="3"/>
      <c r="B287" s="33"/>
      <c r="C287" s="94" t="s">
        <v>272</v>
      </c>
      <c r="D287" s="33"/>
      <c r="E287" s="41"/>
      <c r="F287" s="39">
        <f t="shared" ref="F287:O287" si="48">F170/F$115</f>
        <v>10.297000000000001</v>
      </c>
      <c r="G287" s="39">
        <f t="shared" si="48"/>
        <v>10.297000000000001</v>
      </c>
      <c r="H287" s="39">
        <f t="shared" si="48"/>
        <v>10.297000000000001</v>
      </c>
      <c r="I287" s="39">
        <f t="shared" si="48"/>
        <v>10.297000000000001</v>
      </c>
      <c r="J287" s="39">
        <f t="shared" si="48"/>
        <v>10.296999999999999</v>
      </c>
      <c r="K287" s="39">
        <f t="shared" si="48"/>
        <v>10.297000000000001</v>
      </c>
      <c r="L287" s="39">
        <f t="shared" si="48"/>
        <v>10.297000000000001</v>
      </c>
      <c r="M287" s="39">
        <f t="shared" si="48"/>
        <v>10.296999999999999</v>
      </c>
      <c r="N287" s="39">
        <f t="shared" si="48"/>
        <v>10.296999999999999</v>
      </c>
      <c r="O287" s="39">
        <f t="shared" si="48"/>
        <v>10.297000000000001</v>
      </c>
      <c r="P287" s="3"/>
      <c r="Q287" s="3"/>
      <c r="R287" s="3"/>
      <c r="S287" s="3"/>
      <c r="T287" s="3"/>
      <c r="U287" s="3"/>
      <c r="V287" s="3"/>
      <c r="W287" s="3"/>
      <c r="X287" s="3"/>
      <c r="Y287" s="3"/>
      <c r="Z287" s="3"/>
    </row>
    <row r="288" spans="1:26" ht="12.75" x14ac:dyDescent="0.2">
      <c r="A288" s="3"/>
      <c r="B288" s="33"/>
      <c r="C288" s="94" t="s">
        <v>273</v>
      </c>
      <c r="D288" s="33"/>
      <c r="E288" s="41"/>
      <c r="F288" s="39">
        <f t="shared" ref="F288:O288" si="49">F171/F$115</f>
        <v>4.9059999999999997</v>
      </c>
      <c r="G288" s="39">
        <f t="shared" si="49"/>
        <v>4.9059999999999997</v>
      </c>
      <c r="H288" s="39">
        <f t="shared" si="49"/>
        <v>4.9059999999999997</v>
      </c>
      <c r="I288" s="39">
        <f t="shared" si="49"/>
        <v>4.9059999999999997</v>
      </c>
      <c r="J288" s="39">
        <f t="shared" si="49"/>
        <v>4.9059999999999997</v>
      </c>
      <c r="K288" s="39">
        <f t="shared" si="49"/>
        <v>4.9059999999999997</v>
      </c>
      <c r="L288" s="39">
        <f t="shared" si="49"/>
        <v>4.9060000000000006</v>
      </c>
      <c r="M288" s="39">
        <f t="shared" si="49"/>
        <v>4.9059999999999997</v>
      </c>
      <c r="N288" s="39">
        <f t="shared" si="49"/>
        <v>4.9060000000000006</v>
      </c>
      <c r="O288" s="39">
        <f t="shared" si="49"/>
        <v>4.9060000000000006</v>
      </c>
      <c r="P288" s="3"/>
      <c r="Q288" s="3"/>
      <c r="R288" s="3"/>
      <c r="S288" s="3"/>
      <c r="T288" s="3"/>
      <c r="U288" s="3"/>
      <c r="V288" s="3"/>
      <c r="W288" s="3"/>
      <c r="X288" s="3"/>
      <c r="Y288" s="3"/>
      <c r="Z288" s="3"/>
    </row>
    <row r="289" spans="1:26" ht="12.75" x14ac:dyDescent="0.2">
      <c r="A289" s="3"/>
      <c r="B289" s="33"/>
      <c r="C289" s="94" t="s">
        <v>274</v>
      </c>
      <c r="D289" s="33"/>
      <c r="E289" s="41"/>
      <c r="F289" s="39">
        <f t="shared" ref="F289:O289" si="50">F172/F$115</f>
        <v>10.379099999999999</v>
      </c>
      <c r="G289" s="39">
        <f t="shared" si="50"/>
        <v>10.379099999999998</v>
      </c>
      <c r="H289" s="39">
        <f t="shared" si="50"/>
        <v>10.379099999999998</v>
      </c>
      <c r="I289" s="39">
        <f t="shared" si="50"/>
        <v>10.379099999999999</v>
      </c>
      <c r="J289" s="39">
        <f t="shared" si="50"/>
        <v>10.379099999999999</v>
      </c>
      <c r="K289" s="39">
        <f t="shared" si="50"/>
        <v>10.379099999999999</v>
      </c>
      <c r="L289" s="39">
        <f t="shared" si="50"/>
        <v>10.379099999999999</v>
      </c>
      <c r="M289" s="39">
        <f t="shared" si="50"/>
        <v>10.379099999999999</v>
      </c>
      <c r="N289" s="39">
        <f t="shared" si="50"/>
        <v>10.379099999999999</v>
      </c>
      <c r="O289" s="39">
        <f t="shared" si="50"/>
        <v>10.379099999999998</v>
      </c>
      <c r="P289" s="3"/>
      <c r="Q289" s="3"/>
      <c r="R289" s="3"/>
      <c r="S289" s="3"/>
      <c r="T289" s="3"/>
      <c r="U289" s="3"/>
      <c r="V289" s="3"/>
      <c r="W289" s="3"/>
      <c r="X289" s="3"/>
      <c r="Y289" s="3"/>
      <c r="Z289" s="3"/>
    </row>
    <row r="290" spans="1:26" ht="12.75" x14ac:dyDescent="0.2">
      <c r="A290" s="3"/>
      <c r="B290" s="33"/>
      <c r="C290" s="94" t="s">
        <v>275</v>
      </c>
      <c r="D290" s="33"/>
      <c r="E290" s="41"/>
      <c r="F290" s="39">
        <f t="shared" ref="F290:O290" si="51">F173/F$115</f>
        <v>11.868</v>
      </c>
      <c r="G290" s="39">
        <f t="shared" si="51"/>
        <v>11.868</v>
      </c>
      <c r="H290" s="39">
        <f t="shared" si="51"/>
        <v>11.867999999999999</v>
      </c>
      <c r="I290" s="39">
        <f t="shared" si="51"/>
        <v>11.867999999999999</v>
      </c>
      <c r="J290" s="39">
        <f t="shared" si="51"/>
        <v>11.868</v>
      </c>
      <c r="K290" s="39">
        <f t="shared" si="51"/>
        <v>11.868</v>
      </c>
      <c r="L290" s="39">
        <f t="shared" si="51"/>
        <v>11.867999999999999</v>
      </c>
      <c r="M290" s="39">
        <f t="shared" si="51"/>
        <v>11.868</v>
      </c>
      <c r="N290" s="39">
        <f t="shared" si="51"/>
        <v>11.867999999999999</v>
      </c>
      <c r="O290" s="39">
        <f t="shared" si="51"/>
        <v>11.868</v>
      </c>
      <c r="P290" s="3"/>
      <c r="Q290" s="3"/>
      <c r="R290" s="3"/>
      <c r="S290" s="3"/>
      <c r="T290" s="3"/>
      <c r="U290" s="3"/>
      <c r="V290" s="3"/>
      <c r="W290" s="3"/>
      <c r="X290" s="3"/>
      <c r="Y290" s="3"/>
      <c r="Z290" s="3"/>
    </row>
    <row r="291" spans="1:26" s="105" customFormat="1" ht="12.75" x14ac:dyDescent="0.2">
      <c r="A291" s="102"/>
      <c r="B291" s="35"/>
      <c r="C291" s="84" t="s">
        <v>293</v>
      </c>
      <c r="D291" s="35"/>
      <c r="E291" s="41"/>
      <c r="F291" s="104">
        <f t="shared" ref="F291:O291" si="52">F174/F$115</f>
        <v>11.7325</v>
      </c>
      <c r="G291" s="104">
        <f t="shared" si="52"/>
        <v>11.7325</v>
      </c>
      <c r="H291" s="104">
        <f t="shared" si="52"/>
        <v>11.732500000000002</v>
      </c>
      <c r="I291" s="104">
        <f t="shared" si="52"/>
        <v>11.7325</v>
      </c>
      <c r="J291" s="104">
        <f t="shared" si="52"/>
        <v>11.732500000000002</v>
      </c>
      <c r="K291" s="104">
        <f t="shared" si="52"/>
        <v>11.7325</v>
      </c>
      <c r="L291" s="104">
        <f t="shared" si="52"/>
        <v>11.732500000000002</v>
      </c>
      <c r="M291" s="104">
        <f t="shared" si="52"/>
        <v>11.7325</v>
      </c>
      <c r="N291" s="104">
        <f t="shared" si="52"/>
        <v>11.7325</v>
      </c>
      <c r="O291" s="104">
        <f t="shared" si="52"/>
        <v>11.7325</v>
      </c>
      <c r="P291" s="102"/>
      <c r="Q291" s="102"/>
      <c r="R291" s="102"/>
      <c r="S291" s="102"/>
      <c r="T291" s="102"/>
      <c r="U291" s="102"/>
      <c r="V291" s="102"/>
      <c r="W291" s="102"/>
      <c r="X291" s="102"/>
      <c r="Y291" s="102"/>
      <c r="Z291" s="102"/>
    </row>
    <row r="292" spans="1:26" ht="12.75" x14ac:dyDescent="0.2">
      <c r="A292" s="3"/>
      <c r="B292" s="33"/>
      <c r="C292" s="94" t="s">
        <v>278</v>
      </c>
      <c r="D292" s="33"/>
      <c r="E292" s="33"/>
      <c r="F292" s="39">
        <f t="shared" ref="F292:O292" si="53">F175/F$115</f>
        <v>60.950099999999999</v>
      </c>
      <c r="G292" s="39">
        <f t="shared" si="53"/>
        <v>60.950099999999992</v>
      </c>
      <c r="H292" s="39">
        <f t="shared" si="53"/>
        <v>60.950100000000006</v>
      </c>
      <c r="I292" s="39">
        <f t="shared" si="53"/>
        <v>60.950099999999992</v>
      </c>
      <c r="J292" s="39">
        <f t="shared" si="53"/>
        <v>60.950099999999992</v>
      </c>
      <c r="K292" s="39">
        <f t="shared" si="53"/>
        <v>60.950099999999999</v>
      </c>
      <c r="L292" s="39">
        <f t="shared" si="53"/>
        <v>60.950099999999999</v>
      </c>
      <c r="M292" s="39">
        <f t="shared" si="53"/>
        <v>60.950099999999999</v>
      </c>
      <c r="N292" s="39">
        <f t="shared" si="53"/>
        <v>60.950099999999999</v>
      </c>
      <c r="O292" s="39">
        <f t="shared" si="53"/>
        <v>60.950099999999999</v>
      </c>
      <c r="P292" s="3"/>
      <c r="Q292" s="3"/>
      <c r="R292" s="3"/>
      <c r="S292" s="3"/>
      <c r="T292" s="3"/>
      <c r="U292" s="3"/>
      <c r="V292" s="3"/>
      <c r="W292" s="3"/>
      <c r="X292" s="3"/>
      <c r="Y292" s="3"/>
      <c r="Z292" s="3"/>
    </row>
    <row r="293" spans="1:26" ht="12.75" x14ac:dyDescent="0.2">
      <c r="A293" s="3"/>
      <c r="B293" s="33"/>
      <c r="C293" s="9" t="s">
        <v>85</v>
      </c>
      <c r="D293" s="33"/>
      <c r="E293" s="33"/>
      <c r="F293" s="39">
        <f t="shared" ref="F293:O293" si="54">F176/F$115</f>
        <v>0</v>
      </c>
      <c r="G293" s="39">
        <f t="shared" si="54"/>
        <v>0</v>
      </c>
      <c r="H293" s="39">
        <f t="shared" si="54"/>
        <v>0</v>
      </c>
      <c r="I293" s="39">
        <f t="shared" si="54"/>
        <v>0</v>
      </c>
      <c r="J293" s="39">
        <f t="shared" si="54"/>
        <v>0</v>
      </c>
      <c r="K293" s="39">
        <f t="shared" si="54"/>
        <v>0</v>
      </c>
      <c r="L293" s="39">
        <f t="shared" si="54"/>
        <v>0</v>
      </c>
      <c r="M293" s="39">
        <f t="shared" si="54"/>
        <v>0</v>
      </c>
      <c r="N293" s="39">
        <f t="shared" si="54"/>
        <v>0</v>
      </c>
      <c r="O293" s="39">
        <f t="shared" si="54"/>
        <v>0</v>
      </c>
      <c r="P293" s="3"/>
      <c r="Q293" s="3"/>
      <c r="R293" s="3"/>
      <c r="S293" s="3"/>
      <c r="T293" s="3"/>
      <c r="U293" s="3"/>
      <c r="V293" s="3"/>
      <c r="W293" s="3"/>
      <c r="X293" s="3"/>
      <c r="Y293" s="3"/>
      <c r="Z293" s="3"/>
    </row>
    <row r="294" spans="1:26" ht="12.75" x14ac:dyDescent="0.2">
      <c r="A294" s="3"/>
      <c r="B294" s="33"/>
      <c r="C294" s="36" t="s">
        <v>207</v>
      </c>
      <c r="D294" s="36"/>
      <c r="E294" s="36"/>
      <c r="F294" s="59">
        <f>SUM(F287:F293)</f>
        <v>110.1327</v>
      </c>
      <c r="G294" s="59">
        <f t="shared" ref="G294:O294" si="55">SUM(G287:G293)</f>
        <v>110.1327</v>
      </c>
      <c r="H294" s="59">
        <f t="shared" si="55"/>
        <v>110.1327</v>
      </c>
      <c r="I294" s="59">
        <f t="shared" si="55"/>
        <v>110.13269999999999</v>
      </c>
      <c r="J294" s="59">
        <f t="shared" si="55"/>
        <v>110.1327</v>
      </c>
      <c r="K294" s="59">
        <f t="shared" si="55"/>
        <v>110.1327</v>
      </c>
      <c r="L294" s="59">
        <f t="shared" si="55"/>
        <v>110.1327</v>
      </c>
      <c r="M294" s="59">
        <f t="shared" si="55"/>
        <v>110.1327</v>
      </c>
      <c r="N294" s="59">
        <f t="shared" si="55"/>
        <v>110.1327</v>
      </c>
      <c r="O294" s="59">
        <f t="shared" si="55"/>
        <v>110.1327</v>
      </c>
      <c r="P294" s="3"/>
      <c r="Q294" s="3"/>
      <c r="R294" s="3"/>
      <c r="S294" s="3"/>
      <c r="T294" s="3"/>
      <c r="U294" s="3"/>
      <c r="V294" s="3"/>
      <c r="W294" s="3"/>
      <c r="X294" s="3"/>
      <c r="Y294" s="3"/>
      <c r="Z294" s="3"/>
    </row>
    <row r="295" spans="1:26" ht="12.75" x14ac:dyDescent="0.2">
      <c r="A295" s="3"/>
      <c r="B295" s="33"/>
      <c r="C295" s="33"/>
      <c r="D295" s="33"/>
      <c r="E295" s="33"/>
      <c r="F295" s="41"/>
      <c r="G295" s="41"/>
      <c r="H295" s="33"/>
      <c r="I295" s="33"/>
      <c r="J295" s="33"/>
      <c r="K295" s="33"/>
      <c r="L295" s="33"/>
      <c r="M295" s="33"/>
      <c r="N295" s="33"/>
      <c r="O295" s="33"/>
      <c r="P295" s="3"/>
      <c r="Q295" s="3"/>
      <c r="R295" s="3"/>
      <c r="S295" s="3"/>
      <c r="T295" s="3"/>
      <c r="U295" s="3"/>
      <c r="V295" s="3"/>
      <c r="W295" s="3"/>
      <c r="X295" s="3"/>
      <c r="Y295" s="3"/>
      <c r="Z295" s="3"/>
    </row>
    <row r="296" spans="1:26" ht="12.75" x14ac:dyDescent="0.2">
      <c r="A296" s="3"/>
      <c r="B296" s="33"/>
      <c r="C296" s="34" t="s">
        <v>215</v>
      </c>
      <c r="D296" s="33"/>
      <c r="E296" s="33"/>
      <c r="F296" s="41"/>
      <c r="G296" s="41"/>
      <c r="H296" s="41"/>
      <c r="I296" s="41"/>
      <c r="J296" s="41"/>
      <c r="K296" s="41"/>
      <c r="L296" s="41"/>
      <c r="M296" s="41"/>
      <c r="N296" s="41"/>
      <c r="O296" s="41"/>
      <c r="P296" s="3"/>
      <c r="Q296" s="3"/>
      <c r="R296" s="3"/>
      <c r="S296" s="3"/>
      <c r="T296" s="3"/>
      <c r="U296" s="3"/>
      <c r="V296" s="3"/>
      <c r="W296" s="3"/>
      <c r="X296" s="3"/>
      <c r="Y296" s="3"/>
      <c r="Z296" s="3"/>
    </row>
    <row r="297" spans="1:26" ht="12.75" x14ac:dyDescent="0.2">
      <c r="A297" s="3"/>
      <c r="B297" s="33"/>
      <c r="C297" s="9" t="s">
        <v>110</v>
      </c>
      <c r="D297" s="33"/>
      <c r="E297" s="33"/>
      <c r="F297" s="39">
        <f t="shared" ref="F297:O297" si="56">F180/F$115</f>
        <v>2.6819999999999999</v>
      </c>
      <c r="G297" s="39">
        <f t="shared" si="56"/>
        <v>2.6819999999999995</v>
      </c>
      <c r="H297" s="39">
        <f t="shared" si="56"/>
        <v>2.6819999999999999</v>
      </c>
      <c r="I297" s="39">
        <f t="shared" si="56"/>
        <v>2.6819999999999999</v>
      </c>
      <c r="J297" s="39">
        <f t="shared" si="56"/>
        <v>2.6819999999999999</v>
      </c>
      <c r="K297" s="39">
        <f t="shared" si="56"/>
        <v>2.6820000000000004</v>
      </c>
      <c r="L297" s="39">
        <f t="shared" si="56"/>
        <v>2.6819999999999999</v>
      </c>
      <c r="M297" s="39">
        <f t="shared" si="56"/>
        <v>2.6819999999999999</v>
      </c>
      <c r="N297" s="39">
        <f t="shared" si="56"/>
        <v>2.6819999999999999</v>
      </c>
      <c r="O297" s="39">
        <f t="shared" si="56"/>
        <v>2.6819999999999995</v>
      </c>
      <c r="P297" s="3"/>
      <c r="Q297" s="3"/>
      <c r="R297" s="3"/>
      <c r="S297" s="3"/>
      <c r="T297" s="3"/>
      <c r="U297" s="3"/>
      <c r="V297" s="3"/>
      <c r="W297" s="3"/>
      <c r="X297" s="3"/>
      <c r="Y297" s="3"/>
      <c r="Z297" s="3"/>
    </row>
    <row r="298" spans="1:26" ht="12.75" x14ac:dyDescent="0.2">
      <c r="A298" s="3"/>
      <c r="B298" s="33"/>
      <c r="C298" s="27" t="s">
        <v>283</v>
      </c>
      <c r="D298" s="33"/>
      <c r="E298" s="33"/>
      <c r="F298" s="39">
        <f t="shared" ref="F298:O298" si="57">F181/F$115</f>
        <v>2.4788235294117649</v>
      </c>
      <c r="G298" s="39">
        <f t="shared" si="57"/>
        <v>2.4788235294117649</v>
      </c>
      <c r="H298" s="39">
        <f t="shared" si="57"/>
        <v>2.4788235294117649</v>
      </c>
      <c r="I298" s="39">
        <f t="shared" si="57"/>
        <v>2.4788235294117649</v>
      </c>
      <c r="J298" s="39">
        <f t="shared" si="57"/>
        <v>2.4788235294117649</v>
      </c>
      <c r="K298" s="39">
        <f t="shared" si="57"/>
        <v>2.4788235294117649</v>
      </c>
      <c r="L298" s="39">
        <f t="shared" si="57"/>
        <v>2.4788235294117649</v>
      </c>
      <c r="M298" s="39">
        <f t="shared" si="57"/>
        <v>2.4788235294117649</v>
      </c>
      <c r="N298" s="39">
        <f t="shared" si="57"/>
        <v>2.4788235294117649</v>
      </c>
      <c r="O298" s="39">
        <f t="shared" si="57"/>
        <v>2.4788235294117649</v>
      </c>
      <c r="P298" s="3"/>
      <c r="Q298" s="3"/>
      <c r="R298" s="3"/>
      <c r="S298" s="3"/>
      <c r="T298" s="3"/>
      <c r="U298" s="3"/>
      <c r="V298" s="3"/>
      <c r="W298" s="3"/>
      <c r="X298" s="3"/>
      <c r="Y298" s="3"/>
      <c r="Z298" s="3"/>
    </row>
    <row r="299" spans="1:26" ht="12.75" x14ac:dyDescent="0.2">
      <c r="A299" s="3"/>
      <c r="B299" s="33"/>
      <c r="C299" s="31" t="s">
        <v>216</v>
      </c>
      <c r="D299" s="36"/>
      <c r="E299" s="36"/>
      <c r="F299" s="40">
        <f t="shared" ref="F299:O299" si="58">SUM(F297:F298)</f>
        <v>5.1608235294117648</v>
      </c>
      <c r="G299" s="40">
        <f t="shared" si="58"/>
        <v>5.1608235294117648</v>
      </c>
      <c r="H299" s="40">
        <f t="shared" si="58"/>
        <v>5.1608235294117648</v>
      </c>
      <c r="I299" s="40">
        <f t="shared" si="58"/>
        <v>5.1608235294117648</v>
      </c>
      <c r="J299" s="40">
        <f t="shared" si="58"/>
        <v>5.1608235294117648</v>
      </c>
      <c r="K299" s="40">
        <f t="shared" si="58"/>
        <v>5.1608235294117648</v>
      </c>
      <c r="L299" s="40">
        <f t="shared" si="58"/>
        <v>5.1608235294117648</v>
      </c>
      <c r="M299" s="40">
        <f t="shared" si="58"/>
        <v>5.1608235294117648</v>
      </c>
      <c r="N299" s="40">
        <f t="shared" si="58"/>
        <v>5.1608235294117648</v>
      </c>
      <c r="O299" s="40">
        <f t="shared" si="58"/>
        <v>5.1608235294117648</v>
      </c>
      <c r="P299" s="3"/>
      <c r="Q299" s="3"/>
      <c r="R299" s="3"/>
      <c r="S299" s="3"/>
      <c r="T299" s="3"/>
      <c r="U299" s="3"/>
      <c r="V299" s="3"/>
      <c r="W299" s="3"/>
      <c r="X299" s="3"/>
      <c r="Y299" s="3"/>
      <c r="Z299" s="3"/>
    </row>
    <row r="300" spans="1:26" ht="12.75" x14ac:dyDescent="0.2">
      <c r="A300" s="3"/>
      <c r="B300" s="33"/>
      <c r="C300" s="35"/>
      <c r="D300" s="33"/>
      <c r="E300" s="33"/>
      <c r="F300" s="41"/>
      <c r="G300" s="41"/>
      <c r="H300" s="41"/>
      <c r="I300" s="41"/>
      <c r="J300" s="41"/>
      <c r="K300" s="41"/>
      <c r="L300" s="41"/>
      <c r="M300" s="41"/>
      <c r="N300" s="41"/>
      <c r="O300" s="41"/>
      <c r="P300" s="3"/>
      <c r="Q300" s="3"/>
      <c r="R300" s="3"/>
      <c r="S300" s="3"/>
      <c r="T300" s="3"/>
      <c r="U300" s="3"/>
      <c r="V300" s="3"/>
      <c r="W300" s="3"/>
      <c r="X300" s="3"/>
      <c r="Y300" s="3"/>
      <c r="Z300" s="3"/>
    </row>
    <row r="301" spans="1:26" ht="12.75" x14ac:dyDescent="0.2">
      <c r="A301" s="3"/>
      <c r="B301" s="33"/>
      <c r="C301" s="34" t="s">
        <v>219</v>
      </c>
      <c r="D301" s="33"/>
      <c r="E301" s="33"/>
      <c r="F301" s="41"/>
      <c r="G301" s="41"/>
      <c r="H301" s="41"/>
      <c r="I301" s="41"/>
      <c r="J301" s="41"/>
      <c r="K301" s="41"/>
      <c r="L301" s="41"/>
      <c r="M301" s="41"/>
      <c r="N301" s="41"/>
      <c r="O301" s="41"/>
      <c r="P301" s="3"/>
      <c r="Q301" s="3"/>
      <c r="R301" s="3"/>
      <c r="S301" s="3"/>
      <c r="T301" s="3"/>
      <c r="U301" s="3"/>
      <c r="V301" s="3"/>
      <c r="W301" s="3"/>
      <c r="X301" s="3"/>
      <c r="Y301" s="3"/>
      <c r="Z301" s="3"/>
    </row>
    <row r="302" spans="1:26" ht="12.75" x14ac:dyDescent="0.2">
      <c r="A302" s="3"/>
      <c r="B302" s="33"/>
      <c r="C302" s="9" t="s">
        <v>92</v>
      </c>
      <c r="D302" s="33"/>
      <c r="E302" s="33"/>
      <c r="F302" s="39">
        <f t="shared" ref="F302:O302" si="59">F185/F$115</f>
        <v>4.8311999999999999</v>
      </c>
      <c r="G302" s="39">
        <f t="shared" si="59"/>
        <v>4.8311999999999999</v>
      </c>
      <c r="H302" s="39">
        <f t="shared" si="59"/>
        <v>4.8311999999999999</v>
      </c>
      <c r="I302" s="39">
        <f t="shared" si="59"/>
        <v>4.8311999999999999</v>
      </c>
      <c r="J302" s="39">
        <f t="shared" si="59"/>
        <v>4.8311999999999999</v>
      </c>
      <c r="K302" s="39">
        <f t="shared" si="59"/>
        <v>4.8311999999999999</v>
      </c>
      <c r="L302" s="39">
        <f t="shared" si="59"/>
        <v>4.8311999999999999</v>
      </c>
      <c r="M302" s="39">
        <f t="shared" si="59"/>
        <v>4.8311999999999999</v>
      </c>
      <c r="N302" s="39">
        <f t="shared" si="59"/>
        <v>4.8311999999999999</v>
      </c>
      <c r="O302" s="39">
        <f t="shared" si="59"/>
        <v>4.8311999999999999</v>
      </c>
      <c r="P302" s="3"/>
      <c r="Q302" s="3"/>
      <c r="R302" s="3"/>
      <c r="S302" s="3"/>
      <c r="T302" s="3"/>
      <c r="U302" s="3"/>
      <c r="V302" s="3"/>
      <c r="W302" s="3"/>
      <c r="X302" s="3"/>
      <c r="Y302" s="3"/>
      <c r="Z302" s="3"/>
    </row>
    <row r="303" spans="1:26" ht="12.75" x14ac:dyDescent="0.2">
      <c r="A303" s="3"/>
      <c r="B303" s="33"/>
      <c r="C303" s="9" t="s">
        <v>96</v>
      </c>
      <c r="D303" s="33"/>
      <c r="E303" s="33"/>
      <c r="F303" s="39">
        <f t="shared" ref="F303:O303" si="60">F186/F$115</f>
        <v>0</v>
      </c>
      <c r="G303" s="39">
        <f t="shared" si="60"/>
        <v>0</v>
      </c>
      <c r="H303" s="39">
        <f t="shared" si="60"/>
        <v>0</v>
      </c>
      <c r="I303" s="39">
        <f t="shared" si="60"/>
        <v>0</v>
      </c>
      <c r="J303" s="39">
        <f t="shared" si="60"/>
        <v>0</v>
      </c>
      <c r="K303" s="39">
        <f t="shared" si="60"/>
        <v>0</v>
      </c>
      <c r="L303" s="39">
        <f t="shared" si="60"/>
        <v>0</v>
      </c>
      <c r="M303" s="39">
        <f t="shared" si="60"/>
        <v>0</v>
      </c>
      <c r="N303" s="39">
        <f t="shared" si="60"/>
        <v>0</v>
      </c>
      <c r="O303" s="39">
        <f t="shared" si="60"/>
        <v>0</v>
      </c>
      <c r="P303" s="3"/>
      <c r="Q303" s="3"/>
      <c r="R303" s="3"/>
      <c r="S303" s="3"/>
      <c r="T303" s="3"/>
      <c r="U303" s="3"/>
      <c r="V303" s="3"/>
      <c r="W303" s="3"/>
      <c r="X303" s="3"/>
      <c r="Y303" s="3"/>
      <c r="Z303" s="3"/>
    </row>
    <row r="304" spans="1:26" ht="12.75" x14ac:dyDescent="0.2">
      <c r="A304" s="3"/>
      <c r="B304" s="33"/>
      <c r="C304" s="9" t="s">
        <v>99</v>
      </c>
      <c r="D304" s="33"/>
      <c r="E304" s="33"/>
      <c r="F304" s="39">
        <f t="shared" ref="F304:O304" si="61">F187/F$115</f>
        <v>4.7577079999999992</v>
      </c>
      <c r="G304" s="39">
        <f t="shared" si="61"/>
        <v>4.7577079999999992</v>
      </c>
      <c r="H304" s="39">
        <f t="shared" si="61"/>
        <v>4.7577079999999992</v>
      </c>
      <c r="I304" s="39">
        <f t="shared" si="61"/>
        <v>4.7577079999999992</v>
      </c>
      <c r="J304" s="39">
        <f t="shared" si="61"/>
        <v>4.7577079999999992</v>
      </c>
      <c r="K304" s="39">
        <f t="shared" si="61"/>
        <v>4.757708</v>
      </c>
      <c r="L304" s="39">
        <f t="shared" si="61"/>
        <v>4.7577079999999992</v>
      </c>
      <c r="M304" s="39">
        <f t="shared" si="61"/>
        <v>4.757708</v>
      </c>
      <c r="N304" s="39">
        <f t="shared" si="61"/>
        <v>4.7577079999999992</v>
      </c>
      <c r="O304" s="39">
        <f t="shared" si="61"/>
        <v>4.757708</v>
      </c>
      <c r="P304" s="3"/>
      <c r="Q304" s="3"/>
      <c r="R304" s="3"/>
      <c r="S304" s="3"/>
      <c r="T304" s="3"/>
      <c r="U304" s="3"/>
      <c r="V304" s="3"/>
      <c r="W304" s="3"/>
      <c r="X304" s="3"/>
      <c r="Y304" s="3"/>
      <c r="Z304" s="3"/>
    </row>
    <row r="305" spans="1:26" ht="12.75" x14ac:dyDescent="0.2">
      <c r="A305" s="3"/>
      <c r="B305" s="33"/>
      <c r="C305" s="9" t="s">
        <v>102</v>
      </c>
      <c r="D305" s="33"/>
      <c r="E305" s="33"/>
      <c r="F305" s="39">
        <f t="shared" ref="F305:O305" si="62">F188/F$115</f>
        <v>0</v>
      </c>
      <c r="G305" s="39">
        <f t="shared" si="62"/>
        <v>0</v>
      </c>
      <c r="H305" s="39">
        <f t="shared" si="62"/>
        <v>0</v>
      </c>
      <c r="I305" s="39">
        <f t="shared" si="62"/>
        <v>0</v>
      </c>
      <c r="J305" s="39">
        <f t="shared" si="62"/>
        <v>0</v>
      </c>
      <c r="K305" s="39">
        <f t="shared" si="62"/>
        <v>0</v>
      </c>
      <c r="L305" s="39">
        <f t="shared" si="62"/>
        <v>0</v>
      </c>
      <c r="M305" s="39">
        <f t="shared" si="62"/>
        <v>0</v>
      </c>
      <c r="N305" s="39">
        <f t="shared" si="62"/>
        <v>0</v>
      </c>
      <c r="O305" s="39">
        <f t="shared" si="62"/>
        <v>0</v>
      </c>
      <c r="P305" s="3"/>
      <c r="Q305" s="3"/>
      <c r="R305" s="3"/>
      <c r="S305" s="3"/>
      <c r="T305" s="3"/>
      <c r="U305" s="3"/>
      <c r="V305" s="3"/>
      <c r="W305" s="3"/>
      <c r="X305" s="3"/>
      <c r="Y305" s="3"/>
      <c r="Z305" s="3"/>
    </row>
    <row r="306" spans="1:26" ht="12.75" x14ac:dyDescent="0.2">
      <c r="A306" s="3"/>
      <c r="B306" s="33"/>
      <c r="C306" s="9" t="s">
        <v>105</v>
      </c>
      <c r="D306" s="33"/>
      <c r="E306" s="33"/>
      <c r="F306" s="39">
        <f t="shared" ref="F306:O306" si="63">F189/F$115</f>
        <v>1.6</v>
      </c>
      <c r="G306" s="39">
        <f t="shared" si="63"/>
        <v>1.5999999999999999</v>
      </c>
      <c r="H306" s="39">
        <f t="shared" si="63"/>
        <v>1.5999999999999999</v>
      </c>
      <c r="I306" s="39">
        <f t="shared" si="63"/>
        <v>1.6</v>
      </c>
      <c r="J306" s="39">
        <f t="shared" si="63"/>
        <v>1.5999999999999999</v>
      </c>
      <c r="K306" s="39">
        <f t="shared" si="63"/>
        <v>1.6</v>
      </c>
      <c r="L306" s="39">
        <f t="shared" si="63"/>
        <v>1.5999999999999999</v>
      </c>
      <c r="M306" s="39">
        <f t="shared" si="63"/>
        <v>1.6</v>
      </c>
      <c r="N306" s="39">
        <f t="shared" si="63"/>
        <v>1.6</v>
      </c>
      <c r="O306" s="39">
        <f t="shared" si="63"/>
        <v>1.5999999999999999</v>
      </c>
      <c r="P306" s="3"/>
      <c r="Q306" s="3"/>
      <c r="R306" s="3"/>
      <c r="S306" s="3"/>
      <c r="T306" s="3"/>
      <c r="U306" s="3"/>
      <c r="V306" s="3"/>
      <c r="W306" s="3"/>
      <c r="X306" s="3"/>
      <c r="Y306" s="3"/>
      <c r="Z306" s="3"/>
    </row>
    <row r="307" spans="1:26" ht="12.75" x14ac:dyDescent="0.2">
      <c r="A307" s="3"/>
      <c r="B307" s="33"/>
      <c r="C307" s="9" t="s">
        <v>108</v>
      </c>
      <c r="D307" s="33"/>
      <c r="E307" s="33"/>
      <c r="F307" s="39">
        <f t="shared" ref="F307:O307" si="64">F190/F$115</f>
        <v>3.7</v>
      </c>
      <c r="G307" s="39">
        <f t="shared" si="64"/>
        <v>3.7</v>
      </c>
      <c r="H307" s="39">
        <f t="shared" si="64"/>
        <v>3.8</v>
      </c>
      <c r="I307" s="39">
        <f t="shared" si="64"/>
        <v>3.8</v>
      </c>
      <c r="J307" s="39">
        <f t="shared" si="64"/>
        <v>3.9</v>
      </c>
      <c r="K307" s="39">
        <f t="shared" si="64"/>
        <v>3.9</v>
      </c>
      <c r="L307" s="39">
        <f t="shared" si="64"/>
        <v>3.9</v>
      </c>
      <c r="M307" s="39">
        <f t="shared" si="64"/>
        <v>4</v>
      </c>
      <c r="N307" s="39">
        <f t="shared" si="64"/>
        <v>4</v>
      </c>
      <c r="O307" s="39">
        <f t="shared" si="64"/>
        <v>4.0999999999999996</v>
      </c>
      <c r="P307" s="3"/>
      <c r="Q307" s="3"/>
      <c r="R307" s="3"/>
      <c r="S307" s="3"/>
      <c r="T307" s="3"/>
      <c r="U307" s="3"/>
      <c r="V307" s="3"/>
      <c r="W307" s="3"/>
      <c r="X307" s="3"/>
      <c r="Y307" s="3"/>
      <c r="Z307" s="3"/>
    </row>
    <row r="308" spans="1:26" ht="12.75" x14ac:dyDescent="0.2">
      <c r="A308" s="3"/>
      <c r="B308" s="43"/>
      <c r="C308" s="68" t="s">
        <v>217</v>
      </c>
      <c r="D308" s="68"/>
      <c r="E308" s="68"/>
      <c r="F308" s="69">
        <f t="shared" ref="F308:O308" si="65">SUM(F302:F307)</f>
        <v>14.888908000000001</v>
      </c>
      <c r="G308" s="69">
        <f t="shared" si="65"/>
        <v>14.888908000000001</v>
      </c>
      <c r="H308" s="69">
        <f t="shared" si="65"/>
        <v>14.988907999999999</v>
      </c>
      <c r="I308" s="69">
        <f t="shared" si="65"/>
        <v>14.988907999999999</v>
      </c>
      <c r="J308" s="69">
        <f t="shared" si="65"/>
        <v>15.088908</v>
      </c>
      <c r="K308" s="69">
        <f t="shared" si="65"/>
        <v>15.088908</v>
      </c>
      <c r="L308" s="69">
        <f t="shared" si="65"/>
        <v>15.088908</v>
      </c>
      <c r="M308" s="69">
        <f t="shared" si="65"/>
        <v>15.188908</v>
      </c>
      <c r="N308" s="69">
        <f t="shared" si="65"/>
        <v>15.188908</v>
      </c>
      <c r="O308" s="69">
        <f t="shared" si="65"/>
        <v>15.288907999999999</v>
      </c>
      <c r="P308" s="3"/>
      <c r="Q308" s="3"/>
      <c r="R308" s="3"/>
      <c r="S308" s="3"/>
      <c r="T308" s="3"/>
      <c r="U308" s="3"/>
      <c r="V308" s="3"/>
      <c r="W308" s="3"/>
      <c r="X308" s="3"/>
      <c r="Y308" s="3"/>
      <c r="Z308" s="3"/>
    </row>
    <row r="309" spans="1:26" ht="12.75" x14ac:dyDescent="0.2">
      <c r="A309" s="3"/>
      <c r="B309" s="43"/>
      <c r="C309" s="74"/>
      <c r="D309" s="74"/>
      <c r="E309" s="74"/>
      <c r="F309" s="75"/>
      <c r="G309" s="75"/>
      <c r="H309" s="75"/>
      <c r="I309" s="75"/>
      <c r="J309" s="75"/>
      <c r="K309" s="75"/>
      <c r="L309" s="75"/>
      <c r="M309" s="75"/>
      <c r="N309" s="75"/>
      <c r="O309" s="75"/>
      <c r="P309" s="3"/>
      <c r="Q309" s="3"/>
      <c r="R309" s="3"/>
      <c r="S309" s="3"/>
      <c r="T309" s="3"/>
      <c r="U309" s="3"/>
      <c r="V309" s="3"/>
      <c r="W309" s="3"/>
      <c r="X309" s="3"/>
      <c r="Y309" s="3"/>
      <c r="Z309" s="3"/>
    </row>
    <row r="310" spans="1:26" ht="12.75" x14ac:dyDescent="0.2">
      <c r="A310" s="3"/>
      <c r="B310" s="43"/>
      <c r="C310" s="34" t="s">
        <v>287</v>
      </c>
      <c r="D310" s="74"/>
      <c r="E310" s="74"/>
      <c r="F310" s="75"/>
      <c r="G310" s="75"/>
      <c r="H310" s="75"/>
      <c r="I310" s="75"/>
      <c r="J310" s="75"/>
      <c r="K310" s="75"/>
      <c r="L310" s="75"/>
      <c r="M310" s="75"/>
      <c r="N310" s="75"/>
      <c r="O310" s="75"/>
      <c r="P310" s="3"/>
      <c r="Q310" s="3"/>
      <c r="R310" s="3"/>
      <c r="S310" s="3"/>
      <c r="T310" s="3"/>
      <c r="U310" s="3"/>
      <c r="V310" s="3"/>
      <c r="W310" s="3"/>
      <c r="X310" s="3"/>
      <c r="Y310" s="3"/>
      <c r="Z310" s="3"/>
    </row>
    <row r="311" spans="1:26" ht="12.75" x14ac:dyDescent="0.2">
      <c r="A311" s="3"/>
      <c r="B311" s="33"/>
      <c r="C311" s="27" t="s">
        <v>282</v>
      </c>
      <c r="D311" s="33"/>
      <c r="E311" s="33"/>
      <c r="F311" s="39">
        <f t="shared" ref="F311:O311" si="66">F194/F$115</f>
        <v>3.6497999999999999E-3</v>
      </c>
      <c r="G311" s="39">
        <f t="shared" si="66"/>
        <v>3.6897899999999996E-3</v>
      </c>
      <c r="H311" s="39">
        <f t="shared" si="66"/>
        <v>3.7301799E-3</v>
      </c>
      <c r="I311" s="39">
        <f t="shared" si="66"/>
        <v>3.7709736989999998E-3</v>
      </c>
      <c r="J311" s="39">
        <f t="shared" si="66"/>
        <v>3.8121754359899999E-3</v>
      </c>
      <c r="K311" s="39">
        <f t="shared" si="66"/>
        <v>3.8537891903499002E-3</v>
      </c>
      <c r="L311" s="39">
        <f t="shared" si="66"/>
        <v>3.895819082253399E-3</v>
      </c>
      <c r="M311" s="39">
        <f t="shared" si="66"/>
        <v>3.9382692730759328E-3</v>
      </c>
      <c r="N311" s="39">
        <f t="shared" si="66"/>
        <v>3.9811439658066928E-3</v>
      </c>
      <c r="O311" s="39">
        <f t="shared" si="66"/>
        <v>4.0244474054647586E-3</v>
      </c>
      <c r="P311" s="3"/>
      <c r="Q311" s="3"/>
      <c r="R311" s="3"/>
      <c r="S311" s="3"/>
      <c r="T311" s="3"/>
      <c r="U311" s="3"/>
      <c r="V311" s="3"/>
      <c r="W311" s="3"/>
      <c r="X311" s="3"/>
      <c r="Y311" s="3"/>
      <c r="Z311" s="3"/>
    </row>
    <row r="312" spans="1:26" ht="12.75" x14ac:dyDescent="0.2">
      <c r="A312" s="3"/>
      <c r="B312" s="33"/>
      <c r="C312" s="27" t="s">
        <v>284</v>
      </c>
      <c r="D312" s="33"/>
      <c r="E312" s="33"/>
      <c r="F312" s="39">
        <f t="shared" ref="F312:O312" si="67">F195/F$115</f>
        <v>0.7662065359477126</v>
      </c>
      <c r="G312" s="39">
        <f t="shared" si="67"/>
        <v>0.77386860130718971</v>
      </c>
      <c r="H312" s="39">
        <f t="shared" si="67"/>
        <v>0.78160728732026163</v>
      </c>
      <c r="I312" s="39">
        <f t="shared" si="67"/>
        <v>0.78942336019346404</v>
      </c>
      <c r="J312" s="39">
        <f t="shared" si="67"/>
        <v>0.79731759379539879</v>
      </c>
      <c r="K312" s="39">
        <f t="shared" si="67"/>
        <v>0.80529076973335278</v>
      </c>
      <c r="L312" s="39">
        <f t="shared" si="67"/>
        <v>0.81334367743068625</v>
      </c>
      <c r="M312" s="39">
        <f t="shared" si="67"/>
        <v>0.82147711420499303</v>
      </c>
      <c r="N312" s="39">
        <f t="shared" si="67"/>
        <v>0.82969188534704308</v>
      </c>
      <c r="O312" s="39">
        <f t="shared" si="67"/>
        <v>0.83798880420051358</v>
      </c>
      <c r="P312" s="3"/>
      <c r="Q312" s="3"/>
      <c r="R312" s="3"/>
      <c r="S312" s="3"/>
      <c r="T312" s="3"/>
      <c r="U312" s="3"/>
      <c r="V312" s="3"/>
      <c r="W312" s="3"/>
      <c r="X312" s="3"/>
      <c r="Y312" s="3"/>
      <c r="Z312" s="3"/>
    </row>
    <row r="313" spans="1:26" ht="12.75" x14ac:dyDescent="0.2">
      <c r="A313" s="3"/>
      <c r="B313" s="43"/>
      <c r="C313" s="68" t="s">
        <v>289</v>
      </c>
      <c r="D313" s="36"/>
      <c r="E313" s="36"/>
      <c r="F313" s="40">
        <f>SUM(F311:F312)</f>
        <v>0.76985633594771263</v>
      </c>
      <c r="G313" s="40">
        <f t="shared" ref="G313:O313" si="68">SUM(G311:G312)</f>
        <v>0.77755839130718973</v>
      </c>
      <c r="H313" s="40">
        <f t="shared" si="68"/>
        <v>0.78533746722026165</v>
      </c>
      <c r="I313" s="40">
        <f t="shared" si="68"/>
        <v>0.79319433389246408</v>
      </c>
      <c r="J313" s="40">
        <f t="shared" si="68"/>
        <v>0.80112976923138879</v>
      </c>
      <c r="K313" s="40">
        <f t="shared" si="68"/>
        <v>0.80914455892370274</v>
      </c>
      <c r="L313" s="40">
        <f t="shared" si="68"/>
        <v>0.8172394965129397</v>
      </c>
      <c r="M313" s="40">
        <f t="shared" si="68"/>
        <v>0.82541538347806898</v>
      </c>
      <c r="N313" s="40">
        <f t="shared" si="68"/>
        <v>0.83367302931284981</v>
      </c>
      <c r="O313" s="40">
        <f t="shared" si="68"/>
        <v>0.84201325160597829</v>
      </c>
      <c r="P313" s="3"/>
      <c r="Q313" s="3"/>
      <c r="R313" s="3"/>
      <c r="S313" s="3"/>
      <c r="T313" s="3"/>
      <c r="U313" s="3"/>
      <c r="V313" s="3"/>
      <c r="W313" s="3"/>
      <c r="X313" s="3"/>
      <c r="Y313" s="3"/>
      <c r="Z313" s="3"/>
    </row>
    <row r="314" spans="1:26" ht="12.75" x14ac:dyDescent="0.2">
      <c r="A314" s="3"/>
      <c r="B314" s="43"/>
      <c r="C314" s="43"/>
      <c r="D314" s="43"/>
      <c r="E314" s="43"/>
      <c r="F314" s="101"/>
      <c r="G314" s="43"/>
      <c r="H314" s="43"/>
      <c r="I314" s="43"/>
      <c r="J314" s="43"/>
      <c r="K314" s="43"/>
      <c r="L314" s="43"/>
      <c r="M314" s="43"/>
      <c r="N314" s="43"/>
      <c r="O314" s="43"/>
      <c r="P314" s="3"/>
      <c r="Q314" s="3"/>
      <c r="R314" s="3"/>
      <c r="S314" s="3"/>
      <c r="T314" s="3"/>
      <c r="U314" s="3"/>
      <c r="V314" s="3"/>
      <c r="W314" s="3"/>
      <c r="X314" s="3"/>
      <c r="Y314" s="3"/>
      <c r="Z314" s="3"/>
    </row>
    <row r="315" spans="1:26" ht="12.75" x14ac:dyDescent="0.2">
      <c r="A315" s="3"/>
      <c r="B315" s="43"/>
      <c r="C315" s="70" t="s">
        <v>236</v>
      </c>
      <c r="D315" s="70"/>
      <c r="E315" s="70"/>
      <c r="F315" s="71">
        <f t="shared" ref="F315:O315" si="69">F284+F294+F299+F308+F313</f>
        <v>130.95228786535947</v>
      </c>
      <c r="G315" s="71">
        <f t="shared" si="69"/>
        <v>130.95998992071895</v>
      </c>
      <c r="H315" s="71">
        <f t="shared" si="69"/>
        <v>131.06776899663205</v>
      </c>
      <c r="I315" s="71">
        <f t="shared" si="69"/>
        <v>131.07562586330423</v>
      </c>
      <c r="J315" s="71">
        <f t="shared" si="69"/>
        <v>131.18356129864316</v>
      </c>
      <c r="K315" s="71">
        <f t="shared" si="69"/>
        <v>131.19157608833547</v>
      </c>
      <c r="L315" s="71">
        <f t="shared" si="69"/>
        <v>131.19967102592472</v>
      </c>
      <c r="M315" s="71">
        <f t="shared" si="69"/>
        <v>131.30784691288983</v>
      </c>
      <c r="N315" s="71">
        <f t="shared" si="69"/>
        <v>131.31610455872462</v>
      </c>
      <c r="O315" s="71">
        <f t="shared" si="69"/>
        <v>131.42444478101774</v>
      </c>
      <c r="P315" s="3"/>
      <c r="Q315" s="3"/>
      <c r="R315" s="3"/>
      <c r="S315" s="3"/>
      <c r="T315" s="3"/>
      <c r="U315" s="3"/>
      <c r="V315" s="3"/>
      <c r="W315" s="3"/>
      <c r="X315" s="3"/>
      <c r="Y315" s="3"/>
      <c r="Z315" s="3"/>
    </row>
    <row r="316" spans="1:26" ht="12.75" x14ac:dyDescent="0.2">
      <c r="A316" s="3"/>
      <c r="B316" s="43"/>
      <c r="C316" s="43"/>
      <c r="D316" s="43"/>
      <c r="E316" s="43"/>
      <c r="F316" s="43"/>
      <c r="G316" s="43"/>
      <c r="H316" s="43"/>
      <c r="I316" s="43"/>
      <c r="J316" s="43"/>
      <c r="K316" s="43"/>
      <c r="L316" s="43"/>
      <c r="M316" s="43"/>
      <c r="N316" s="43"/>
      <c r="O316" s="43"/>
      <c r="P316" s="3"/>
      <c r="Q316" s="3"/>
      <c r="R316" s="3"/>
      <c r="S316" s="3"/>
      <c r="T316" s="3"/>
      <c r="U316" s="3"/>
      <c r="V316" s="3"/>
      <c r="W316" s="3"/>
      <c r="X316" s="3"/>
      <c r="Y316" s="3"/>
      <c r="Z316" s="3"/>
    </row>
    <row r="317" spans="1:26" ht="12.75" x14ac:dyDescent="0.2">
      <c r="A317" s="3"/>
      <c r="C317" s="72" t="s">
        <v>238</v>
      </c>
      <c r="D317" s="70"/>
      <c r="E317" s="70"/>
      <c r="F317" s="73">
        <f t="shared" ref="F317:O317" si="70">F279-F315</f>
        <v>-5.0424828653594602</v>
      </c>
      <c r="G317" s="73">
        <f t="shared" si="70"/>
        <v>-3.7910868707189422</v>
      </c>
      <c r="H317" s="73">
        <f t="shared" si="70"/>
        <v>-2.6271769161320151</v>
      </c>
      <c r="I317" s="73">
        <f t="shared" si="70"/>
        <v>-1.3506278619992429</v>
      </c>
      <c r="J317" s="73">
        <f t="shared" si="70"/>
        <v>-0.1613133173250958</v>
      </c>
      <c r="K317" s="73">
        <f t="shared" si="70"/>
        <v>1.1408943727957706</v>
      </c>
      <c r="L317" s="73">
        <f t="shared" si="70"/>
        <v>2.4561241398178595</v>
      </c>
      <c r="M317" s="73">
        <f t="shared" si="70"/>
        <v>3.6845062045101145</v>
      </c>
      <c r="N317" s="73">
        <f t="shared" si="70"/>
        <v>5.026172089849382</v>
      </c>
      <c r="O317" s="73">
        <f t="shared" si="70"/>
        <v>6.2812546340419431</v>
      </c>
      <c r="P317" s="3"/>
      <c r="Q317" s="3"/>
      <c r="R317" s="3"/>
      <c r="S317" s="3"/>
      <c r="T317" s="3"/>
      <c r="U317" s="3"/>
      <c r="V317" s="3"/>
      <c r="W317" s="3"/>
      <c r="X317" s="3"/>
      <c r="Y317" s="3"/>
      <c r="Z317" s="3"/>
    </row>
    <row r="318" spans="1:26" ht="12.75" x14ac:dyDescent="0.2">
      <c r="A318" s="3"/>
      <c r="B318" s="3"/>
      <c r="C318" s="3"/>
      <c r="D318" s="3"/>
      <c r="E318" s="3"/>
      <c r="F318" s="882"/>
      <c r="G318" s="3"/>
      <c r="H318" s="3"/>
      <c r="I318" s="3"/>
      <c r="J318" s="3"/>
      <c r="K318" s="3"/>
      <c r="L318" s="3"/>
      <c r="M318" s="3"/>
      <c r="N318" s="3"/>
      <c r="O318" s="3"/>
      <c r="P318" s="3"/>
      <c r="Q318" s="3"/>
      <c r="R318" s="3"/>
      <c r="S318" s="3"/>
      <c r="T318" s="3"/>
      <c r="U318" s="3"/>
      <c r="V318" s="3"/>
      <c r="W318" s="3"/>
      <c r="X318" s="3"/>
      <c r="Y318" s="3"/>
      <c r="Z318" s="3"/>
    </row>
    <row r="319" spans="1:26" ht="12.75" x14ac:dyDescent="0.2">
      <c r="A319" s="3"/>
      <c r="B319" s="32" t="s">
        <v>237</v>
      </c>
      <c r="C319" s="33"/>
      <c r="D319" s="33"/>
      <c r="E319" s="33"/>
      <c r="F319" s="33"/>
      <c r="G319" s="33"/>
      <c r="H319" s="33"/>
      <c r="I319" s="33"/>
      <c r="J319" s="33"/>
      <c r="K319" s="33"/>
      <c r="L319" s="33"/>
      <c r="M319" s="33"/>
      <c r="N319" s="33"/>
      <c r="O319" s="33"/>
      <c r="P319" s="3"/>
      <c r="Q319" s="3"/>
      <c r="R319" s="3"/>
      <c r="S319" s="3"/>
      <c r="T319" s="3"/>
      <c r="U319" s="3"/>
      <c r="V319" s="3"/>
      <c r="W319" s="3"/>
      <c r="X319" s="3"/>
      <c r="Y319" s="3"/>
      <c r="Z319" s="3"/>
    </row>
    <row r="320" spans="1:26" ht="12.75" x14ac:dyDescent="0.2">
      <c r="A320" s="3"/>
      <c r="C320" s="64" t="s">
        <v>222</v>
      </c>
      <c r="D320" s="33"/>
      <c r="E320" s="33"/>
      <c r="F320" s="33"/>
      <c r="G320" s="33"/>
      <c r="H320" s="33"/>
      <c r="I320" s="33"/>
      <c r="J320" s="33"/>
      <c r="K320" s="33"/>
      <c r="L320" s="33"/>
      <c r="M320" s="33"/>
      <c r="N320" s="33"/>
      <c r="O320" s="33"/>
      <c r="P320" s="3"/>
      <c r="Q320" s="3"/>
      <c r="R320" s="3"/>
      <c r="S320" s="3"/>
      <c r="T320" s="3"/>
      <c r="U320" s="3"/>
      <c r="V320" s="3"/>
      <c r="W320" s="3"/>
      <c r="X320" s="3"/>
      <c r="Y320" s="3"/>
      <c r="Z320" s="3"/>
    </row>
    <row r="321" spans="1:26" ht="12.75" x14ac:dyDescent="0.2">
      <c r="A321" s="3"/>
      <c r="B321" s="33"/>
      <c r="C321" s="9" t="s">
        <v>195</v>
      </c>
      <c r="D321" s="33"/>
      <c r="E321" s="33"/>
      <c r="F321" s="39">
        <f>F161/F$115</f>
        <v>279.50719999999995</v>
      </c>
      <c r="G321" s="39">
        <f>G161/G$115</f>
        <v>293.48255999999998</v>
      </c>
      <c r="H321" s="39">
        <f>H161/H$115</f>
        <v>308.15668799999997</v>
      </c>
      <c r="I321" s="39">
        <f>I161/I$115</f>
        <v>323.56452239999999</v>
      </c>
      <c r="J321" s="39">
        <f>J161/J$115</f>
        <v>339.74274852000008</v>
      </c>
      <c r="K321" s="39">
        <f>K161/K$115</f>
        <v>349.38399999999996</v>
      </c>
      <c r="L321" s="39">
        <f>L161/L$115</f>
        <v>349.38400000000001</v>
      </c>
      <c r="M321" s="39">
        <f>M161/M$115</f>
        <v>349.38399999999996</v>
      </c>
      <c r="N321" s="39">
        <f>N161/N$115</f>
        <v>349.38399999999996</v>
      </c>
      <c r="O321" s="39">
        <f>O161/O$115</f>
        <v>349.38399999999996</v>
      </c>
      <c r="P321" s="3"/>
      <c r="Q321" s="3"/>
      <c r="R321" s="3"/>
      <c r="S321" s="3"/>
      <c r="T321" s="3"/>
      <c r="U321" s="3"/>
      <c r="V321" s="3"/>
      <c r="W321" s="3"/>
      <c r="X321" s="3"/>
      <c r="Y321" s="3"/>
      <c r="Z321" s="3"/>
    </row>
    <row r="322" spans="1:26" ht="12.75" x14ac:dyDescent="0.2">
      <c r="A322" s="3"/>
      <c r="B322" s="33"/>
      <c r="C322" s="27" t="s">
        <v>231</v>
      </c>
      <c r="D322" s="33"/>
      <c r="E322" s="33"/>
      <c r="F322" s="39">
        <f>F162/F$115</f>
        <v>62.889119999999998</v>
      </c>
      <c r="G322" s="39">
        <f>G162/G$115</f>
        <v>58.696511999999998</v>
      </c>
      <c r="H322" s="39">
        <f>H162/H$115</f>
        <v>53.927420399999995</v>
      </c>
      <c r="I322" s="39">
        <f>I162/I$115</f>
        <v>48.534678359999994</v>
      </c>
      <c r="J322" s="39">
        <f>J162/J$115</f>
        <v>50.961412278000005</v>
      </c>
      <c r="K322" s="39">
        <f>K162/K$115</f>
        <v>52.407599999999995</v>
      </c>
      <c r="L322" s="39">
        <f>L162/L$115</f>
        <v>52.407599999999995</v>
      </c>
      <c r="M322" s="39">
        <f>M162/M$115</f>
        <v>52.407599999999995</v>
      </c>
      <c r="N322" s="39">
        <f>N162/N$115</f>
        <v>52.407599999999995</v>
      </c>
      <c r="O322" s="39">
        <f>O162/O$115</f>
        <v>52.407599999999995</v>
      </c>
      <c r="P322" s="3"/>
      <c r="Q322" s="3"/>
      <c r="R322" s="3"/>
      <c r="S322" s="3"/>
      <c r="T322" s="3"/>
      <c r="U322" s="3"/>
      <c r="V322" s="3"/>
      <c r="W322" s="3"/>
      <c r="X322" s="3"/>
      <c r="Y322" s="3"/>
      <c r="Z322" s="3"/>
    </row>
    <row r="323" spans="1:26" ht="12.75" x14ac:dyDescent="0.2">
      <c r="A323" s="3"/>
      <c r="B323" s="33"/>
      <c r="C323" s="36" t="s">
        <v>248</v>
      </c>
      <c r="D323" s="36"/>
      <c r="E323" s="36"/>
      <c r="F323" s="59">
        <f t="shared" ref="F323:O323" si="71">F321-F322</f>
        <v>216.61807999999996</v>
      </c>
      <c r="G323" s="59">
        <f t="shared" si="71"/>
        <v>234.78604799999999</v>
      </c>
      <c r="H323" s="59">
        <f t="shared" si="71"/>
        <v>254.22926759999999</v>
      </c>
      <c r="I323" s="59">
        <f t="shared" si="71"/>
        <v>275.02984404</v>
      </c>
      <c r="J323" s="59">
        <f t="shared" si="71"/>
        <v>288.78133624200007</v>
      </c>
      <c r="K323" s="59">
        <f t="shared" si="71"/>
        <v>296.97639999999996</v>
      </c>
      <c r="L323" s="59">
        <f t="shared" si="71"/>
        <v>296.97640000000001</v>
      </c>
      <c r="M323" s="59">
        <f t="shared" si="71"/>
        <v>296.97639999999996</v>
      </c>
      <c r="N323" s="59">
        <f t="shared" si="71"/>
        <v>296.97639999999996</v>
      </c>
      <c r="O323" s="59">
        <f t="shared" si="71"/>
        <v>296.97639999999996</v>
      </c>
      <c r="P323" s="3"/>
      <c r="Q323" s="3"/>
      <c r="R323" s="3"/>
      <c r="S323" s="3"/>
      <c r="T323" s="3"/>
      <c r="U323" s="3"/>
      <c r="V323" s="3"/>
      <c r="W323" s="3"/>
      <c r="X323" s="3"/>
      <c r="Y323" s="3"/>
      <c r="Z323" s="3"/>
    </row>
    <row r="324" spans="1:26" ht="12.75" x14ac:dyDescent="0.2">
      <c r="A324" s="3"/>
      <c r="B324" s="33"/>
      <c r="C324" s="27"/>
      <c r="D324" s="33"/>
      <c r="E324" s="33"/>
      <c r="F324" s="37"/>
      <c r="G324" s="37"/>
      <c r="H324" s="37"/>
      <c r="I324" s="37"/>
      <c r="J324" s="37"/>
      <c r="K324" s="37"/>
      <c r="L324" s="37"/>
      <c r="M324" s="37"/>
      <c r="N324" s="37"/>
      <c r="O324" s="37"/>
      <c r="P324" s="3"/>
      <c r="Q324" s="3"/>
      <c r="R324" s="3"/>
      <c r="S324" s="3"/>
      <c r="T324" s="3"/>
      <c r="U324" s="3"/>
      <c r="V324" s="3"/>
      <c r="W324" s="3"/>
      <c r="X324" s="3"/>
      <c r="Y324" s="3"/>
      <c r="Z324" s="3"/>
    </row>
    <row r="325" spans="1:26" ht="12.75" x14ac:dyDescent="0.2">
      <c r="A325" s="3"/>
      <c r="B325" s="33"/>
      <c r="C325" s="34" t="s">
        <v>266</v>
      </c>
      <c r="D325" s="33"/>
      <c r="E325" s="33"/>
      <c r="F325" s="37"/>
      <c r="G325" s="37"/>
      <c r="H325" s="37"/>
      <c r="I325" s="37"/>
      <c r="J325" s="37"/>
      <c r="K325" s="37"/>
      <c r="L325" s="37"/>
      <c r="M325" s="37"/>
      <c r="N325" s="37"/>
      <c r="O325" s="37"/>
      <c r="P325" s="3"/>
      <c r="Q325" s="3"/>
      <c r="R325" s="3"/>
      <c r="S325" s="3"/>
      <c r="T325" s="3"/>
      <c r="U325" s="3"/>
      <c r="V325" s="3"/>
      <c r="W325" s="3"/>
      <c r="X325" s="3"/>
      <c r="Y325" s="3"/>
      <c r="Z325" s="3"/>
    </row>
    <row r="326" spans="1:26" ht="12.75" x14ac:dyDescent="0.2">
      <c r="A326" s="3"/>
      <c r="B326" s="33"/>
      <c r="C326" s="35" t="s">
        <v>267</v>
      </c>
      <c r="D326" s="33"/>
      <c r="E326" s="33"/>
      <c r="F326" s="39">
        <f>$I$90/1000</f>
        <v>130</v>
      </c>
      <c r="G326" s="39">
        <f t="shared" ref="G326:O326" si="72">$I$90/1000</f>
        <v>130</v>
      </c>
      <c r="H326" s="39">
        <f t="shared" si="72"/>
        <v>130</v>
      </c>
      <c r="I326" s="39">
        <f t="shared" si="72"/>
        <v>130</v>
      </c>
      <c r="J326" s="39">
        <f t="shared" si="72"/>
        <v>130</v>
      </c>
      <c r="K326" s="39">
        <f t="shared" si="72"/>
        <v>130</v>
      </c>
      <c r="L326" s="39">
        <f t="shared" si="72"/>
        <v>130</v>
      </c>
      <c r="M326" s="39">
        <f t="shared" si="72"/>
        <v>130</v>
      </c>
      <c r="N326" s="39">
        <f t="shared" si="72"/>
        <v>130</v>
      </c>
      <c r="O326" s="39">
        <f t="shared" si="72"/>
        <v>130</v>
      </c>
      <c r="P326" s="3"/>
      <c r="Q326" s="3"/>
      <c r="R326" s="3"/>
      <c r="S326" s="3"/>
      <c r="T326" s="3"/>
      <c r="U326" s="3"/>
      <c r="V326" s="3"/>
      <c r="W326" s="3"/>
      <c r="X326" s="3"/>
      <c r="Y326" s="3"/>
      <c r="Z326" s="3"/>
    </row>
    <row r="327" spans="1:26" ht="12.75" x14ac:dyDescent="0.2">
      <c r="A327" s="3"/>
      <c r="B327" s="33"/>
      <c r="C327" s="35" t="s">
        <v>138</v>
      </c>
      <c r="D327" s="33"/>
      <c r="E327" s="33"/>
      <c r="F327" s="39">
        <f>$I$86/1000</f>
        <v>0</v>
      </c>
      <c r="G327" s="39">
        <f t="shared" ref="G327:O327" si="73">$I$86/1000</f>
        <v>0</v>
      </c>
      <c r="H327" s="39">
        <f t="shared" si="73"/>
        <v>0</v>
      </c>
      <c r="I327" s="39">
        <f t="shared" si="73"/>
        <v>0</v>
      </c>
      <c r="J327" s="39">
        <f t="shared" si="73"/>
        <v>0</v>
      </c>
      <c r="K327" s="39">
        <f t="shared" si="73"/>
        <v>0</v>
      </c>
      <c r="L327" s="39">
        <f t="shared" si="73"/>
        <v>0</v>
      </c>
      <c r="M327" s="39">
        <f t="shared" si="73"/>
        <v>0</v>
      </c>
      <c r="N327" s="39">
        <f t="shared" si="73"/>
        <v>0</v>
      </c>
      <c r="O327" s="39">
        <f t="shared" si="73"/>
        <v>0</v>
      </c>
      <c r="P327" s="3"/>
      <c r="Q327" s="3"/>
      <c r="R327" s="3"/>
      <c r="S327" s="3"/>
      <c r="T327" s="3"/>
      <c r="U327" s="3"/>
      <c r="V327" s="3"/>
      <c r="W327" s="3"/>
      <c r="X327" s="3"/>
      <c r="Y327" s="3"/>
      <c r="Z327" s="3"/>
    </row>
    <row r="328" spans="1:26" ht="12.75" x14ac:dyDescent="0.2">
      <c r="A328" s="3"/>
      <c r="B328" s="33"/>
      <c r="C328" s="36" t="s">
        <v>247</v>
      </c>
      <c r="D328" s="36"/>
      <c r="E328" s="36"/>
      <c r="F328" s="40">
        <f>SUM(F326:F327)</f>
        <v>130</v>
      </c>
      <c r="G328" s="40">
        <f t="shared" ref="G328:O328" si="74">SUM(G326:G327)</f>
        <v>130</v>
      </c>
      <c r="H328" s="40">
        <f>SUM(H326:H327)</f>
        <v>130</v>
      </c>
      <c r="I328" s="40">
        <f t="shared" si="74"/>
        <v>130</v>
      </c>
      <c r="J328" s="40">
        <f t="shared" si="74"/>
        <v>130</v>
      </c>
      <c r="K328" s="40">
        <f t="shared" si="74"/>
        <v>130</v>
      </c>
      <c r="L328" s="40">
        <f t="shared" si="74"/>
        <v>130</v>
      </c>
      <c r="M328" s="40">
        <f t="shared" si="74"/>
        <v>130</v>
      </c>
      <c r="N328" s="40">
        <f t="shared" si="74"/>
        <v>130</v>
      </c>
      <c r="O328" s="40">
        <f t="shared" si="74"/>
        <v>130</v>
      </c>
      <c r="P328" s="3"/>
      <c r="Q328" s="3"/>
      <c r="R328" s="3"/>
      <c r="S328" s="3"/>
      <c r="T328" s="3"/>
      <c r="U328" s="3"/>
      <c r="V328" s="3"/>
      <c r="W328" s="3"/>
      <c r="X328" s="3"/>
      <c r="Y328" s="3"/>
      <c r="Z328" s="3"/>
    </row>
    <row r="329" spans="1:26" ht="12.75" x14ac:dyDescent="0.2">
      <c r="A329" s="3"/>
      <c r="B329" s="33"/>
      <c r="C329" s="27"/>
      <c r="D329" s="33"/>
      <c r="E329" s="33"/>
      <c r="F329" s="37"/>
      <c r="G329" s="37"/>
      <c r="H329" s="37"/>
      <c r="I329" s="37"/>
      <c r="J329" s="37"/>
      <c r="K329" s="37"/>
      <c r="L329" s="37"/>
      <c r="M329" s="37"/>
      <c r="N329" s="37"/>
      <c r="O329" s="37"/>
      <c r="P329" s="3"/>
      <c r="Q329" s="3"/>
      <c r="R329" s="3"/>
      <c r="S329" s="3"/>
      <c r="T329" s="3"/>
      <c r="U329" s="3"/>
      <c r="V329" s="3"/>
      <c r="W329" s="3"/>
      <c r="X329" s="3"/>
      <c r="Y329" s="3"/>
      <c r="Z329" s="3"/>
    </row>
    <row r="330" spans="1:26" ht="12.75" x14ac:dyDescent="0.2">
      <c r="A330" s="3"/>
      <c r="B330" s="33"/>
      <c r="C330" s="66" t="s">
        <v>230</v>
      </c>
      <c r="D330" s="66"/>
      <c r="E330" s="66"/>
      <c r="F330" s="67">
        <f>F323+F328</f>
        <v>346.61807999999996</v>
      </c>
      <c r="G330" s="67">
        <f t="shared" ref="G330:O330" si="75">G323+G328</f>
        <v>364.78604799999999</v>
      </c>
      <c r="H330" s="67">
        <f>H323+H328</f>
        <v>384.22926759999996</v>
      </c>
      <c r="I330" s="67">
        <f t="shared" si="75"/>
        <v>405.02984404</v>
      </c>
      <c r="J330" s="67">
        <f t="shared" si="75"/>
        <v>418.78133624200007</v>
      </c>
      <c r="K330" s="67">
        <f t="shared" si="75"/>
        <v>426.97639999999996</v>
      </c>
      <c r="L330" s="67">
        <f t="shared" si="75"/>
        <v>426.97640000000001</v>
      </c>
      <c r="M330" s="67">
        <f t="shared" si="75"/>
        <v>426.97639999999996</v>
      </c>
      <c r="N330" s="67">
        <f t="shared" si="75"/>
        <v>426.97639999999996</v>
      </c>
      <c r="O330" s="67">
        <f t="shared" si="75"/>
        <v>426.97639999999996</v>
      </c>
      <c r="P330" s="3"/>
      <c r="Q330" s="3"/>
      <c r="R330" s="3"/>
      <c r="S330" s="3"/>
      <c r="T330" s="3"/>
      <c r="U330" s="3"/>
      <c r="V330" s="3"/>
      <c r="W330" s="3"/>
      <c r="X330" s="3"/>
      <c r="Y330" s="3"/>
      <c r="Z330" s="3"/>
    </row>
    <row r="331" spans="1:26" ht="12.75" x14ac:dyDescent="0.2">
      <c r="A331" s="3"/>
      <c r="B331" s="33"/>
      <c r="C331" s="33"/>
      <c r="D331" s="33"/>
      <c r="E331" s="33"/>
      <c r="F331" s="33"/>
      <c r="G331" s="33"/>
      <c r="H331" s="33"/>
      <c r="I331" s="33"/>
      <c r="J331" s="33"/>
      <c r="K331" s="33"/>
      <c r="L331" s="33"/>
      <c r="M331" s="33"/>
      <c r="N331" s="33"/>
      <c r="O331" s="33"/>
      <c r="P331" s="3"/>
      <c r="Q331" s="3"/>
      <c r="R331" s="3"/>
      <c r="S331" s="3"/>
      <c r="T331" s="3"/>
      <c r="U331" s="3"/>
      <c r="V331" s="3"/>
      <c r="W331" s="3"/>
      <c r="X331" s="3"/>
      <c r="Y331" s="3"/>
      <c r="Z331" s="3"/>
    </row>
    <row r="332" spans="1:26" ht="12.75" x14ac:dyDescent="0.2">
      <c r="A332" s="3"/>
      <c r="C332" s="64" t="s">
        <v>235</v>
      </c>
      <c r="D332" s="33"/>
      <c r="E332" s="33"/>
      <c r="F332" s="33"/>
      <c r="G332" s="33"/>
      <c r="H332" s="33"/>
      <c r="I332" s="33"/>
      <c r="J332" s="33"/>
      <c r="K332" s="33"/>
      <c r="L332" s="33"/>
      <c r="M332" s="33"/>
      <c r="N332" s="33"/>
      <c r="O332" s="33"/>
      <c r="P332" s="3"/>
      <c r="Q332" s="3"/>
      <c r="R332" s="3"/>
      <c r="S332" s="3"/>
      <c r="T332" s="3"/>
      <c r="U332" s="3"/>
      <c r="V332" s="3"/>
      <c r="W332" s="3"/>
      <c r="X332" s="3"/>
      <c r="Y332" s="3"/>
      <c r="Z332" s="3"/>
    </row>
    <row r="333" spans="1:26" ht="12.75" x14ac:dyDescent="0.2">
      <c r="A333" s="3"/>
      <c r="B333" s="64"/>
      <c r="C333" s="34" t="s">
        <v>144</v>
      </c>
      <c r="D333" s="33"/>
      <c r="E333" s="33"/>
      <c r="F333" s="33"/>
      <c r="G333" s="33"/>
      <c r="H333" s="33"/>
      <c r="I333" s="33"/>
      <c r="J333" s="33"/>
      <c r="K333" s="33"/>
      <c r="L333" s="33"/>
      <c r="M333" s="33"/>
      <c r="N333" s="33"/>
      <c r="O333" s="33"/>
      <c r="P333" s="3"/>
      <c r="Q333" s="3"/>
      <c r="R333" s="3"/>
      <c r="S333" s="3"/>
      <c r="T333" s="3"/>
      <c r="U333" s="3"/>
      <c r="V333" s="3"/>
      <c r="W333" s="3"/>
      <c r="X333" s="3"/>
      <c r="Y333" s="3"/>
      <c r="Z333" s="3"/>
    </row>
    <row r="334" spans="1:26" ht="12.75" x14ac:dyDescent="0.2">
      <c r="A334" s="3"/>
      <c r="B334" s="64"/>
      <c r="C334" s="46" t="s">
        <v>245</v>
      </c>
      <c r="D334" s="43"/>
      <c r="E334" s="43"/>
      <c r="F334" s="81">
        <f>$I$90*(1+$I$91)/1000</f>
        <v>142.99990341335402</v>
      </c>
      <c r="G334" s="81">
        <f t="shared" ref="G334:O334" si="76">$I$90*(1+$I$91)/1000</f>
        <v>142.99990341335402</v>
      </c>
      <c r="H334" s="81">
        <f t="shared" si="76"/>
        <v>142.99990341335402</v>
      </c>
      <c r="I334" s="81">
        <f t="shared" si="76"/>
        <v>142.99990341335402</v>
      </c>
      <c r="J334" s="81">
        <f t="shared" si="76"/>
        <v>142.99990341335402</v>
      </c>
      <c r="K334" s="81">
        <f t="shared" si="76"/>
        <v>142.99990341335402</v>
      </c>
      <c r="L334" s="81">
        <f t="shared" si="76"/>
        <v>142.99990341335402</v>
      </c>
      <c r="M334" s="81">
        <f t="shared" si="76"/>
        <v>142.99990341335402</v>
      </c>
      <c r="N334" s="81">
        <f t="shared" si="76"/>
        <v>142.99990341335402</v>
      </c>
      <c r="O334" s="81">
        <f t="shared" si="76"/>
        <v>142.99990341335402</v>
      </c>
      <c r="P334" s="3"/>
      <c r="Q334" s="28"/>
      <c r="R334" s="3"/>
      <c r="S334" s="3"/>
      <c r="T334" s="3"/>
      <c r="U334" s="3"/>
      <c r="V334" s="3"/>
      <c r="W334" s="3"/>
      <c r="X334" s="3"/>
      <c r="Y334" s="3"/>
      <c r="Z334" s="3"/>
    </row>
    <row r="335" spans="1:26" ht="12.75" x14ac:dyDescent="0.2">
      <c r="A335" s="3"/>
      <c r="B335" s="64"/>
      <c r="C335" s="36" t="s">
        <v>245</v>
      </c>
      <c r="D335" s="36"/>
      <c r="E335" s="36"/>
      <c r="F335" s="76">
        <f t="shared" ref="F335:O335" si="77">F334</f>
        <v>142.99990341335402</v>
      </c>
      <c r="G335" s="76">
        <f t="shared" si="77"/>
        <v>142.99990341335402</v>
      </c>
      <c r="H335" s="76">
        <f t="shared" si="77"/>
        <v>142.99990341335402</v>
      </c>
      <c r="I335" s="76">
        <f t="shared" si="77"/>
        <v>142.99990341335402</v>
      </c>
      <c r="J335" s="76">
        <f t="shared" si="77"/>
        <v>142.99990341335402</v>
      </c>
      <c r="K335" s="76">
        <f t="shared" si="77"/>
        <v>142.99990341335402</v>
      </c>
      <c r="L335" s="76">
        <f t="shared" si="77"/>
        <v>142.99990341335402</v>
      </c>
      <c r="M335" s="76">
        <f t="shared" si="77"/>
        <v>142.99990341335402</v>
      </c>
      <c r="N335" s="76">
        <f t="shared" si="77"/>
        <v>142.99990341335402</v>
      </c>
      <c r="O335" s="76">
        <f t="shared" si="77"/>
        <v>142.99990341335402</v>
      </c>
      <c r="P335" s="3"/>
      <c r="Q335" s="28"/>
      <c r="R335" s="3"/>
      <c r="S335" s="3"/>
      <c r="T335" s="3"/>
      <c r="U335" s="3"/>
      <c r="V335" s="3"/>
      <c r="W335" s="3"/>
      <c r="X335" s="3"/>
      <c r="Y335" s="3"/>
      <c r="Z335" s="3"/>
    </row>
    <row r="336" spans="1:26" ht="12.75" x14ac:dyDescent="0.2">
      <c r="A336" s="3"/>
      <c r="B336" s="64"/>
      <c r="C336" s="64"/>
      <c r="D336" s="33"/>
      <c r="E336" s="33"/>
      <c r="F336" s="33"/>
      <c r="G336" s="33"/>
      <c r="H336" s="33"/>
      <c r="I336" s="33"/>
      <c r="J336" s="33"/>
      <c r="K336" s="33"/>
      <c r="L336" s="33"/>
      <c r="M336" s="33"/>
      <c r="N336" s="33"/>
      <c r="O336" s="33"/>
      <c r="P336" s="3"/>
      <c r="Q336" s="3"/>
      <c r="R336" s="3"/>
      <c r="S336" s="3"/>
      <c r="T336" s="3"/>
      <c r="U336" s="3"/>
      <c r="V336" s="3"/>
      <c r="W336" s="3"/>
      <c r="X336" s="3"/>
      <c r="Y336" s="3"/>
      <c r="Z336" s="3"/>
    </row>
    <row r="337" spans="1:26" ht="12.75" x14ac:dyDescent="0.2">
      <c r="A337" s="3"/>
      <c r="B337" s="33"/>
      <c r="C337" s="34" t="s">
        <v>218</v>
      </c>
      <c r="D337" s="33"/>
      <c r="E337" s="33"/>
      <c r="F337" s="33"/>
      <c r="G337" s="33"/>
      <c r="H337" s="33"/>
      <c r="I337" s="33"/>
      <c r="J337" s="33"/>
      <c r="K337" s="33"/>
      <c r="L337" s="33"/>
      <c r="M337" s="33"/>
      <c r="N337" s="33"/>
      <c r="O337" s="33"/>
      <c r="P337" s="3"/>
      <c r="Q337" s="3"/>
      <c r="R337" s="3"/>
      <c r="S337" s="3"/>
      <c r="T337" s="3"/>
      <c r="U337" s="3"/>
      <c r="V337" s="3"/>
      <c r="W337" s="3"/>
      <c r="X337" s="3"/>
      <c r="Y337" s="3"/>
      <c r="Z337" s="3"/>
    </row>
    <row r="338" spans="1:26" ht="12.75" x14ac:dyDescent="0.2">
      <c r="A338" s="3"/>
      <c r="B338" s="33"/>
      <c r="C338" s="94" t="s">
        <v>272</v>
      </c>
      <c r="D338" s="33"/>
      <c r="E338" s="33"/>
      <c r="F338" s="39">
        <f t="shared" ref="F338:O338" si="78">F200/F$115</f>
        <v>14.71</v>
      </c>
      <c r="G338" s="39">
        <f t="shared" si="78"/>
        <v>14.71</v>
      </c>
      <c r="H338" s="39">
        <f t="shared" si="78"/>
        <v>14.71</v>
      </c>
      <c r="I338" s="39">
        <f t="shared" si="78"/>
        <v>14.709999999999999</v>
      </c>
      <c r="J338" s="39">
        <f t="shared" si="78"/>
        <v>14.709999999999999</v>
      </c>
      <c r="K338" s="39">
        <f t="shared" si="78"/>
        <v>14.71</v>
      </c>
      <c r="L338" s="39">
        <f t="shared" si="78"/>
        <v>14.71</v>
      </c>
      <c r="M338" s="39">
        <f t="shared" si="78"/>
        <v>14.709999999999999</v>
      </c>
      <c r="N338" s="39">
        <f t="shared" si="78"/>
        <v>14.709999999999999</v>
      </c>
      <c r="O338" s="39">
        <f t="shared" si="78"/>
        <v>14.709999999999999</v>
      </c>
      <c r="P338" s="3"/>
      <c r="Q338" s="3"/>
      <c r="R338" s="3"/>
      <c r="S338" s="3"/>
      <c r="T338" s="3"/>
      <c r="U338" s="3"/>
      <c r="V338" s="3"/>
      <c r="W338" s="3"/>
      <c r="X338" s="3"/>
      <c r="Y338" s="3"/>
      <c r="Z338" s="3"/>
    </row>
    <row r="339" spans="1:26" ht="12.75" x14ac:dyDescent="0.2">
      <c r="A339" s="3"/>
      <c r="B339" s="33"/>
      <c r="C339" s="94" t="s">
        <v>273</v>
      </c>
      <c r="D339" s="33"/>
      <c r="E339" s="33"/>
      <c r="F339" s="39">
        <f t="shared" ref="F339:O339" si="79">F201/F$115</f>
        <v>8.92</v>
      </c>
      <c r="G339" s="39">
        <f t="shared" si="79"/>
        <v>8.92</v>
      </c>
      <c r="H339" s="39">
        <f t="shared" si="79"/>
        <v>8.92</v>
      </c>
      <c r="I339" s="39">
        <f t="shared" si="79"/>
        <v>8.92</v>
      </c>
      <c r="J339" s="39">
        <f t="shared" si="79"/>
        <v>8.92</v>
      </c>
      <c r="K339" s="39">
        <f t="shared" si="79"/>
        <v>8.92</v>
      </c>
      <c r="L339" s="39">
        <f t="shared" si="79"/>
        <v>8.92</v>
      </c>
      <c r="M339" s="39">
        <f t="shared" si="79"/>
        <v>8.92</v>
      </c>
      <c r="N339" s="39">
        <f t="shared" si="79"/>
        <v>8.92</v>
      </c>
      <c r="O339" s="39">
        <f t="shared" si="79"/>
        <v>8.92</v>
      </c>
      <c r="P339" s="3"/>
      <c r="Q339" s="3"/>
      <c r="R339" s="3"/>
      <c r="S339" s="3"/>
      <c r="T339" s="3"/>
      <c r="U339" s="3"/>
      <c r="V339" s="3"/>
      <c r="W339" s="3"/>
      <c r="X339" s="3"/>
      <c r="Y339" s="3"/>
      <c r="Z339" s="3"/>
    </row>
    <row r="340" spans="1:26" ht="12.75" x14ac:dyDescent="0.2">
      <c r="A340" s="3"/>
      <c r="B340" s="33"/>
      <c r="C340" s="94" t="s">
        <v>274</v>
      </c>
      <c r="D340" s="33"/>
      <c r="E340" s="33"/>
      <c r="F340" s="39">
        <f t="shared" ref="F340:O340" si="80">F202/F$115</f>
        <v>11.93</v>
      </c>
      <c r="G340" s="39">
        <f t="shared" si="80"/>
        <v>11.93</v>
      </c>
      <c r="H340" s="39">
        <f t="shared" si="80"/>
        <v>11.93</v>
      </c>
      <c r="I340" s="39">
        <f t="shared" si="80"/>
        <v>11.930000000000001</v>
      </c>
      <c r="J340" s="39">
        <f t="shared" si="80"/>
        <v>11.930000000000001</v>
      </c>
      <c r="K340" s="39">
        <f t="shared" si="80"/>
        <v>11.93</v>
      </c>
      <c r="L340" s="39">
        <f t="shared" si="80"/>
        <v>11.930000000000001</v>
      </c>
      <c r="M340" s="39">
        <f t="shared" si="80"/>
        <v>11.930000000000001</v>
      </c>
      <c r="N340" s="39">
        <f t="shared" si="80"/>
        <v>11.93</v>
      </c>
      <c r="O340" s="39">
        <f t="shared" si="80"/>
        <v>11.93</v>
      </c>
      <c r="P340" s="3"/>
      <c r="Q340" s="3"/>
      <c r="R340" s="3"/>
      <c r="S340" s="3"/>
      <c r="T340" s="3"/>
      <c r="U340" s="3"/>
      <c r="V340" s="3"/>
      <c r="W340" s="3"/>
      <c r="X340" s="3"/>
      <c r="Y340" s="3"/>
      <c r="Z340" s="3"/>
    </row>
    <row r="341" spans="1:26" ht="12.75" x14ac:dyDescent="0.2">
      <c r="A341" s="3"/>
      <c r="B341" s="33"/>
      <c r="C341" s="94" t="s">
        <v>275</v>
      </c>
      <c r="D341" s="33"/>
      <c r="E341" s="33"/>
      <c r="F341" s="39">
        <f t="shared" ref="F341:O341" si="81">F203/F$115</f>
        <v>17.406399999999998</v>
      </c>
      <c r="G341" s="39">
        <f t="shared" si="81"/>
        <v>18.276719999999997</v>
      </c>
      <c r="H341" s="39">
        <f t="shared" si="81"/>
        <v>19.190556000000001</v>
      </c>
      <c r="I341" s="39">
        <f t="shared" si="81"/>
        <v>20.150083800000001</v>
      </c>
      <c r="J341" s="39">
        <f t="shared" si="81"/>
        <v>21.157587990000003</v>
      </c>
      <c r="K341" s="39">
        <f t="shared" si="81"/>
        <v>21.758000000000003</v>
      </c>
      <c r="L341" s="39">
        <f t="shared" si="81"/>
        <v>21.757999999999999</v>
      </c>
      <c r="M341" s="39">
        <f t="shared" si="81"/>
        <v>21.757999999999999</v>
      </c>
      <c r="N341" s="39">
        <f t="shared" si="81"/>
        <v>21.758000000000003</v>
      </c>
      <c r="O341" s="39">
        <f t="shared" si="81"/>
        <v>21.758000000000003</v>
      </c>
      <c r="P341" s="3"/>
      <c r="Q341" s="3"/>
      <c r="R341" s="3"/>
      <c r="S341" s="3"/>
      <c r="T341" s="3"/>
      <c r="U341" s="3"/>
      <c r="V341" s="3"/>
      <c r="W341" s="3"/>
      <c r="X341" s="3"/>
      <c r="Y341" s="3"/>
      <c r="Z341" s="3"/>
    </row>
    <row r="342" spans="1:26" s="105" customFormat="1" ht="12.75" x14ac:dyDescent="0.2">
      <c r="A342" s="102"/>
      <c r="B342" s="35"/>
      <c r="C342" s="84" t="s">
        <v>293</v>
      </c>
      <c r="D342" s="35"/>
      <c r="E342" s="35"/>
      <c r="F342" s="104">
        <f t="shared" ref="F342:O342" si="82">F204/F$115</f>
        <v>11.7325</v>
      </c>
      <c r="G342" s="104">
        <f t="shared" si="82"/>
        <v>11.7325</v>
      </c>
      <c r="H342" s="104">
        <f t="shared" si="82"/>
        <v>11.732500000000002</v>
      </c>
      <c r="I342" s="104">
        <f t="shared" si="82"/>
        <v>11.7325</v>
      </c>
      <c r="J342" s="104">
        <f t="shared" si="82"/>
        <v>11.732500000000002</v>
      </c>
      <c r="K342" s="104">
        <f t="shared" si="82"/>
        <v>11.7325</v>
      </c>
      <c r="L342" s="104">
        <f t="shared" si="82"/>
        <v>11.732500000000002</v>
      </c>
      <c r="M342" s="104">
        <f t="shared" si="82"/>
        <v>11.7325</v>
      </c>
      <c r="N342" s="104">
        <f t="shared" si="82"/>
        <v>11.7325</v>
      </c>
      <c r="O342" s="104">
        <f t="shared" si="82"/>
        <v>11.7325</v>
      </c>
      <c r="P342" s="102"/>
      <c r="Q342" s="102"/>
      <c r="R342" s="102"/>
      <c r="S342" s="102"/>
      <c r="T342" s="102"/>
      <c r="U342" s="102"/>
      <c r="V342" s="102"/>
      <c r="W342" s="102"/>
      <c r="X342" s="102"/>
      <c r="Y342" s="102"/>
      <c r="Z342" s="102"/>
    </row>
    <row r="343" spans="1:26" ht="12.75" x14ac:dyDescent="0.2">
      <c r="A343" s="3"/>
      <c r="B343" s="33"/>
      <c r="C343" s="94" t="s">
        <v>278</v>
      </c>
      <c r="D343" s="33"/>
      <c r="E343" s="33"/>
      <c r="F343" s="39">
        <f t="shared" ref="F343:O343" si="83">F205/F$115</f>
        <v>60.69</v>
      </c>
      <c r="G343" s="39">
        <f t="shared" si="83"/>
        <v>60.690000000000005</v>
      </c>
      <c r="H343" s="39">
        <f t="shared" si="83"/>
        <v>60.69</v>
      </c>
      <c r="I343" s="39">
        <f t="shared" si="83"/>
        <v>60.690000000000005</v>
      </c>
      <c r="J343" s="39">
        <f t="shared" si="83"/>
        <v>60.690000000000005</v>
      </c>
      <c r="K343" s="39">
        <f t="shared" si="83"/>
        <v>60.69</v>
      </c>
      <c r="L343" s="39">
        <f t="shared" si="83"/>
        <v>60.69</v>
      </c>
      <c r="M343" s="39">
        <f t="shared" si="83"/>
        <v>60.69</v>
      </c>
      <c r="N343" s="39">
        <f t="shared" si="83"/>
        <v>60.69</v>
      </c>
      <c r="O343" s="39">
        <f t="shared" si="83"/>
        <v>60.69</v>
      </c>
      <c r="P343" s="3"/>
      <c r="Q343" s="3"/>
      <c r="R343" s="3"/>
      <c r="S343" s="3"/>
      <c r="T343" s="3"/>
      <c r="U343" s="3"/>
      <c r="V343" s="3"/>
      <c r="W343" s="3"/>
      <c r="X343" s="3"/>
      <c r="Y343" s="3"/>
      <c r="Z343" s="3"/>
    </row>
    <row r="344" spans="1:26" ht="12.75" x14ac:dyDescent="0.2">
      <c r="A344" s="3"/>
      <c r="B344" s="33"/>
      <c r="C344" s="9" t="s">
        <v>85</v>
      </c>
      <c r="D344" s="33"/>
      <c r="E344" s="33"/>
      <c r="F344" s="39">
        <f t="shared" ref="F344:O344" si="84">F206/F$115</f>
        <v>17.34</v>
      </c>
      <c r="G344" s="39">
        <f t="shared" si="84"/>
        <v>17.34</v>
      </c>
      <c r="H344" s="39">
        <f t="shared" si="84"/>
        <v>17.339999999999996</v>
      </c>
      <c r="I344" s="39">
        <f t="shared" si="84"/>
        <v>17.34</v>
      </c>
      <c r="J344" s="39">
        <f t="shared" si="84"/>
        <v>0</v>
      </c>
      <c r="K344" s="39">
        <f t="shared" si="84"/>
        <v>0</v>
      </c>
      <c r="L344" s="39">
        <f t="shared" si="84"/>
        <v>0</v>
      </c>
      <c r="M344" s="39">
        <f t="shared" si="84"/>
        <v>0</v>
      </c>
      <c r="N344" s="39">
        <f t="shared" si="84"/>
        <v>0</v>
      </c>
      <c r="O344" s="39">
        <f t="shared" si="84"/>
        <v>0</v>
      </c>
      <c r="P344" s="3"/>
      <c r="Q344" s="3"/>
      <c r="R344" s="3"/>
      <c r="S344" s="3"/>
      <c r="T344" s="3"/>
      <c r="U344" s="3"/>
      <c r="V344" s="3"/>
      <c r="W344" s="3"/>
      <c r="X344" s="3"/>
      <c r="Y344" s="3"/>
      <c r="Z344" s="3"/>
    </row>
    <row r="345" spans="1:26" ht="12.75" x14ac:dyDescent="0.2">
      <c r="A345" s="3"/>
      <c r="B345" s="33"/>
      <c r="C345" s="36" t="s">
        <v>207</v>
      </c>
      <c r="D345" s="36"/>
      <c r="E345" s="36"/>
      <c r="F345" s="59">
        <f>SUM(F338:F344)</f>
        <v>142.72889999999998</v>
      </c>
      <c r="G345" s="59">
        <f t="shared" ref="G345:O345" si="85">SUM(G338:G344)</f>
        <v>143.59922</v>
      </c>
      <c r="H345" s="59">
        <f t="shared" si="85"/>
        <v>144.51305600000001</v>
      </c>
      <c r="I345" s="59">
        <f t="shared" si="85"/>
        <v>145.47258380000002</v>
      </c>
      <c r="J345" s="59">
        <f t="shared" si="85"/>
        <v>129.14008799000001</v>
      </c>
      <c r="K345" s="59">
        <f t="shared" si="85"/>
        <v>129.7405</v>
      </c>
      <c r="L345" s="59">
        <f t="shared" si="85"/>
        <v>129.7405</v>
      </c>
      <c r="M345" s="59">
        <f t="shared" si="85"/>
        <v>129.7405</v>
      </c>
      <c r="N345" s="59">
        <f t="shared" si="85"/>
        <v>129.7405</v>
      </c>
      <c r="O345" s="59">
        <f t="shared" si="85"/>
        <v>129.7405</v>
      </c>
      <c r="P345" s="3"/>
      <c r="Q345" s="3"/>
      <c r="R345" s="3"/>
      <c r="S345" s="3"/>
      <c r="T345" s="3"/>
      <c r="U345" s="3"/>
      <c r="V345" s="3"/>
      <c r="W345" s="3"/>
      <c r="X345" s="3"/>
      <c r="Y345" s="3"/>
      <c r="Z345" s="3"/>
    </row>
    <row r="346" spans="1:26" ht="12.75" x14ac:dyDescent="0.2">
      <c r="A346" s="3"/>
      <c r="B346" s="33"/>
      <c r="C346" s="33"/>
      <c r="D346" s="33"/>
      <c r="E346" s="33"/>
      <c r="F346" s="33"/>
      <c r="G346" s="33"/>
      <c r="H346" s="33"/>
      <c r="I346" s="33"/>
      <c r="J346" s="33"/>
      <c r="K346" s="33"/>
      <c r="L346" s="33"/>
      <c r="M346" s="33"/>
      <c r="N346" s="33"/>
      <c r="O346" s="33"/>
      <c r="P346" s="3"/>
      <c r="Q346" s="3"/>
      <c r="R346" s="3"/>
      <c r="S346" s="3"/>
      <c r="T346" s="3"/>
      <c r="U346" s="3"/>
      <c r="V346" s="3"/>
      <c r="W346" s="3"/>
      <c r="X346" s="3"/>
      <c r="Y346" s="3"/>
      <c r="Z346" s="3"/>
    </row>
    <row r="347" spans="1:26" ht="12.75" x14ac:dyDescent="0.2">
      <c r="A347" s="3"/>
      <c r="B347" s="33"/>
      <c r="C347" s="34" t="s">
        <v>215</v>
      </c>
      <c r="D347" s="33"/>
      <c r="E347" s="33"/>
      <c r="F347" s="41"/>
      <c r="G347" s="41"/>
      <c r="H347" s="41"/>
      <c r="I347" s="41"/>
      <c r="J347" s="41"/>
      <c r="K347" s="41"/>
      <c r="L347" s="41"/>
      <c r="M347" s="41"/>
      <c r="N347" s="41"/>
      <c r="O347" s="41"/>
      <c r="P347" s="3"/>
      <c r="Q347" s="3"/>
      <c r="R347" s="3"/>
      <c r="S347" s="3"/>
      <c r="T347" s="3"/>
      <c r="U347" s="3"/>
      <c r="V347" s="3"/>
      <c r="W347" s="3"/>
      <c r="X347" s="3"/>
      <c r="Y347" s="3"/>
      <c r="Z347" s="3"/>
    </row>
    <row r="348" spans="1:26" ht="12.75" x14ac:dyDescent="0.2">
      <c r="A348" s="3"/>
      <c r="B348" s="33"/>
      <c r="C348" s="9" t="s">
        <v>110</v>
      </c>
      <c r="D348" s="33"/>
      <c r="E348" s="33"/>
      <c r="F348" s="39">
        <f t="shared" ref="F348:O348" si="86">F210/F$115</f>
        <v>2.6819999999999999</v>
      </c>
      <c r="G348" s="39">
        <f t="shared" si="86"/>
        <v>2.6819999999999995</v>
      </c>
      <c r="H348" s="39">
        <f t="shared" si="86"/>
        <v>2.6819999999999999</v>
      </c>
      <c r="I348" s="39">
        <f t="shared" si="86"/>
        <v>2.6819999999999999</v>
      </c>
      <c r="J348" s="39">
        <f t="shared" si="86"/>
        <v>2.6819999999999999</v>
      </c>
      <c r="K348" s="39">
        <f t="shared" si="86"/>
        <v>2.6820000000000004</v>
      </c>
      <c r="L348" s="39">
        <f t="shared" si="86"/>
        <v>2.6819999999999999</v>
      </c>
      <c r="M348" s="39">
        <f t="shared" si="86"/>
        <v>2.6819999999999999</v>
      </c>
      <c r="N348" s="39">
        <f t="shared" si="86"/>
        <v>2.6819999999999999</v>
      </c>
      <c r="O348" s="39">
        <f t="shared" si="86"/>
        <v>2.6819999999999995</v>
      </c>
      <c r="P348" s="3"/>
      <c r="Q348" s="3"/>
      <c r="R348" s="3"/>
      <c r="S348" s="3"/>
      <c r="T348" s="3"/>
      <c r="U348" s="3"/>
      <c r="V348" s="3"/>
      <c r="W348" s="3"/>
      <c r="X348" s="3"/>
      <c r="Y348" s="3"/>
      <c r="Z348" s="3"/>
    </row>
    <row r="349" spans="1:26" ht="12.75" x14ac:dyDescent="0.2">
      <c r="A349" s="3"/>
      <c r="B349" s="33"/>
      <c r="C349" s="27" t="s">
        <v>283</v>
      </c>
      <c r="D349" s="33"/>
      <c r="E349" s="33"/>
      <c r="F349" s="39">
        <f t="shared" ref="F349:O349" si="87">F211/F$115</f>
        <v>2.4788235294117649</v>
      </c>
      <c r="G349" s="39">
        <f t="shared" si="87"/>
        <v>2.4788235294117649</v>
      </c>
      <c r="H349" s="39">
        <f t="shared" si="87"/>
        <v>2.4788235294117649</v>
      </c>
      <c r="I349" s="39">
        <f t="shared" si="87"/>
        <v>2.4788235294117649</v>
      </c>
      <c r="J349" s="39">
        <f t="shared" si="87"/>
        <v>2.4788235294117649</v>
      </c>
      <c r="K349" s="39">
        <f t="shared" si="87"/>
        <v>2.4788235294117649</v>
      </c>
      <c r="L349" s="39">
        <f t="shared" si="87"/>
        <v>2.4788235294117649</v>
      </c>
      <c r="M349" s="39">
        <f t="shared" si="87"/>
        <v>2.4788235294117649</v>
      </c>
      <c r="N349" s="39">
        <f t="shared" si="87"/>
        <v>2.4788235294117649</v>
      </c>
      <c r="O349" s="39">
        <f t="shared" si="87"/>
        <v>2.4788235294117649</v>
      </c>
      <c r="P349" s="3"/>
      <c r="Q349" s="3"/>
      <c r="R349" s="3"/>
      <c r="S349" s="3"/>
      <c r="T349" s="3"/>
      <c r="U349" s="3"/>
      <c r="V349" s="3"/>
      <c r="W349" s="3"/>
      <c r="X349" s="3"/>
      <c r="Y349" s="3"/>
      <c r="Z349" s="3"/>
    </row>
    <row r="350" spans="1:26" ht="12.75" x14ac:dyDescent="0.2">
      <c r="A350" s="3"/>
      <c r="B350" s="33"/>
      <c r="C350" s="31" t="s">
        <v>216</v>
      </c>
      <c r="D350" s="36"/>
      <c r="E350" s="36"/>
      <c r="F350" s="40">
        <f t="shared" ref="F350:O350" si="88">SUM(F348:F349)</f>
        <v>5.1608235294117648</v>
      </c>
      <c r="G350" s="40">
        <f t="shared" si="88"/>
        <v>5.1608235294117648</v>
      </c>
      <c r="H350" s="40">
        <f t="shared" si="88"/>
        <v>5.1608235294117648</v>
      </c>
      <c r="I350" s="40">
        <f t="shared" si="88"/>
        <v>5.1608235294117648</v>
      </c>
      <c r="J350" s="40">
        <f t="shared" si="88"/>
        <v>5.1608235294117648</v>
      </c>
      <c r="K350" s="40">
        <f t="shared" si="88"/>
        <v>5.1608235294117648</v>
      </c>
      <c r="L350" s="40">
        <f t="shared" si="88"/>
        <v>5.1608235294117648</v>
      </c>
      <c r="M350" s="40">
        <f t="shared" si="88"/>
        <v>5.1608235294117648</v>
      </c>
      <c r="N350" s="40">
        <f t="shared" si="88"/>
        <v>5.1608235294117648</v>
      </c>
      <c r="O350" s="40">
        <f t="shared" si="88"/>
        <v>5.1608235294117648</v>
      </c>
      <c r="P350" s="3"/>
      <c r="Q350" s="3"/>
      <c r="R350" s="3"/>
      <c r="S350" s="3"/>
      <c r="T350" s="3"/>
      <c r="U350" s="3"/>
      <c r="V350" s="3"/>
      <c r="W350" s="3"/>
      <c r="X350" s="3"/>
      <c r="Y350" s="3"/>
      <c r="Z350" s="3"/>
    </row>
    <row r="351" spans="1:26" ht="12.75" x14ac:dyDescent="0.2">
      <c r="A351" s="3"/>
      <c r="B351" s="33"/>
      <c r="C351" s="35"/>
      <c r="D351" s="33"/>
      <c r="E351" s="33"/>
      <c r="F351" s="41"/>
      <c r="G351" s="41"/>
      <c r="H351" s="41"/>
      <c r="I351" s="41"/>
      <c r="J351" s="41"/>
      <c r="K351" s="41"/>
      <c r="L351" s="41"/>
      <c r="M351" s="41"/>
      <c r="N351" s="41"/>
      <c r="O351" s="41"/>
      <c r="P351" s="3"/>
      <c r="Q351" s="3"/>
      <c r="R351" s="3"/>
      <c r="S351" s="3"/>
      <c r="T351" s="3"/>
      <c r="U351" s="3"/>
      <c r="V351" s="3"/>
      <c r="W351" s="3"/>
      <c r="X351" s="3"/>
      <c r="Y351" s="3"/>
      <c r="Z351" s="3"/>
    </row>
    <row r="352" spans="1:26" ht="12.75" x14ac:dyDescent="0.2">
      <c r="A352" s="3"/>
      <c r="B352" s="33"/>
      <c r="C352" s="34" t="s">
        <v>219</v>
      </c>
      <c r="D352" s="33"/>
      <c r="E352" s="33"/>
      <c r="F352" s="41"/>
      <c r="G352" s="41"/>
      <c r="H352" s="41"/>
      <c r="I352" s="41"/>
      <c r="J352" s="41"/>
      <c r="K352" s="41"/>
      <c r="L352" s="41"/>
      <c r="M352" s="41"/>
      <c r="N352" s="41"/>
      <c r="O352" s="41"/>
      <c r="P352" s="3"/>
      <c r="Q352" s="3"/>
      <c r="R352" s="3"/>
      <c r="S352" s="3"/>
      <c r="T352" s="3"/>
      <c r="U352" s="3"/>
      <c r="V352" s="3"/>
      <c r="W352" s="3"/>
      <c r="X352" s="3"/>
      <c r="Y352" s="3"/>
      <c r="Z352" s="3"/>
    </row>
    <row r="353" spans="1:26" ht="12.75" x14ac:dyDescent="0.2">
      <c r="A353" s="3"/>
      <c r="B353" s="33"/>
      <c r="C353" s="9" t="s">
        <v>92</v>
      </c>
      <c r="D353" s="33"/>
      <c r="E353" s="33"/>
      <c r="F353" s="39">
        <f t="shared" ref="F353:O353" si="89">F215/F$115</f>
        <v>0</v>
      </c>
      <c r="G353" s="39">
        <f t="shared" si="89"/>
        <v>0</v>
      </c>
      <c r="H353" s="39">
        <f t="shared" si="89"/>
        <v>0</v>
      </c>
      <c r="I353" s="39">
        <f t="shared" si="89"/>
        <v>0</v>
      </c>
      <c r="J353" s="39">
        <f t="shared" si="89"/>
        <v>0</v>
      </c>
      <c r="K353" s="39">
        <f t="shared" si="89"/>
        <v>0</v>
      </c>
      <c r="L353" s="39">
        <f t="shared" si="89"/>
        <v>0</v>
      </c>
      <c r="M353" s="39">
        <f t="shared" si="89"/>
        <v>0</v>
      </c>
      <c r="N353" s="39">
        <f t="shared" si="89"/>
        <v>0</v>
      </c>
      <c r="O353" s="39">
        <f t="shared" si="89"/>
        <v>0</v>
      </c>
      <c r="P353" s="3"/>
      <c r="Q353" s="3"/>
      <c r="R353" s="3"/>
      <c r="S353" s="3"/>
      <c r="T353" s="3"/>
      <c r="U353" s="3"/>
      <c r="V353" s="3"/>
      <c r="W353" s="3"/>
      <c r="X353" s="3"/>
      <c r="Y353" s="3"/>
      <c r="Z353" s="3"/>
    </row>
    <row r="354" spans="1:26" ht="12.75" x14ac:dyDescent="0.2">
      <c r="A354" s="3"/>
      <c r="B354" s="33"/>
      <c r="C354" s="9" t="s">
        <v>96</v>
      </c>
      <c r="D354" s="33"/>
      <c r="E354" s="33"/>
      <c r="F354" s="39">
        <f t="shared" ref="F354:O354" si="90">F216/F$115</f>
        <v>11.25</v>
      </c>
      <c r="G354" s="39">
        <f t="shared" si="90"/>
        <v>11.25</v>
      </c>
      <c r="H354" s="39">
        <f t="shared" si="90"/>
        <v>11.25</v>
      </c>
      <c r="I354" s="39">
        <f t="shared" si="90"/>
        <v>11.25</v>
      </c>
      <c r="J354" s="39">
        <f t="shared" si="90"/>
        <v>11.25</v>
      </c>
      <c r="K354" s="39">
        <f t="shared" si="90"/>
        <v>11.25</v>
      </c>
      <c r="L354" s="39">
        <f t="shared" si="90"/>
        <v>11.25</v>
      </c>
      <c r="M354" s="39">
        <f t="shared" si="90"/>
        <v>11.25</v>
      </c>
      <c r="N354" s="39">
        <f t="shared" si="90"/>
        <v>11.25</v>
      </c>
      <c r="O354" s="39">
        <f t="shared" si="90"/>
        <v>11.25</v>
      </c>
      <c r="P354" s="3"/>
      <c r="Q354" s="3"/>
      <c r="R354" s="3"/>
      <c r="S354" s="3"/>
      <c r="T354" s="3"/>
      <c r="U354" s="3"/>
      <c r="V354" s="3"/>
      <c r="W354" s="3"/>
      <c r="X354" s="3"/>
      <c r="Y354" s="3"/>
      <c r="Z354" s="3"/>
    </row>
    <row r="355" spans="1:26" ht="12.75" x14ac:dyDescent="0.2">
      <c r="A355" s="3"/>
      <c r="B355" s="33"/>
      <c r="C355" s="9" t="s">
        <v>99</v>
      </c>
      <c r="D355" s="33"/>
      <c r="E355" s="33"/>
      <c r="F355" s="39">
        <f t="shared" ref="F355:O355" si="91">F217/F$115</f>
        <v>9.5154159999999983</v>
      </c>
      <c r="G355" s="39">
        <f t="shared" si="91"/>
        <v>9.5154159999999983</v>
      </c>
      <c r="H355" s="39">
        <f t="shared" si="91"/>
        <v>9.5154159999999983</v>
      </c>
      <c r="I355" s="39">
        <f t="shared" si="91"/>
        <v>9.5154159999999983</v>
      </c>
      <c r="J355" s="39">
        <f t="shared" si="91"/>
        <v>9.5154159999999983</v>
      </c>
      <c r="K355" s="39">
        <f t="shared" si="91"/>
        <v>9.5154160000000001</v>
      </c>
      <c r="L355" s="39">
        <f t="shared" si="91"/>
        <v>9.5154159999999983</v>
      </c>
      <c r="M355" s="39">
        <f t="shared" si="91"/>
        <v>9.5154160000000001</v>
      </c>
      <c r="N355" s="39">
        <f t="shared" si="91"/>
        <v>9.5154159999999983</v>
      </c>
      <c r="O355" s="39">
        <f t="shared" si="91"/>
        <v>9.5154160000000001</v>
      </c>
      <c r="P355" s="3"/>
      <c r="Q355" s="3"/>
      <c r="R355" s="3"/>
      <c r="S355" s="3"/>
      <c r="T355" s="3"/>
      <c r="U355" s="3"/>
      <c r="V355" s="3"/>
      <c r="W355" s="3"/>
      <c r="X355" s="3"/>
      <c r="Y355" s="3"/>
      <c r="Z355" s="3"/>
    </row>
    <row r="356" spans="1:26" ht="12.75" x14ac:dyDescent="0.2">
      <c r="A356" s="3"/>
      <c r="B356" s="33"/>
      <c r="C356" s="9" t="s">
        <v>102</v>
      </c>
      <c r="D356" s="33"/>
      <c r="E356" s="33"/>
      <c r="F356" s="39">
        <f t="shared" ref="F356:O356" si="92">F218/F$115</f>
        <v>19.188371999999998</v>
      </c>
      <c r="G356" s="39">
        <f t="shared" si="92"/>
        <v>19.188371999999994</v>
      </c>
      <c r="H356" s="39">
        <f t="shared" si="92"/>
        <v>19.188371999999994</v>
      </c>
      <c r="I356" s="39">
        <f t="shared" si="92"/>
        <v>19.188371999999998</v>
      </c>
      <c r="J356" s="39">
        <f t="shared" si="92"/>
        <v>19.188371999999998</v>
      </c>
      <c r="K356" s="39">
        <f t="shared" si="92"/>
        <v>19.188371999999998</v>
      </c>
      <c r="L356" s="39">
        <f t="shared" si="92"/>
        <v>19.188371999999998</v>
      </c>
      <c r="M356" s="39">
        <f t="shared" si="92"/>
        <v>19.188371999999998</v>
      </c>
      <c r="N356" s="39">
        <f t="shared" si="92"/>
        <v>19.188371999999998</v>
      </c>
      <c r="O356" s="39">
        <f t="shared" si="92"/>
        <v>19.188371999999998</v>
      </c>
      <c r="P356" s="3"/>
      <c r="Q356" s="3"/>
      <c r="R356" s="3"/>
      <c r="S356" s="3"/>
      <c r="T356" s="3"/>
      <c r="U356" s="3"/>
      <c r="V356" s="3"/>
      <c r="W356" s="3"/>
      <c r="X356" s="3"/>
      <c r="Y356" s="3"/>
      <c r="Z356" s="3"/>
    </row>
    <row r="357" spans="1:26" ht="12.75" x14ac:dyDescent="0.2">
      <c r="A357" s="3"/>
      <c r="B357" s="33"/>
      <c r="C357" s="9" t="s">
        <v>105</v>
      </c>
      <c r="D357" s="33"/>
      <c r="E357" s="33"/>
      <c r="F357" s="39">
        <f t="shared" ref="F357:O357" si="93">F219/F$115</f>
        <v>4.879999999999999</v>
      </c>
      <c r="G357" s="39">
        <f t="shared" si="93"/>
        <v>4.88</v>
      </c>
      <c r="H357" s="39">
        <f t="shared" si="93"/>
        <v>4.879999999999999</v>
      </c>
      <c r="I357" s="39">
        <f t="shared" si="93"/>
        <v>4.88</v>
      </c>
      <c r="J357" s="39">
        <f t="shared" si="93"/>
        <v>4.879999999999999</v>
      </c>
      <c r="K357" s="39">
        <f t="shared" si="93"/>
        <v>4.879999999999999</v>
      </c>
      <c r="L357" s="39">
        <f t="shared" si="93"/>
        <v>4.879999999999999</v>
      </c>
      <c r="M357" s="39">
        <f t="shared" si="93"/>
        <v>4.88</v>
      </c>
      <c r="N357" s="39">
        <f t="shared" si="93"/>
        <v>4.879999999999999</v>
      </c>
      <c r="O357" s="39">
        <f t="shared" si="93"/>
        <v>4.88</v>
      </c>
      <c r="P357" s="3"/>
      <c r="Q357" s="3"/>
      <c r="R357" s="3"/>
      <c r="S357" s="3"/>
      <c r="T357" s="3"/>
      <c r="U357" s="3"/>
      <c r="V357" s="3"/>
      <c r="W357" s="3"/>
      <c r="X357" s="3"/>
      <c r="Y357" s="3"/>
      <c r="Z357" s="3"/>
    </row>
    <row r="358" spans="1:26" ht="12.75" x14ac:dyDescent="0.2">
      <c r="A358" s="3"/>
      <c r="B358" s="33"/>
      <c r="C358" s="9" t="s">
        <v>108</v>
      </c>
      <c r="D358" s="33"/>
      <c r="E358" s="33"/>
      <c r="F358" s="39">
        <f t="shared" ref="F358:O358" si="94">F220/F$115</f>
        <v>6.7</v>
      </c>
      <c r="G358" s="39">
        <f t="shared" si="94"/>
        <v>7.3</v>
      </c>
      <c r="H358" s="39">
        <f t="shared" si="94"/>
        <v>7.9</v>
      </c>
      <c r="I358" s="39">
        <f t="shared" si="94"/>
        <v>8.6</v>
      </c>
      <c r="J358" s="39">
        <f t="shared" si="94"/>
        <v>9</v>
      </c>
      <c r="K358" s="39">
        <f t="shared" si="94"/>
        <v>9.3000000000000007</v>
      </c>
      <c r="L358" s="39">
        <f t="shared" si="94"/>
        <v>9.3000000000000007</v>
      </c>
      <c r="M358" s="39">
        <f t="shared" si="94"/>
        <v>9.3000000000000007</v>
      </c>
      <c r="N358" s="39">
        <f t="shared" si="94"/>
        <v>9.3000000000000007</v>
      </c>
      <c r="O358" s="39">
        <f t="shared" si="94"/>
        <v>9.3000000000000007</v>
      </c>
      <c r="P358" s="3"/>
      <c r="Q358" s="3"/>
      <c r="R358" s="3"/>
      <c r="S358" s="3"/>
      <c r="T358" s="3"/>
      <c r="U358" s="3"/>
      <c r="V358" s="3"/>
      <c r="W358" s="3"/>
      <c r="X358" s="3"/>
      <c r="Y358" s="3"/>
      <c r="Z358" s="3"/>
    </row>
    <row r="359" spans="1:26" ht="12.75" x14ac:dyDescent="0.2">
      <c r="A359" s="3"/>
      <c r="B359" s="43"/>
      <c r="C359" s="68" t="s">
        <v>217</v>
      </c>
      <c r="D359" s="68"/>
      <c r="E359" s="68"/>
      <c r="F359" s="69">
        <f t="shared" ref="F359:O359" si="95">SUM(F353:F358)</f>
        <v>51.533788000000001</v>
      </c>
      <c r="G359" s="69">
        <f t="shared" si="95"/>
        <v>52.133787999999988</v>
      </c>
      <c r="H359" s="69">
        <f t="shared" si="95"/>
        <v>52.733787999999983</v>
      </c>
      <c r="I359" s="69">
        <f t="shared" si="95"/>
        <v>53.433788</v>
      </c>
      <c r="J359" s="69">
        <f t="shared" si="95"/>
        <v>53.833787999999998</v>
      </c>
      <c r="K359" s="69">
        <f t="shared" si="95"/>
        <v>54.133787999999996</v>
      </c>
      <c r="L359" s="69">
        <f t="shared" si="95"/>
        <v>54.133787999999996</v>
      </c>
      <c r="M359" s="69">
        <f t="shared" si="95"/>
        <v>54.13378800000001</v>
      </c>
      <c r="N359" s="69">
        <f t="shared" si="95"/>
        <v>54.133787999999996</v>
      </c>
      <c r="O359" s="69">
        <f t="shared" si="95"/>
        <v>54.13378800000001</v>
      </c>
      <c r="P359" s="3"/>
      <c r="Q359" s="3"/>
      <c r="R359" s="3"/>
      <c r="S359" s="3"/>
      <c r="T359" s="3"/>
      <c r="U359" s="3"/>
      <c r="V359" s="3"/>
      <c r="W359" s="3"/>
      <c r="X359" s="3"/>
      <c r="Y359" s="3"/>
      <c r="Z359" s="3"/>
    </row>
    <row r="360" spans="1:26" ht="12.75" x14ac:dyDescent="0.2">
      <c r="A360" s="3"/>
      <c r="B360" s="43"/>
      <c r="C360" s="74"/>
      <c r="D360" s="74"/>
      <c r="E360" s="74"/>
      <c r="F360" s="75"/>
      <c r="G360" s="75"/>
      <c r="H360" s="75"/>
      <c r="I360" s="75"/>
      <c r="J360" s="75"/>
      <c r="K360" s="75"/>
      <c r="L360" s="75"/>
      <c r="M360" s="75"/>
      <c r="N360" s="75"/>
      <c r="O360" s="75"/>
      <c r="P360" s="3"/>
      <c r="Q360" s="3"/>
      <c r="R360" s="3"/>
      <c r="S360" s="3"/>
      <c r="T360" s="3"/>
      <c r="U360" s="3"/>
      <c r="V360" s="3"/>
      <c r="W360" s="3"/>
      <c r="X360" s="3"/>
      <c r="Y360" s="3"/>
      <c r="Z360" s="3"/>
    </row>
    <row r="361" spans="1:26" ht="12.75" x14ac:dyDescent="0.2">
      <c r="A361" s="3"/>
      <c r="B361" s="43"/>
      <c r="C361" s="34" t="s">
        <v>287</v>
      </c>
      <c r="D361" s="74"/>
      <c r="E361" s="74"/>
      <c r="F361" s="75"/>
      <c r="G361" s="75"/>
      <c r="H361" s="75"/>
      <c r="I361" s="75"/>
      <c r="J361" s="75"/>
      <c r="K361" s="75"/>
      <c r="L361" s="75"/>
      <c r="M361" s="75"/>
      <c r="N361" s="75"/>
      <c r="O361" s="75"/>
      <c r="P361" s="3"/>
      <c r="Q361" s="3"/>
      <c r="R361" s="3"/>
      <c r="S361" s="3"/>
      <c r="T361" s="3"/>
      <c r="U361" s="3"/>
      <c r="V361" s="3"/>
      <c r="W361" s="3"/>
      <c r="X361" s="3"/>
      <c r="Y361" s="3"/>
      <c r="Z361" s="3"/>
    </row>
    <row r="362" spans="1:26" ht="12.75" x14ac:dyDescent="0.2">
      <c r="A362" s="3"/>
      <c r="B362" s="33"/>
      <c r="C362" s="27" t="s">
        <v>282</v>
      </c>
      <c r="D362" s="33"/>
      <c r="E362" s="33"/>
      <c r="F362" s="39">
        <f t="shared" ref="F362:O362" si="96">F224/F$115</f>
        <v>6.6439999999999997E-3</v>
      </c>
      <c r="G362" s="39">
        <f t="shared" si="96"/>
        <v>7.2264E-3</v>
      </c>
      <c r="H362" s="39">
        <f t="shared" si="96"/>
        <v>7.8496799999999995E-3</v>
      </c>
      <c r="I362" s="39">
        <f t="shared" si="96"/>
        <v>8.5164720000000006E-3</v>
      </c>
      <c r="J362" s="39">
        <f t="shared" si="96"/>
        <v>8.9572956000000016E-3</v>
      </c>
      <c r="K362" s="39">
        <f t="shared" si="96"/>
        <v>9.2199999999999973E-3</v>
      </c>
      <c r="L362" s="39">
        <f t="shared" si="96"/>
        <v>9.219999999999999E-3</v>
      </c>
      <c r="M362" s="39">
        <f t="shared" si="96"/>
        <v>9.219999999999999E-3</v>
      </c>
      <c r="N362" s="39">
        <f t="shared" si="96"/>
        <v>9.219999999999999E-3</v>
      </c>
      <c r="O362" s="39">
        <f t="shared" si="96"/>
        <v>9.219999999999999E-3</v>
      </c>
      <c r="P362" s="3"/>
      <c r="Q362" s="3"/>
      <c r="R362" s="3"/>
      <c r="S362" s="3"/>
      <c r="T362" s="3"/>
      <c r="U362" s="3"/>
      <c r="V362" s="3"/>
      <c r="W362" s="3"/>
      <c r="X362" s="3"/>
      <c r="Y362" s="3"/>
      <c r="Z362" s="3"/>
    </row>
    <row r="363" spans="1:26" ht="12.75" x14ac:dyDescent="0.2">
      <c r="A363" s="3"/>
      <c r="B363" s="33"/>
      <c r="C363" s="27" t="s">
        <v>284</v>
      </c>
      <c r="D363" s="33"/>
      <c r="E363" s="33"/>
      <c r="F363" s="39">
        <f t="shared" ref="F363:O363" si="97">F225/F$115</f>
        <v>1.3304671631960279</v>
      </c>
      <c r="G363" s="39">
        <f t="shared" si="97"/>
        <v>1.4420547317221464</v>
      </c>
      <c r="H363" s="39">
        <f t="shared" si="97"/>
        <v>1.5614748891928867</v>
      </c>
      <c r="I363" s="39">
        <f t="shared" si="97"/>
        <v>1.6892319255813957</v>
      </c>
      <c r="J363" s="39">
        <f t="shared" si="97"/>
        <v>1.7736935218604652</v>
      </c>
      <c r="K363" s="39">
        <f t="shared" si="97"/>
        <v>1.8240275624461673</v>
      </c>
      <c r="L363" s="39">
        <f t="shared" si="97"/>
        <v>1.8240275624461673</v>
      </c>
      <c r="M363" s="39">
        <f t="shared" si="97"/>
        <v>1.8240275624461673</v>
      </c>
      <c r="N363" s="39">
        <f t="shared" si="97"/>
        <v>1.8240275624461673</v>
      </c>
      <c r="O363" s="39">
        <f t="shared" si="97"/>
        <v>1.8240275624461675</v>
      </c>
      <c r="P363" s="3"/>
      <c r="Q363" s="3"/>
      <c r="R363" s="3"/>
      <c r="S363" s="3"/>
      <c r="T363" s="3"/>
      <c r="U363" s="3"/>
      <c r="V363" s="3"/>
      <c r="W363" s="3"/>
      <c r="X363" s="3"/>
      <c r="Y363" s="3"/>
      <c r="Z363" s="3"/>
    </row>
    <row r="364" spans="1:26" ht="12.75" x14ac:dyDescent="0.2">
      <c r="A364" s="3"/>
      <c r="B364" s="43"/>
      <c r="C364" s="68" t="s">
        <v>289</v>
      </c>
      <c r="D364" s="36"/>
      <c r="E364" s="36"/>
      <c r="F364" s="40">
        <f>SUM(F362:F363)</f>
        <v>1.337111163196028</v>
      </c>
      <c r="G364" s="40">
        <f t="shared" ref="G364:O364" si="98">SUM(G362:G363)</f>
        <v>1.4492811317221463</v>
      </c>
      <c r="H364" s="40">
        <f t="shared" si="98"/>
        <v>1.5693245691928868</v>
      </c>
      <c r="I364" s="40">
        <f t="shared" si="98"/>
        <v>1.6977483975813956</v>
      </c>
      <c r="J364" s="40">
        <f t="shared" si="98"/>
        <v>1.7826508174604652</v>
      </c>
      <c r="K364" s="40">
        <f t="shared" si="98"/>
        <v>1.8332475624461673</v>
      </c>
      <c r="L364" s="40">
        <f t="shared" si="98"/>
        <v>1.8332475624461673</v>
      </c>
      <c r="M364" s="40">
        <f t="shared" si="98"/>
        <v>1.8332475624461673</v>
      </c>
      <c r="N364" s="40">
        <f t="shared" si="98"/>
        <v>1.8332475624461673</v>
      </c>
      <c r="O364" s="40">
        <f t="shared" si="98"/>
        <v>1.8332475624461675</v>
      </c>
      <c r="P364" s="3"/>
      <c r="Q364" s="3"/>
      <c r="R364" s="3"/>
      <c r="S364" s="3"/>
      <c r="T364" s="3"/>
      <c r="U364" s="3"/>
      <c r="V364" s="3"/>
      <c r="W364" s="3"/>
      <c r="X364" s="3"/>
      <c r="Y364" s="3"/>
      <c r="Z364" s="3"/>
    </row>
    <row r="365" spans="1:26" ht="12.75" x14ac:dyDescent="0.2">
      <c r="A365" s="3"/>
      <c r="B365" s="43"/>
      <c r="C365" s="43"/>
      <c r="D365" s="43"/>
      <c r="E365" s="43"/>
      <c r="F365" s="101"/>
      <c r="G365" s="43"/>
      <c r="H365" s="43"/>
      <c r="I365" s="43"/>
      <c r="J365" s="43"/>
      <c r="K365" s="43"/>
      <c r="L365" s="43"/>
      <c r="M365" s="43"/>
      <c r="N365" s="43"/>
      <c r="O365" s="43"/>
      <c r="P365" s="3"/>
      <c r="Q365" s="3"/>
      <c r="R365" s="3"/>
      <c r="S365" s="3"/>
      <c r="T365" s="3"/>
      <c r="U365" s="3"/>
      <c r="V365" s="3"/>
      <c r="W365" s="3"/>
      <c r="X365" s="3"/>
      <c r="Y365" s="3"/>
      <c r="Z365" s="3"/>
    </row>
    <row r="366" spans="1:26" ht="12.75" x14ac:dyDescent="0.2">
      <c r="A366" s="3"/>
      <c r="B366" s="43"/>
      <c r="C366" s="70" t="s">
        <v>236</v>
      </c>
      <c r="D366" s="70"/>
      <c r="E366" s="70"/>
      <c r="F366" s="71">
        <f t="shared" ref="F366:O366" si="99">F335+F345+F350+F359+F364</f>
        <v>343.76052610596179</v>
      </c>
      <c r="G366" s="71">
        <f t="shared" si="99"/>
        <v>345.34301607448793</v>
      </c>
      <c r="H366" s="71">
        <f t="shared" si="99"/>
        <v>346.97689551195862</v>
      </c>
      <c r="I366" s="71">
        <f t="shared" si="99"/>
        <v>348.76484714034717</v>
      </c>
      <c r="J366" s="71">
        <f t="shared" si="99"/>
        <v>332.91725375022628</v>
      </c>
      <c r="K366" s="71">
        <f t="shared" si="99"/>
        <v>333.86826250521187</v>
      </c>
      <c r="L366" s="71">
        <f t="shared" si="99"/>
        <v>333.86826250521187</v>
      </c>
      <c r="M366" s="71">
        <f t="shared" si="99"/>
        <v>333.86826250521193</v>
      </c>
      <c r="N366" s="71">
        <f t="shared" si="99"/>
        <v>333.86826250521187</v>
      </c>
      <c r="O366" s="71">
        <f t="shared" si="99"/>
        <v>333.86826250521193</v>
      </c>
      <c r="P366" s="3"/>
      <c r="Q366" s="3"/>
      <c r="R366" s="3"/>
      <c r="S366" s="3"/>
      <c r="T366" s="3"/>
      <c r="U366" s="3"/>
      <c r="V366" s="3"/>
      <c r="W366" s="3"/>
      <c r="X366" s="3"/>
      <c r="Y366" s="3"/>
      <c r="Z366" s="3"/>
    </row>
    <row r="367" spans="1:26" ht="12.75" x14ac:dyDescent="0.2">
      <c r="A367" s="3"/>
      <c r="B367" s="43"/>
      <c r="C367" s="43"/>
      <c r="D367" s="43"/>
      <c r="E367" s="43"/>
      <c r="F367" s="43"/>
      <c r="G367" s="43"/>
      <c r="H367" s="43"/>
      <c r="I367" s="43"/>
      <c r="J367" s="43"/>
      <c r="K367" s="43"/>
      <c r="L367" s="43"/>
      <c r="M367" s="43"/>
      <c r="N367" s="43"/>
      <c r="O367" s="43"/>
      <c r="P367" s="3"/>
      <c r="Q367" s="3"/>
      <c r="R367" s="3"/>
      <c r="S367" s="3"/>
      <c r="T367" s="3"/>
      <c r="U367" s="3"/>
      <c r="V367" s="3"/>
      <c r="W367" s="3"/>
      <c r="X367" s="3"/>
      <c r="Y367" s="3"/>
      <c r="Z367" s="3"/>
    </row>
    <row r="368" spans="1:26" ht="12.75" x14ac:dyDescent="0.2">
      <c r="A368" s="3"/>
      <c r="C368" s="72" t="s">
        <v>239</v>
      </c>
      <c r="D368" s="70"/>
      <c r="E368" s="70"/>
      <c r="F368" s="73">
        <f t="shared" ref="F368:O368" si="100">F330-F366</f>
        <v>2.8575538940381762</v>
      </c>
      <c r="G368" s="73">
        <f t="shared" si="100"/>
        <v>19.443031925512059</v>
      </c>
      <c r="H368" s="73">
        <f t="shared" si="100"/>
        <v>37.252372088041341</v>
      </c>
      <c r="I368" s="73">
        <f t="shared" si="100"/>
        <v>56.264996899652829</v>
      </c>
      <c r="J368" s="73">
        <f t="shared" si="100"/>
        <v>85.864082491773786</v>
      </c>
      <c r="K368" s="73">
        <f t="shared" si="100"/>
        <v>93.108137494788082</v>
      </c>
      <c r="L368" s="73">
        <f t="shared" si="100"/>
        <v>93.108137494788139</v>
      </c>
      <c r="M368" s="73">
        <f t="shared" si="100"/>
        <v>93.108137494788025</v>
      </c>
      <c r="N368" s="73">
        <f t="shared" si="100"/>
        <v>93.108137494788082</v>
      </c>
      <c r="O368" s="73">
        <f t="shared" si="100"/>
        <v>93.108137494788025</v>
      </c>
      <c r="P368" s="3"/>
      <c r="Q368" s="3"/>
      <c r="R368" s="3"/>
      <c r="S368" s="3"/>
      <c r="T368" s="3"/>
      <c r="U368" s="3"/>
      <c r="V368" s="3"/>
      <c r="W368" s="3"/>
      <c r="X368" s="3"/>
      <c r="Y368" s="3"/>
      <c r="Z368" s="3"/>
    </row>
    <row r="369" spans="1:26" ht="12.75"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x14ac:dyDescent="0.2">
      <c r="A370" s="29" t="s">
        <v>240</v>
      </c>
      <c r="B370" s="2"/>
      <c r="C370" s="2"/>
      <c r="D370" s="6" t="s">
        <v>174</v>
      </c>
      <c r="E370" s="21"/>
      <c r="F370" s="51">
        <v>0</v>
      </c>
      <c r="G370" s="51">
        <v>1</v>
      </c>
      <c r="H370" s="51">
        <v>2</v>
      </c>
      <c r="I370" s="51">
        <v>3</v>
      </c>
      <c r="J370" s="51">
        <v>4</v>
      </c>
      <c r="K370" s="51">
        <v>5</v>
      </c>
      <c r="L370" s="51">
        <v>6</v>
      </c>
      <c r="M370" s="51">
        <v>7</v>
      </c>
      <c r="N370" s="51">
        <v>8</v>
      </c>
      <c r="O370" s="51">
        <v>9</v>
      </c>
      <c r="P370" s="2"/>
      <c r="Q370" s="2"/>
      <c r="R370" s="2"/>
      <c r="S370" s="2"/>
      <c r="T370" s="2"/>
      <c r="U370" s="2"/>
      <c r="V370" s="2"/>
      <c r="W370" s="2"/>
      <c r="X370" s="2"/>
      <c r="Y370" s="2"/>
      <c r="Z370" s="2"/>
    </row>
    <row r="371" spans="1:26" ht="12.75" x14ac:dyDescent="0.2">
      <c r="A371" s="3"/>
      <c r="B371" s="65" t="s">
        <v>279</v>
      </c>
      <c r="C371" s="43"/>
      <c r="D371" s="43"/>
      <c r="E371" s="43"/>
      <c r="F371" s="43"/>
      <c r="G371" s="43"/>
      <c r="H371" s="43"/>
      <c r="I371" s="43"/>
      <c r="J371" s="43"/>
      <c r="K371" s="43"/>
      <c r="L371" s="43"/>
      <c r="M371" s="43"/>
      <c r="N371" s="43"/>
      <c r="O371" s="43"/>
      <c r="P371" s="3"/>
      <c r="Q371" s="3"/>
      <c r="R371" s="3"/>
      <c r="S371" s="3"/>
      <c r="T371" s="3"/>
      <c r="U371" s="3"/>
      <c r="V371" s="3"/>
      <c r="W371" s="3"/>
      <c r="X371" s="3"/>
      <c r="Y371" s="3"/>
      <c r="Z371" s="3"/>
    </row>
    <row r="372" spans="1:26" ht="12.75" x14ac:dyDescent="0.2">
      <c r="A372" s="3"/>
      <c r="B372" s="43"/>
      <c r="C372" s="46" t="s">
        <v>241</v>
      </c>
      <c r="D372" s="43"/>
      <c r="E372" s="43"/>
      <c r="F372" s="39">
        <f>F330-F$279</f>
        <v>220.70827499999996</v>
      </c>
      <c r="G372" s="39">
        <f>G330-G$279</f>
        <v>237.61714494999998</v>
      </c>
      <c r="H372" s="39">
        <f>H330-H$279</f>
        <v>255.78867551949992</v>
      </c>
      <c r="I372" s="39">
        <f>I330-I$279</f>
        <v>275.30484603869502</v>
      </c>
      <c r="J372" s="39">
        <f>J330-J$279</f>
        <v>287.75908826068201</v>
      </c>
      <c r="K372" s="39">
        <f>K330-K$279</f>
        <v>294.64392953886875</v>
      </c>
      <c r="L372" s="39">
        <f>L330-L$279</f>
        <v>293.32060483425744</v>
      </c>
      <c r="M372" s="39">
        <f>M330-M$279</f>
        <v>291.98404688260001</v>
      </c>
      <c r="N372" s="39">
        <f>N330-N$279</f>
        <v>290.63412335142596</v>
      </c>
      <c r="O372" s="39">
        <f>O330-O$279</f>
        <v>289.2707005849403</v>
      </c>
      <c r="P372" s="3"/>
      <c r="Q372" s="3"/>
      <c r="R372" s="3"/>
      <c r="S372" s="3"/>
      <c r="T372" s="3"/>
      <c r="U372" s="3"/>
      <c r="V372" s="3"/>
      <c r="W372" s="3"/>
      <c r="X372" s="3"/>
      <c r="Y372" s="3"/>
      <c r="Z372" s="3"/>
    </row>
    <row r="373" spans="1:26" ht="12.75" x14ac:dyDescent="0.2">
      <c r="A373" s="3"/>
      <c r="B373" s="43"/>
      <c r="C373" s="46" t="s">
        <v>242</v>
      </c>
      <c r="D373" s="43"/>
      <c r="E373" s="43"/>
      <c r="F373" s="39">
        <f>F366-F$315</f>
        <v>212.80823824060232</v>
      </c>
      <c r="G373" s="39">
        <f>G366-G$315</f>
        <v>214.38302615376898</v>
      </c>
      <c r="H373" s="39">
        <f>H366-H$315</f>
        <v>215.90912651532656</v>
      </c>
      <c r="I373" s="39">
        <f>I366-I$315</f>
        <v>217.68922127704295</v>
      </c>
      <c r="J373" s="39">
        <f>J366-J$315</f>
        <v>201.73369245158312</v>
      </c>
      <c r="K373" s="39">
        <f>K366-K$315</f>
        <v>202.67668641687641</v>
      </c>
      <c r="L373" s="39">
        <f>L366-L$315</f>
        <v>202.66859147928716</v>
      </c>
      <c r="M373" s="39">
        <f>M366-M$315</f>
        <v>202.5604155923221</v>
      </c>
      <c r="N373" s="39">
        <f>N366-N$315</f>
        <v>202.55215794648726</v>
      </c>
      <c r="O373" s="39">
        <f>O366-O$315</f>
        <v>202.44381772419419</v>
      </c>
      <c r="P373" s="3"/>
      <c r="Q373" s="3"/>
      <c r="R373" s="3"/>
      <c r="S373" s="3"/>
      <c r="T373" s="3"/>
      <c r="U373" s="3"/>
      <c r="V373" s="3"/>
      <c r="W373" s="3"/>
      <c r="X373" s="3"/>
      <c r="Y373" s="3"/>
      <c r="Z373" s="3"/>
    </row>
    <row r="374" spans="1:26" ht="12.75" x14ac:dyDescent="0.2">
      <c r="A374" s="3"/>
      <c r="B374" s="43"/>
      <c r="C374" s="46" t="s">
        <v>243</v>
      </c>
      <c r="D374" s="43"/>
      <c r="E374" s="43"/>
      <c r="F374" s="39">
        <f>F372-F373</f>
        <v>7.9000367593976364</v>
      </c>
      <c r="G374" s="39">
        <f t="shared" ref="G374:O374" si="101">G372-G373</f>
        <v>23.234118796231002</v>
      </c>
      <c r="H374" s="39">
        <f t="shared" si="101"/>
        <v>39.879549004173356</v>
      </c>
      <c r="I374" s="39">
        <f t="shared" si="101"/>
        <v>57.615624761652072</v>
      </c>
      <c r="J374" s="39">
        <f t="shared" si="101"/>
        <v>86.025395809098882</v>
      </c>
      <c r="K374" s="39">
        <f t="shared" si="101"/>
        <v>91.96724312199234</v>
      </c>
      <c r="L374" s="39">
        <f t="shared" si="101"/>
        <v>90.652013354970279</v>
      </c>
      <c r="M374" s="39">
        <f t="shared" si="101"/>
        <v>89.42363129027791</v>
      </c>
      <c r="N374" s="39">
        <f t="shared" si="101"/>
        <v>88.0819654049387</v>
      </c>
      <c r="O374" s="39">
        <f t="shared" si="101"/>
        <v>86.82688286074611</v>
      </c>
      <c r="P374" s="3"/>
      <c r="Q374" s="3"/>
      <c r="R374" s="3"/>
      <c r="S374" s="3"/>
      <c r="T374" s="3"/>
      <c r="U374" s="3"/>
      <c r="V374" s="3"/>
      <c r="W374" s="3"/>
      <c r="X374" s="3"/>
      <c r="Y374" s="3"/>
      <c r="Z374" s="3"/>
    </row>
    <row r="375" spans="1:26" ht="13.5" thickBot="1" x14ac:dyDescent="0.25">
      <c r="A375" s="3"/>
      <c r="B375" s="43"/>
      <c r="C375" s="43"/>
      <c r="D375" s="43"/>
      <c r="E375" s="43"/>
      <c r="F375" s="43"/>
      <c r="G375" s="3"/>
      <c r="H375" s="3"/>
      <c r="I375" s="3"/>
      <c r="J375" s="3"/>
      <c r="K375" s="3"/>
      <c r="L375" s="3"/>
      <c r="M375" s="3"/>
      <c r="N375" s="3"/>
      <c r="O375" s="3"/>
      <c r="P375" s="3"/>
      <c r="Q375" s="3"/>
      <c r="R375" s="3"/>
      <c r="S375" s="3"/>
      <c r="T375" s="3"/>
      <c r="U375" s="3"/>
      <c r="V375" s="3"/>
      <c r="W375" s="3"/>
      <c r="X375" s="3"/>
      <c r="Y375" s="3"/>
      <c r="Z375" s="3"/>
    </row>
    <row r="376" spans="1:26" ht="13.5" thickTop="1" x14ac:dyDescent="0.2">
      <c r="A376" s="3"/>
      <c r="B376" s="43"/>
      <c r="C376" s="86" t="s">
        <v>249</v>
      </c>
      <c r="D376" s="86"/>
      <c r="E376" s="86"/>
      <c r="F376" s="92">
        <f>NPV($F$19,G374:O374)+F374</f>
        <v>294.46424139469991</v>
      </c>
      <c r="G376" s="3"/>
      <c r="H376" s="3"/>
      <c r="I376" s="3"/>
      <c r="J376" s="3"/>
      <c r="K376" s="3"/>
      <c r="L376" s="3"/>
      <c r="M376" s="3"/>
      <c r="N376" s="3"/>
      <c r="O376" s="3"/>
      <c r="P376" s="3"/>
      <c r="Q376" s="3"/>
      <c r="R376" s="3"/>
      <c r="S376" s="3"/>
      <c r="T376" s="3"/>
      <c r="U376" s="3"/>
      <c r="V376" s="3"/>
      <c r="W376" s="3"/>
      <c r="X376" s="3"/>
      <c r="Y376" s="3"/>
      <c r="Z376" s="3"/>
    </row>
    <row r="377" spans="1:26" ht="13.5" thickBot="1" x14ac:dyDescent="0.25">
      <c r="A377" s="3"/>
      <c r="B377" s="43"/>
      <c r="C377" s="87" t="s">
        <v>390</v>
      </c>
      <c r="D377" s="87"/>
      <c r="E377" s="87"/>
      <c r="F377" s="240">
        <f>F376/$F$10*1000</f>
        <v>1869.1395289748632</v>
      </c>
      <c r="G377" s="3"/>
      <c r="H377" s="3"/>
      <c r="I377" s="3"/>
      <c r="J377" s="3"/>
      <c r="K377" s="3"/>
      <c r="L377" s="3"/>
      <c r="M377" s="3"/>
      <c r="N377" s="3"/>
      <c r="O377" s="3"/>
      <c r="P377" s="3"/>
      <c r="Q377" s="3"/>
      <c r="R377" s="3"/>
      <c r="S377" s="3"/>
      <c r="T377" s="3"/>
      <c r="U377" s="3"/>
      <c r="V377" s="3"/>
      <c r="W377" s="3"/>
      <c r="X377" s="3"/>
      <c r="Y377" s="3"/>
      <c r="Z377" s="3"/>
    </row>
    <row r="378" spans="1:26" ht="13.5" thickTop="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x14ac:dyDescent="0.2">
      <c r="A379" s="29" t="s">
        <v>705</v>
      </c>
      <c r="B379" s="2"/>
      <c r="C379" s="2"/>
      <c r="D379" s="6" t="s">
        <v>174</v>
      </c>
      <c r="E379" s="21"/>
      <c r="F379" s="51">
        <v>0</v>
      </c>
      <c r="G379" s="51">
        <v>1</v>
      </c>
      <c r="H379" s="51">
        <v>2</v>
      </c>
      <c r="I379" s="51">
        <v>3</v>
      </c>
      <c r="J379" s="51">
        <v>4</v>
      </c>
      <c r="K379" s="51">
        <v>5</v>
      </c>
      <c r="L379" s="51">
        <v>6</v>
      </c>
      <c r="M379" s="51">
        <v>7</v>
      </c>
      <c r="N379" s="51">
        <v>8</v>
      </c>
      <c r="O379" s="51">
        <v>9</v>
      </c>
      <c r="P379" s="2"/>
      <c r="Q379" s="2"/>
      <c r="R379" s="2"/>
      <c r="S379" s="2"/>
      <c r="T379" s="2"/>
      <c r="U379" s="2"/>
      <c r="V379" s="2"/>
      <c r="W379" s="2"/>
      <c r="X379" s="2"/>
      <c r="Y379" s="2"/>
      <c r="Z379" s="2"/>
    </row>
    <row r="380" spans="1:26" ht="12.75" x14ac:dyDescent="0.2">
      <c r="A380" s="3"/>
      <c r="B380" s="32" t="s">
        <v>678</v>
      </c>
      <c r="C380" s="33"/>
      <c r="D380" s="33"/>
      <c r="E380" s="33"/>
      <c r="F380" s="33"/>
      <c r="G380" s="33"/>
      <c r="H380" s="33"/>
      <c r="I380" s="33"/>
      <c r="J380" s="33"/>
      <c r="K380" s="33"/>
      <c r="L380" s="33"/>
      <c r="M380" s="33"/>
      <c r="N380" s="33"/>
      <c r="O380" s="33"/>
      <c r="P380" s="3"/>
      <c r="Q380" s="3"/>
      <c r="R380" s="3"/>
      <c r="S380" s="3"/>
      <c r="T380" s="3"/>
      <c r="U380" s="3"/>
      <c r="V380" s="3"/>
      <c r="W380" s="3"/>
      <c r="X380" s="3"/>
      <c r="Y380" s="3"/>
      <c r="Z380" s="3"/>
    </row>
    <row r="381" spans="1:26" ht="12.75" x14ac:dyDescent="0.2">
      <c r="A381" s="3"/>
      <c r="C381" s="64" t="s">
        <v>671</v>
      </c>
      <c r="D381" s="33"/>
      <c r="E381" s="33"/>
      <c r="F381" s="33"/>
      <c r="G381" s="33"/>
      <c r="H381" s="33"/>
      <c r="I381" s="33"/>
      <c r="J381" s="33"/>
      <c r="K381" s="33"/>
      <c r="L381" s="33"/>
      <c r="M381" s="33"/>
      <c r="N381" s="33"/>
      <c r="O381" s="33"/>
      <c r="P381" s="3"/>
      <c r="Q381" s="3"/>
      <c r="R381" s="3"/>
      <c r="S381" s="3"/>
      <c r="T381" s="3"/>
      <c r="U381" s="3"/>
      <c r="V381" s="3"/>
      <c r="W381" s="3"/>
      <c r="X381" s="3"/>
      <c r="Y381" s="3"/>
      <c r="Z381" s="3"/>
    </row>
    <row r="382" spans="1:26" ht="12.75" x14ac:dyDescent="0.2">
      <c r="A382" s="3"/>
      <c r="B382" s="64"/>
      <c r="C382" s="34" t="s">
        <v>246</v>
      </c>
      <c r="D382" s="33"/>
      <c r="E382" s="279" t="s">
        <v>666</v>
      </c>
      <c r="F382" s="33"/>
      <c r="G382" s="33"/>
      <c r="H382" s="33"/>
      <c r="I382" s="33"/>
      <c r="J382" s="33"/>
      <c r="K382" s="33"/>
      <c r="L382" s="33"/>
      <c r="M382" s="33"/>
      <c r="N382" s="33"/>
      <c r="O382" s="33"/>
      <c r="P382" s="3"/>
      <c r="Q382" s="3"/>
      <c r="R382" s="3"/>
      <c r="S382" s="3"/>
      <c r="T382" s="3"/>
      <c r="U382" s="3"/>
      <c r="V382" s="3"/>
      <c r="W382" s="3"/>
      <c r="X382" s="3"/>
      <c r="Y382" s="3"/>
      <c r="Z382" s="3"/>
    </row>
    <row r="383" spans="1:26" ht="12.75" x14ac:dyDescent="0.2">
      <c r="A383" s="3"/>
      <c r="B383" s="33"/>
      <c r="C383" s="9" t="s">
        <v>195</v>
      </c>
      <c r="D383" s="33"/>
      <c r="E383" s="299">
        <f>CFs!$C$201</f>
        <v>0.67056688148247967</v>
      </c>
      <c r="F383" s="39">
        <f>$E383*F270</f>
        <v>107.93860275808512</v>
      </c>
      <c r="G383" s="39">
        <f>$E383*G270</f>
        <v>109.01798878566598</v>
      </c>
      <c r="H383" s="39">
        <f>$E383*H270</f>
        <v>110.10816867352266</v>
      </c>
      <c r="I383" s="39">
        <f>$E383*I270</f>
        <v>111.20925036025784</v>
      </c>
      <c r="J383" s="39">
        <f>$E383*J270</f>
        <v>112.32134286386045</v>
      </c>
      <c r="K383" s="39">
        <f>$E383*K270</f>
        <v>113.44455629249904</v>
      </c>
      <c r="L383" s="39">
        <f>$E383*L270</f>
        <v>114.57900185542404</v>
      </c>
      <c r="M383" s="39">
        <f>$E383*M270</f>
        <v>115.72479187397826</v>
      </c>
      <c r="N383" s="39">
        <f>$E383*N270</f>
        <v>116.88203979271807</v>
      </c>
      <c r="O383" s="39">
        <f>$E383*O270</f>
        <v>118.05086019064522</v>
      </c>
      <c r="P383" s="3"/>
      <c r="Q383" s="3"/>
      <c r="R383" s="3"/>
      <c r="S383" s="3"/>
      <c r="T383" s="3"/>
      <c r="U383" s="3"/>
      <c r="V383" s="3"/>
      <c r="W383" s="3"/>
      <c r="X383" s="3"/>
      <c r="Y383" s="3"/>
      <c r="Z383" s="3"/>
    </row>
    <row r="384" spans="1:26" ht="12.75" x14ac:dyDescent="0.2">
      <c r="A384" s="3"/>
      <c r="B384" s="33"/>
      <c r="C384" s="27" t="s">
        <v>231</v>
      </c>
      <c r="D384" s="33"/>
      <c r="E384" s="299">
        <f>CFs!$C$201</f>
        <v>0.67056688148247967</v>
      </c>
      <c r="F384" s="39">
        <f>$E384*F271</f>
        <v>23.507657471167995</v>
      </c>
      <c r="G384" s="39">
        <f>$E384*G271</f>
        <v>23.742734045879672</v>
      </c>
      <c r="H384" s="39">
        <f>$E384*H271</f>
        <v>23.980161386338473</v>
      </c>
      <c r="I384" s="39">
        <f>$E384*I271</f>
        <v>24.219963000201851</v>
      </c>
      <c r="J384" s="39">
        <f>$E384*J271</f>
        <v>24.462162630203874</v>
      </c>
      <c r="K384" s="39">
        <f>$E384*K271</f>
        <v>24.706784256505912</v>
      </c>
      <c r="L384" s="39">
        <f>$E384*L271</f>
        <v>24.953852099070968</v>
      </c>
      <c r="M384" s="39">
        <f>$E384*M271</f>
        <v>25.203390620061683</v>
      </c>
      <c r="N384" s="39">
        <f>$E384*N271</f>
        <v>25.455424526262295</v>
      </c>
      <c r="O384" s="39">
        <f>$E384*O271</f>
        <v>25.70997877152492</v>
      </c>
      <c r="P384" s="3"/>
      <c r="Q384" s="3"/>
      <c r="R384" s="3"/>
      <c r="S384" s="3"/>
      <c r="T384" s="3"/>
      <c r="U384" s="3"/>
      <c r="V384" s="3"/>
      <c r="W384" s="3"/>
      <c r="X384" s="3"/>
      <c r="Y384" s="3"/>
      <c r="Z384" s="3"/>
    </row>
    <row r="385" spans="1:26" ht="12.75" x14ac:dyDescent="0.2">
      <c r="A385" s="3"/>
      <c r="B385" s="33"/>
      <c r="C385" s="36" t="s">
        <v>248</v>
      </c>
      <c r="D385" s="36"/>
      <c r="E385" s="36"/>
      <c r="F385" s="59">
        <f t="shared" ref="F385:O385" si="102">F383-F384</f>
        <v>84.430945286917137</v>
      </c>
      <c r="G385" s="59">
        <f t="shared" si="102"/>
        <v>85.275254739786305</v>
      </c>
      <c r="H385" s="59">
        <f t="shared" si="102"/>
        <v>86.128007287184175</v>
      </c>
      <c r="I385" s="59">
        <f t="shared" si="102"/>
        <v>86.989287360055982</v>
      </c>
      <c r="J385" s="59">
        <f t="shared" si="102"/>
        <v>87.859180233656573</v>
      </c>
      <c r="K385" s="59">
        <f t="shared" si="102"/>
        <v>88.737772035993132</v>
      </c>
      <c r="L385" s="59">
        <f t="shared" si="102"/>
        <v>89.625149756353068</v>
      </c>
      <c r="M385" s="59">
        <f t="shared" si="102"/>
        <v>90.521401253916579</v>
      </c>
      <c r="N385" s="59">
        <f t="shared" si="102"/>
        <v>91.426615266455784</v>
      </c>
      <c r="O385" s="59">
        <f t="shared" si="102"/>
        <v>92.340881419120308</v>
      </c>
      <c r="P385" s="3"/>
      <c r="Q385" s="3"/>
      <c r="R385" s="3"/>
      <c r="S385" s="3"/>
      <c r="T385" s="3"/>
      <c r="U385" s="3"/>
      <c r="V385" s="3"/>
      <c r="W385" s="3"/>
      <c r="X385" s="3"/>
      <c r="Y385" s="3"/>
      <c r="Z385" s="3"/>
    </row>
    <row r="386" spans="1:26" ht="12.75" x14ac:dyDescent="0.2">
      <c r="A386" s="3"/>
      <c r="B386" s="33"/>
      <c r="C386" s="27"/>
      <c r="D386" s="33"/>
      <c r="E386" s="33"/>
      <c r="F386" s="37"/>
      <c r="G386" s="37"/>
      <c r="H386" s="37"/>
      <c r="I386" s="37"/>
      <c r="J386" s="37"/>
      <c r="K386" s="37"/>
      <c r="L386" s="37"/>
      <c r="M386" s="37"/>
      <c r="N386" s="37"/>
      <c r="O386" s="37"/>
      <c r="P386" s="3"/>
      <c r="Q386" s="3"/>
      <c r="R386" s="3"/>
      <c r="S386" s="3"/>
      <c r="T386" s="3"/>
      <c r="U386" s="3"/>
      <c r="V386" s="3"/>
      <c r="W386" s="3"/>
      <c r="X386" s="3"/>
      <c r="Y386" s="3"/>
      <c r="Z386" s="3"/>
    </row>
    <row r="387" spans="1:26" ht="12.75" x14ac:dyDescent="0.2">
      <c r="A387" s="3"/>
      <c r="B387" s="33"/>
      <c r="C387" s="66" t="s">
        <v>675</v>
      </c>
      <c r="D387" s="66"/>
      <c r="E387" s="66"/>
      <c r="F387" s="67">
        <f>F385</f>
        <v>84.430945286917137</v>
      </c>
      <c r="G387" s="67">
        <f t="shared" ref="G387:O387" si="103">G385</f>
        <v>85.275254739786305</v>
      </c>
      <c r="H387" s="67">
        <f t="shared" si="103"/>
        <v>86.128007287184175</v>
      </c>
      <c r="I387" s="67">
        <f t="shared" si="103"/>
        <v>86.989287360055982</v>
      </c>
      <c r="J387" s="67">
        <f t="shared" si="103"/>
        <v>87.859180233656573</v>
      </c>
      <c r="K387" s="67">
        <f t="shared" si="103"/>
        <v>88.737772035993132</v>
      </c>
      <c r="L387" s="67">
        <f t="shared" si="103"/>
        <v>89.625149756353068</v>
      </c>
      <c r="M387" s="67">
        <f t="shared" si="103"/>
        <v>90.521401253916579</v>
      </c>
      <c r="N387" s="67">
        <f t="shared" si="103"/>
        <v>91.426615266455784</v>
      </c>
      <c r="O387" s="67">
        <f t="shared" si="103"/>
        <v>92.340881419120308</v>
      </c>
      <c r="P387" s="3"/>
      <c r="Q387" s="3"/>
      <c r="R387" s="3"/>
      <c r="S387" s="3"/>
      <c r="T387" s="3"/>
      <c r="U387" s="3"/>
      <c r="V387" s="3"/>
      <c r="W387" s="3"/>
      <c r="X387" s="3"/>
      <c r="Y387" s="3"/>
      <c r="Z387" s="3"/>
    </row>
    <row r="388" spans="1:26" ht="12.75" x14ac:dyDescent="0.2">
      <c r="A388" s="3"/>
      <c r="B388" s="33"/>
      <c r="C388" s="33"/>
      <c r="D388" s="33"/>
      <c r="E388" s="33"/>
      <c r="F388" s="33"/>
      <c r="G388" s="33"/>
      <c r="H388" s="33"/>
      <c r="I388" s="33"/>
      <c r="J388" s="33"/>
      <c r="K388" s="33"/>
      <c r="L388" s="33"/>
      <c r="M388" s="33"/>
      <c r="N388" s="33"/>
      <c r="O388" s="33"/>
      <c r="P388" s="3"/>
      <c r="Q388" s="3"/>
      <c r="R388" s="3"/>
      <c r="S388" s="3"/>
      <c r="T388" s="3"/>
      <c r="U388" s="3"/>
      <c r="V388" s="3"/>
      <c r="W388" s="3"/>
      <c r="X388" s="3"/>
      <c r="Y388" s="3"/>
      <c r="Z388" s="3"/>
    </row>
    <row r="389" spans="1:26" ht="12.75" x14ac:dyDescent="0.2">
      <c r="A389" s="3"/>
      <c r="C389" s="64" t="s">
        <v>670</v>
      </c>
      <c r="D389" s="33"/>
      <c r="E389" s="33"/>
      <c r="F389" s="33"/>
      <c r="G389" s="33"/>
      <c r="H389" s="33"/>
      <c r="I389" s="33"/>
      <c r="J389" s="33"/>
      <c r="K389" s="33"/>
      <c r="L389" s="33"/>
      <c r="M389" s="33"/>
      <c r="N389" s="33"/>
      <c r="O389" s="33"/>
      <c r="P389" s="3"/>
      <c r="Q389" s="3"/>
      <c r="R389" s="3"/>
      <c r="S389" s="3"/>
      <c r="T389" s="3"/>
      <c r="U389" s="3"/>
      <c r="V389" s="3"/>
      <c r="W389" s="3"/>
      <c r="X389" s="3"/>
      <c r="Y389" s="3"/>
      <c r="Z389" s="3"/>
    </row>
    <row r="390" spans="1:26" ht="12.75" x14ac:dyDescent="0.2">
      <c r="A390" s="3"/>
      <c r="B390" s="33"/>
      <c r="C390" s="34" t="s">
        <v>218</v>
      </c>
      <c r="D390" s="33"/>
      <c r="E390" s="33"/>
      <c r="F390" s="33"/>
      <c r="G390" s="33"/>
      <c r="H390" s="33"/>
      <c r="I390" s="33"/>
      <c r="J390" s="33"/>
      <c r="K390" s="33"/>
      <c r="L390" s="33"/>
      <c r="M390" s="33"/>
      <c r="N390" s="33"/>
      <c r="O390" s="33"/>
      <c r="P390" s="3"/>
      <c r="Q390" s="3"/>
      <c r="R390" s="3"/>
      <c r="S390" s="3"/>
      <c r="T390" s="3"/>
      <c r="U390" s="3"/>
      <c r="V390" s="3"/>
      <c r="W390" s="3"/>
      <c r="X390" s="3"/>
      <c r="Y390" s="3"/>
      <c r="Z390" s="3"/>
    </row>
    <row r="391" spans="1:26" ht="12.75" x14ac:dyDescent="0.2">
      <c r="A391" s="3"/>
      <c r="B391" s="33"/>
      <c r="C391" s="94" t="s">
        <v>272</v>
      </c>
      <c r="D391" s="33"/>
      <c r="E391" s="302">
        <v>1</v>
      </c>
      <c r="F391" s="39">
        <f>$E391*F287</f>
        <v>10.297000000000001</v>
      </c>
      <c r="G391" s="39">
        <f>$E391*G287</f>
        <v>10.297000000000001</v>
      </c>
      <c r="H391" s="39">
        <f>$E391*H287</f>
        <v>10.297000000000001</v>
      </c>
      <c r="I391" s="39">
        <f>$E391*I287</f>
        <v>10.297000000000001</v>
      </c>
      <c r="J391" s="39">
        <f>$E391*J287</f>
        <v>10.296999999999999</v>
      </c>
      <c r="K391" s="39">
        <f>$E391*K287</f>
        <v>10.297000000000001</v>
      </c>
      <c r="L391" s="39">
        <f>$E391*L287</f>
        <v>10.297000000000001</v>
      </c>
      <c r="M391" s="39">
        <f>$E391*M287</f>
        <v>10.296999999999999</v>
      </c>
      <c r="N391" s="39">
        <f>$E391*N287</f>
        <v>10.296999999999999</v>
      </c>
      <c r="O391" s="39">
        <f>$E391*O287</f>
        <v>10.297000000000001</v>
      </c>
      <c r="P391" s="3"/>
      <c r="Q391" s="3"/>
      <c r="R391" s="3"/>
      <c r="S391" s="3"/>
      <c r="T391" s="3"/>
      <c r="U391" s="3"/>
      <c r="V391" s="3"/>
      <c r="W391" s="3"/>
      <c r="X391" s="3"/>
      <c r="Y391" s="3"/>
      <c r="Z391" s="3"/>
    </row>
    <row r="392" spans="1:26" ht="12.75" x14ac:dyDescent="0.2">
      <c r="A392" s="3"/>
      <c r="B392" s="33"/>
      <c r="C392" s="94" t="s">
        <v>273</v>
      </c>
      <c r="D392" s="33"/>
      <c r="E392" s="302">
        <v>1</v>
      </c>
      <c r="F392" s="39">
        <f>$E392*F288</f>
        <v>4.9059999999999997</v>
      </c>
      <c r="G392" s="39">
        <f>$E392*G288</f>
        <v>4.9059999999999997</v>
      </c>
      <c r="H392" s="39">
        <f>$E392*H288</f>
        <v>4.9059999999999997</v>
      </c>
      <c r="I392" s="39">
        <f>$E392*I288</f>
        <v>4.9059999999999997</v>
      </c>
      <c r="J392" s="39">
        <f>$E392*J288</f>
        <v>4.9059999999999997</v>
      </c>
      <c r="K392" s="39">
        <f>$E392*K288</f>
        <v>4.9059999999999997</v>
      </c>
      <c r="L392" s="39">
        <f>$E392*L288</f>
        <v>4.9060000000000006</v>
      </c>
      <c r="M392" s="39">
        <f>$E392*M288</f>
        <v>4.9059999999999997</v>
      </c>
      <c r="N392" s="39">
        <f>$E392*N288</f>
        <v>4.9060000000000006</v>
      </c>
      <c r="O392" s="39">
        <f>$E392*O288</f>
        <v>4.9060000000000006</v>
      </c>
      <c r="P392" s="3"/>
      <c r="Q392" s="3"/>
      <c r="R392" s="3"/>
      <c r="S392" s="3"/>
      <c r="T392" s="3"/>
      <c r="U392" s="3"/>
      <c r="V392" s="3"/>
      <c r="W392" s="3"/>
      <c r="X392" s="3"/>
      <c r="Y392" s="3"/>
      <c r="Z392" s="3"/>
    </row>
    <row r="393" spans="1:26" ht="12.75" x14ac:dyDescent="0.2">
      <c r="A393" s="3"/>
      <c r="B393" s="33"/>
      <c r="C393" s="94" t="s">
        <v>274</v>
      </c>
      <c r="D393" s="33"/>
      <c r="E393" s="302">
        <v>1</v>
      </c>
      <c r="F393" s="39">
        <f>$E393*F289</f>
        <v>10.379099999999999</v>
      </c>
      <c r="G393" s="39">
        <f>$E393*G289</f>
        <v>10.379099999999998</v>
      </c>
      <c r="H393" s="39">
        <f>$E393*H289</f>
        <v>10.379099999999998</v>
      </c>
      <c r="I393" s="39">
        <f>$E393*I289</f>
        <v>10.379099999999999</v>
      </c>
      <c r="J393" s="39">
        <f>$E393*J289</f>
        <v>10.379099999999999</v>
      </c>
      <c r="K393" s="39">
        <f>$E393*K289</f>
        <v>10.379099999999999</v>
      </c>
      <c r="L393" s="39">
        <f>$E393*L289</f>
        <v>10.379099999999999</v>
      </c>
      <c r="M393" s="39">
        <f>$E393*M289</f>
        <v>10.379099999999999</v>
      </c>
      <c r="N393" s="39">
        <f>$E393*N289</f>
        <v>10.379099999999999</v>
      </c>
      <c r="O393" s="39">
        <f>$E393*O289</f>
        <v>10.379099999999998</v>
      </c>
      <c r="P393" s="3"/>
      <c r="Q393" s="3"/>
      <c r="R393" s="3"/>
      <c r="S393" s="3"/>
      <c r="T393" s="3"/>
      <c r="U393" s="3"/>
      <c r="V393" s="3"/>
      <c r="W393" s="3"/>
      <c r="X393" s="3"/>
      <c r="Y393" s="3"/>
      <c r="Z393" s="3"/>
    </row>
    <row r="394" spans="1:26" ht="12.75" x14ac:dyDescent="0.2">
      <c r="A394" s="3"/>
      <c r="B394" s="33"/>
      <c r="C394" s="94" t="s">
        <v>275</v>
      </c>
      <c r="D394" s="33"/>
      <c r="E394" s="302">
        <v>1</v>
      </c>
      <c r="F394" s="39">
        <f>$E394*F290</f>
        <v>11.868</v>
      </c>
      <c r="G394" s="39">
        <f>$E394*G290</f>
        <v>11.868</v>
      </c>
      <c r="H394" s="39">
        <f>$E394*H290</f>
        <v>11.867999999999999</v>
      </c>
      <c r="I394" s="39">
        <f>$E394*I290</f>
        <v>11.867999999999999</v>
      </c>
      <c r="J394" s="39">
        <f>$E394*J290</f>
        <v>11.868</v>
      </c>
      <c r="K394" s="39">
        <f>$E394*K290</f>
        <v>11.868</v>
      </c>
      <c r="L394" s="39">
        <f>$E394*L290</f>
        <v>11.867999999999999</v>
      </c>
      <c r="M394" s="39">
        <f>$E394*M290</f>
        <v>11.868</v>
      </c>
      <c r="N394" s="39">
        <f>$E394*N290</f>
        <v>11.867999999999999</v>
      </c>
      <c r="O394" s="39">
        <f>$E394*O290</f>
        <v>11.868</v>
      </c>
      <c r="P394" s="3"/>
      <c r="Q394" s="3"/>
      <c r="R394" s="3"/>
      <c r="S394" s="3"/>
      <c r="T394" s="3"/>
      <c r="U394" s="3"/>
      <c r="V394" s="3"/>
      <c r="W394" s="3"/>
      <c r="X394" s="3"/>
      <c r="Y394" s="3"/>
      <c r="Z394" s="3"/>
    </row>
    <row r="395" spans="1:26" ht="12.75" x14ac:dyDescent="0.2">
      <c r="A395" s="3"/>
      <c r="B395" s="35"/>
      <c r="C395" s="84" t="s">
        <v>293</v>
      </c>
      <c r="D395" s="35"/>
      <c r="E395" s="302">
        <v>1</v>
      </c>
      <c r="F395" s="39">
        <f>$E395*F291</f>
        <v>11.7325</v>
      </c>
      <c r="G395" s="39">
        <f>$E395*G291</f>
        <v>11.7325</v>
      </c>
      <c r="H395" s="39">
        <f>$E395*H291</f>
        <v>11.732500000000002</v>
      </c>
      <c r="I395" s="39">
        <f>$E395*I291</f>
        <v>11.7325</v>
      </c>
      <c r="J395" s="39">
        <f>$E395*J291</f>
        <v>11.732500000000002</v>
      </c>
      <c r="K395" s="39">
        <f>$E395*K291</f>
        <v>11.7325</v>
      </c>
      <c r="L395" s="39">
        <f>$E395*L291</f>
        <v>11.732500000000002</v>
      </c>
      <c r="M395" s="39">
        <f>$E395*M291</f>
        <v>11.7325</v>
      </c>
      <c r="N395" s="39">
        <f>$E395*N291</f>
        <v>11.7325</v>
      </c>
      <c r="O395" s="39">
        <f>$E395*O291</f>
        <v>11.7325</v>
      </c>
      <c r="P395" s="3"/>
      <c r="Q395" s="3"/>
      <c r="R395" s="3"/>
      <c r="S395" s="3"/>
      <c r="T395" s="3"/>
      <c r="U395" s="3"/>
      <c r="V395" s="3"/>
      <c r="W395" s="3"/>
      <c r="X395" s="3"/>
      <c r="Y395" s="3"/>
      <c r="Z395" s="3"/>
    </row>
    <row r="396" spans="1:26" ht="12.75" x14ac:dyDescent="0.2">
      <c r="A396" s="3"/>
      <c r="B396" s="33"/>
      <c r="C396" s="94" t="s">
        <v>278</v>
      </c>
      <c r="D396" s="33"/>
      <c r="E396" s="302">
        <v>1</v>
      </c>
      <c r="F396" s="39">
        <f>$E396*F292</f>
        <v>60.950099999999999</v>
      </c>
      <c r="G396" s="39">
        <f>$E396*G292</f>
        <v>60.950099999999992</v>
      </c>
      <c r="H396" s="39">
        <f>$E396*H292</f>
        <v>60.950100000000006</v>
      </c>
      <c r="I396" s="39">
        <f>$E396*I292</f>
        <v>60.950099999999992</v>
      </c>
      <c r="J396" s="39">
        <f>$E396*J292</f>
        <v>60.950099999999992</v>
      </c>
      <c r="K396" s="39">
        <f>$E396*K292</f>
        <v>60.950099999999999</v>
      </c>
      <c r="L396" s="39">
        <f>$E396*L292</f>
        <v>60.950099999999999</v>
      </c>
      <c r="M396" s="39">
        <f>$E396*M292</f>
        <v>60.950099999999999</v>
      </c>
      <c r="N396" s="39">
        <f>$E396*N292</f>
        <v>60.950099999999999</v>
      </c>
      <c r="O396" s="39">
        <f>$E396*O292</f>
        <v>60.950099999999999</v>
      </c>
      <c r="P396" s="3"/>
      <c r="Q396" s="3"/>
      <c r="R396" s="3"/>
      <c r="S396" s="3"/>
      <c r="T396" s="3"/>
      <c r="U396" s="3"/>
      <c r="V396" s="3"/>
      <c r="W396" s="3"/>
      <c r="X396" s="3"/>
      <c r="Y396" s="3"/>
      <c r="Z396" s="3"/>
    </row>
    <row r="397" spans="1:26" ht="12.75" x14ac:dyDescent="0.2">
      <c r="A397" s="3"/>
      <c r="B397" s="33"/>
      <c r="C397" s="9" t="s">
        <v>85</v>
      </c>
      <c r="D397" s="33"/>
      <c r="E397" s="302">
        <v>1</v>
      </c>
      <c r="F397" s="39">
        <f>$E397*F293</f>
        <v>0</v>
      </c>
      <c r="G397" s="39">
        <f>$E397*G293</f>
        <v>0</v>
      </c>
      <c r="H397" s="39">
        <f>$E397*H293</f>
        <v>0</v>
      </c>
      <c r="I397" s="39">
        <f>$E397*I293</f>
        <v>0</v>
      </c>
      <c r="J397" s="39">
        <f>$E397*J293</f>
        <v>0</v>
      </c>
      <c r="K397" s="39">
        <f>$E397*K293</f>
        <v>0</v>
      </c>
      <c r="L397" s="39">
        <f>$E397*L293</f>
        <v>0</v>
      </c>
      <c r="M397" s="39">
        <f>$E397*M293</f>
        <v>0</v>
      </c>
      <c r="N397" s="39">
        <f>$E397*N293</f>
        <v>0</v>
      </c>
      <c r="O397" s="39">
        <f>$E397*O293</f>
        <v>0</v>
      </c>
      <c r="P397" s="3"/>
      <c r="Q397" s="3"/>
      <c r="R397" s="3"/>
      <c r="S397" s="3"/>
      <c r="T397" s="3"/>
      <c r="U397" s="3"/>
      <c r="V397" s="3"/>
      <c r="W397" s="3"/>
      <c r="X397" s="3"/>
      <c r="Y397" s="3"/>
      <c r="Z397" s="3"/>
    </row>
    <row r="398" spans="1:26" ht="12.75" x14ac:dyDescent="0.2">
      <c r="A398" s="3"/>
      <c r="B398" s="33"/>
      <c r="C398" s="36" t="s">
        <v>207</v>
      </c>
      <c r="D398" s="36"/>
      <c r="E398" s="36"/>
      <c r="F398" s="59">
        <f>SUM(F391:F397)</f>
        <v>110.1327</v>
      </c>
      <c r="G398" s="59">
        <f t="shared" ref="G398:O398" si="104">SUM(G391:G397)</f>
        <v>110.1327</v>
      </c>
      <c r="H398" s="59">
        <f t="shared" si="104"/>
        <v>110.1327</v>
      </c>
      <c r="I398" s="59">
        <f t="shared" si="104"/>
        <v>110.13269999999999</v>
      </c>
      <c r="J398" s="59">
        <f t="shared" si="104"/>
        <v>110.1327</v>
      </c>
      <c r="K398" s="59">
        <f t="shared" si="104"/>
        <v>110.1327</v>
      </c>
      <c r="L398" s="59">
        <f t="shared" si="104"/>
        <v>110.1327</v>
      </c>
      <c r="M398" s="59">
        <f t="shared" si="104"/>
        <v>110.1327</v>
      </c>
      <c r="N398" s="59">
        <f t="shared" si="104"/>
        <v>110.1327</v>
      </c>
      <c r="O398" s="59">
        <f t="shared" si="104"/>
        <v>110.1327</v>
      </c>
      <c r="P398" s="3"/>
      <c r="Q398" s="3"/>
      <c r="R398" s="3"/>
      <c r="S398" s="3"/>
      <c r="T398" s="3"/>
      <c r="U398" s="3"/>
      <c r="V398" s="3"/>
      <c r="W398" s="3"/>
      <c r="X398" s="3"/>
      <c r="Y398" s="3"/>
      <c r="Z398" s="3"/>
    </row>
    <row r="399" spans="1:26" ht="12.75" x14ac:dyDescent="0.2">
      <c r="A399" s="3"/>
      <c r="B399" s="33"/>
      <c r="C399" s="33"/>
      <c r="D399" s="33"/>
      <c r="E399" s="33"/>
      <c r="F399" s="41"/>
      <c r="G399" s="41"/>
      <c r="H399" s="33"/>
      <c r="I399" s="33"/>
      <c r="J399" s="33"/>
      <c r="K399" s="33"/>
      <c r="L399" s="33"/>
      <c r="M399" s="33"/>
      <c r="N399" s="33"/>
      <c r="O399" s="33"/>
      <c r="P399" s="3"/>
      <c r="Q399" s="3"/>
      <c r="R399" s="3"/>
      <c r="S399" s="3"/>
      <c r="T399" s="3"/>
      <c r="U399" s="3"/>
      <c r="V399" s="3"/>
      <c r="W399" s="3"/>
      <c r="X399" s="3"/>
      <c r="Y399" s="3"/>
      <c r="Z399" s="3"/>
    </row>
    <row r="400" spans="1:26" ht="12.75" x14ac:dyDescent="0.2">
      <c r="A400" s="3"/>
      <c r="B400" s="33"/>
      <c r="C400" s="34" t="s">
        <v>215</v>
      </c>
      <c r="D400" s="33"/>
      <c r="E400" s="33"/>
      <c r="F400" s="41"/>
      <c r="G400" s="41"/>
      <c r="H400" s="41"/>
      <c r="I400" s="41"/>
      <c r="J400" s="41"/>
      <c r="K400" s="41"/>
      <c r="L400" s="41"/>
      <c r="M400" s="41"/>
      <c r="N400" s="41"/>
      <c r="O400" s="41"/>
      <c r="P400" s="3"/>
      <c r="Q400" s="3"/>
      <c r="R400" s="3"/>
      <c r="S400" s="3"/>
      <c r="T400" s="3"/>
      <c r="U400" s="3"/>
      <c r="V400" s="3"/>
      <c r="W400" s="3"/>
      <c r="X400" s="3"/>
      <c r="Y400" s="3"/>
      <c r="Z400" s="3"/>
    </row>
    <row r="401" spans="1:26" ht="12.75" x14ac:dyDescent="0.2">
      <c r="A401" s="3"/>
      <c r="B401" s="33"/>
      <c r="C401" s="9" t="s">
        <v>110</v>
      </c>
      <c r="D401" s="33"/>
      <c r="E401" s="302">
        <v>1</v>
      </c>
      <c r="F401" s="39">
        <f>$E401*F297</f>
        <v>2.6819999999999999</v>
      </c>
      <c r="G401" s="39">
        <f>$E401*G297</f>
        <v>2.6819999999999995</v>
      </c>
      <c r="H401" s="39">
        <f>$E401*H297</f>
        <v>2.6819999999999999</v>
      </c>
      <c r="I401" s="39">
        <f>$E401*I297</f>
        <v>2.6819999999999999</v>
      </c>
      <c r="J401" s="39">
        <f>$E401*J297</f>
        <v>2.6819999999999999</v>
      </c>
      <c r="K401" s="39">
        <f>$E401*K297</f>
        <v>2.6820000000000004</v>
      </c>
      <c r="L401" s="39">
        <f>$E401*L297</f>
        <v>2.6819999999999999</v>
      </c>
      <c r="M401" s="39">
        <f>$E401*M297</f>
        <v>2.6819999999999999</v>
      </c>
      <c r="N401" s="39">
        <f>$E401*N297</f>
        <v>2.6819999999999999</v>
      </c>
      <c r="O401" s="39">
        <f>$E401*O297</f>
        <v>2.6819999999999995</v>
      </c>
      <c r="P401" s="3"/>
      <c r="Q401" s="3"/>
      <c r="R401" s="3"/>
      <c r="S401" s="3"/>
      <c r="T401" s="3"/>
      <c r="U401" s="3"/>
      <c r="V401" s="3"/>
      <c r="W401" s="3"/>
      <c r="X401" s="3"/>
      <c r="Y401" s="3"/>
      <c r="Z401" s="3"/>
    </row>
    <row r="402" spans="1:26" ht="12.75" x14ac:dyDescent="0.2">
      <c r="A402" s="3"/>
      <c r="B402" s="33"/>
      <c r="C402" s="27" t="s">
        <v>283</v>
      </c>
      <c r="D402" s="33"/>
      <c r="E402" s="302">
        <v>1</v>
      </c>
      <c r="F402" s="39">
        <f>$E402*F298</f>
        <v>2.4788235294117649</v>
      </c>
      <c r="G402" s="39">
        <f>$E402*G298</f>
        <v>2.4788235294117649</v>
      </c>
      <c r="H402" s="39">
        <f>$E402*H298</f>
        <v>2.4788235294117649</v>
      </c>
      <c r="I402" s="39">
        <f>$E402*I298</f>
        <v>2.4788235294117649</v>
      </c>
      <c r="J402" s="39">
        <f>$E402*J298</f>
        <v>2.4788235294117649</v>
      </c>
      <c r="K402" s="39">
        <f>$E402*K298</f>
        <v>2.4788235294117649</v>
      </c>
      <c r="L402" s="39">
        <f>$E402*L298</f>
        <v>2.4788235294117649</v>
      </c>
      <c r="M402" s="39">
        <f>$E402*M298</f>
        <v>2.4788235294117649</v>
      </c>
      <c r="N402" s="39">
        <f>$E402*N298</f>
        <v>2.4788235294117649</v>
      </c>
      <c r="O402" s="39">
        <f>$E402*O298</f>
        <v>2.4788235294117649</v>
      </c>
      <c r="P402" s="3"/>
      <c r="Q402" s="3"/>
      <c r="R402" s="3"/>
      <c r="S402" s="3"/>
      <c r="T402" s="3"/>
      <c r="U402" s="3"/>
      <c r="V402" s="3"/>
      <c r="W402" s="3"/>
      <c r="X402" s="3"/>
      <c r="Y402" s="3"/>
      <c r="Z402" s="3"/>
    </row>
    <row r="403" spans="1:26" ht="12.75" x14ac:dyDescent="0.2">
      <c r="A403" s="3"/>
      <c r="B403" s="33"/>
      <c r="C403" s="31" t="s">
        <v>216</v>
      </c>
      <c r="D403" s="36"/>
      <c r="E403" s="36"/>
      <c r="F403" s="40">
        <f t="shared" ref="F403:O403" si="105">SUM(F401:F402)</f>
        <v>5.1608235294117648</v>
      </c>
      <c r="G403" s="40">
        <f t="shared" si="105"/>
        <v>5.1608235294117648</v>
      </c>
      <c r="H403" s="40">
        <f t="shared" si="105"/>
        <v>5.1608235294117648</v>
      </c>
      <c r="I403" s="40">
        <f t="shared" si="105"/>
        <v>5.1608235294117648</v>
      </c>
      <c r="J403" s="40">
        <f t="shared" si="105"/>
        <v>5.1608235294117648</v>
      </c>
      <c r="K403" s="40">
        <f t="shared" si="105"/>
        <v>5.1608235294117648</v>
      </c>
      <c r="L403" s="40">
        <f t="shared" si="105"/>
        <v>5.1608235294117648</v>
      </c>
      <c r="M403" s="40">
        <f t="shared" si="105"/>
        <v>5.1608235294117648</v>
      </c>
      <c r="N403" s="40">
        <f t="shared" si="105"/>
        <v>5.1608235294117648</v>
      </c>
      <c r="O403" s="40">
        <f t="shared" si="105"/>
        <v>5.1608235294117648</v>
      </c>
      <c r="P403" s="3"/>
      <c r="Q403" s="3"/>
      <c r="R403" s="3"/>
      <c r="S403" s="3"/>
      <c r="T403" s="3"/>
      <c r="U403" s="3"/>
      <c r="V403" s="3"/>
      <c r="W403" s="3"/>
      <c r="X403" s="3"/>
      <c r="Y403" s="3"/>
      <c r="Z403" s="3"/>
    </row>
    <row r="404" spans="1:26" ht="12.75" x14ac:dyDescent="0.2">
      <c r="A404" s="3"/>
      <c r="B404" s="33"/>
      <c r="C404" s="35"/>
      <c r="D404" s="33"/>
      <c r="E404" s="33"/>
      <c r="F404" s="41"/>
      <c r="G404" s="41"/>
      <c r="H404" s="41"/>
      <c r="I404" s="41"/>
      <c r="J404" s="41"/>
      <c r="K404" s="41"/>
      <c r="L404" s="41"/>
      <c r="M404" s="41"/>
      <c r="N404" s="41"/>
      <c r="O404" s="41"/>
      <c r="P404" s="3"/>
      <c r="Q404" s="3"/>
      <c r="R404" s="3"/>
      <c r="S404" s="3"/>
      <c r="T404" s="3"/>
      <c r="U404" s="3"/>
      <c r="V404" s="3"/>
      <c r="W404" s="3"/>
      <c r="X404" s="3"/>
      <c r="Y404" s="3"/>
      <c r="Z404" s="3"/>
    </row>
    <row r="405" spans="1:26" ht="12.75" x14ac:dyDescent="0.2">
      <c r="A405" s="3"/>
      <c r="B405" s="33"/>
      <c r="C405" s="34" t="s">
        <v>219</v>
      </c>
      <c r="D405" s="33"/>
      <c r="E405" s="33"/>
      <c r="F405" s="41"/>
      <c r="G405" s="41"/>
      <c r="H405" s="41"/>
      <c r="I405" s="41"/>
      <c r="J405" s="41"/>
      <c r="K405" s="41"/>
      <c r="L405" s="41"/>
      <c r="M405" s="41"/>
      <c r="N405" s="41"/>
      <c r="O405" s="41"/>
      <c r="P405" s="3"/>
      <c r="Q405" s="3"/>
      <c r="R405" s="3"/>
      <c r="S405" s="3"/>
      <c r="T405" s="3"/>
      <c r="U405" s="3"/>
      <c r="V405" s="3"/>
      <c r="W405" s="3"/>
      <c r="X405" s="3"/>
      <c r="Y405" s="3"/>
      <c r="Z405" s="3"/>
    </row>
    <row r="406" spans="1:26" ht="12.75" x14ac:dyDescent="0.2">
      <c r="A406" s="3"/>
      <c r="B406" s="33"/>
      <c r="C406" s="9" t="s">
        <v>92</v>
      </c>
      <c r="D406" s="33"/>
      <c r="E406" s="299">
        <f>E383</f>
        <v>0.67056688148247967</v>
      </c>
      <c r="F406" s="39">
        <f>$E406*F302</f>
        <v>3.2396427178181559</v>
      </c>
      <c r="G406" s="39">
        <f>$E406*G302</f>
        <v>3.2396427178181559</v>
      </c>
      <c r="H406" s="39">
        <f>$E406*H302</f>
        <v>3.2396427178181559</v>
      </c>
      <c r="I406" s="39">
        <f>$E406*I302</f>
        <v>3.2396427178181559</v>
      </c>
      <c r="J406" s="39">
        <f>$E406*J302</f>
        <v>3.2396427178181559</v>
      </c>
      <c r="K406" s="39">
        <f>$E406*K302</f>
        <v>3.2396427178181559</v>
      </c>
      <c r="L406" s="39">
        <f>$E406*L302</f>
        <v>3.2396427178181559</v>
      </c>
      <c r="M406" s="39">
        <f>$E406*M302</f>
        <v>3.2396427178181559</v>
      </c>
      <c r="N406" s="39">
        <f>$E406*N302</f>
        <v>3.2396427178181559</v>
      </c>
      <c r="O406" s="39">
        <f>$E406*O302</f>
        <v>3.2396427178181559</v>
      </c>
      <c r="P406" s="3"/>
      <c r="Q406" s="3"/>
      <c r="R406" s="3"/>
      <c r="S406" s="3"/>
      <c r="T406" s="3"/>
      <c r="U406" s="3"/>
      <c r="V406" s="3"/>
      <c r="W406" s="3"/>
      <c r="X406" s="3"/>
      <c r="Y406" s="3"/>
      <c r="Z406" s="3"/>
    </row>
    <row r="407" spans="1:26" ht="12.75" x14ac:dyDescent="0.2">
      <c r="A407" s="3"/>
      <c r="B407" s="33"/>
      <c r="C407" s="9" t="s">
        <v>96</v>
      </c>
      <c r="D407" s="33"/>
      <c r="E407" s="302">
        <v>1</v>
      </c>
      <c r="F407" s="39">
        <f>$E407*F303</f>
        <v>0</v>
      </c>
      <c r="G407" s="39">
        <f>$E407*G303</f>
        <v>0</v>
      </c>
      <c r="H407" s="39">
        <f>$E407*H303</f>
        <v>0</v>
      </c>
      <c r="I407" s="39">
        <f>$E407*I303</f>
        <v>0</v>
      </c>
      <c r="J407" s="39">
        <f>$E407*J303</f>
        <v>0</v>
      </c>
      <c r="K407" s="39">
        <f>$E407*K303</f>
        <v>0</v>
      </c>
      <c r="L407" s="39">
        <f>$E407*L303</f>
        <v>0</v>
      </c>
      <c r="M407" s="39">
        <f>$E407*M303</f>
        <v>0</v>
      </c>
      <c r="N407" s="39">
        <f>$E407*N303</f>
        <v>0</v>
      </c>
      <c r="O407" s="39">
        <f>$E407*O303</f>
        <v>0</v>
      </c>
      <c r="P407" s="3"/>
      <c r="Q407" s="3"/>
      <c r="R407" s="3"/>
      <c r="S407" s="3"/>
      <c r="T407" s="3"/>
      <c r="U407" s="3"/>
      <c r="V407" s="3"/>
      <c r="W407" s="3"/>
      <c r="X407" s="3"/>
      <c r="Y407" s="3"/>
      <c r="Z407" s="3"/>
    </row>
    <row r="408" spans="1:26" ht="12.75" x14ac:dyDescent="0.2">
      <c r="A408" s="3"/>
      <c r="B408" s="33"/>
      <c r="C408" s="9" t="s">
        <v>99</v>
      </c>
      <c r="D408" s="33"/>
      <c r="E408" s="299">
        <f>CFs!$C$252</f>
        <v>1.5401003517880794</v>
      </c>
      <c r="F408" s="39">
        <f>$E408*F304</f>
        <v>7.3273477645049585</v>
      </c>
      <c r="G408" s="39">
        <f>$E408*G304</f>
        <v>7.3273477645049585</v>
      </c>
      <c r="H408" s="39">
        <f>$E408*H304</f>
        <v>7.3273477645049585</v>
      </c>
      <c r="I408" s="39">
        <f>$E408*I304</f>
        <v>7.3273477645049585</v>
      </c>
      <c r="J408" s="39">
        <f>$E408*J304</f>
        <v>7.3273477645049585</v>
      </c>
      <c r="K408" s="39">
        <f>$E408*K304</f>
        <v>7.3273477645049594</v>
      </c>
      <c r="L408" s="39">
        <f>$E408*L304</f>
        <v>7.3273477645049585</v>
      </c>
      <c r="M408" s="39">
        <f>$E408*M304</f>
        <v>7.3273477645049594</v>
      </c>
      <c r="N408" s="39">
        <f>$E408*N304</f>
        <v>7.3273477645049585</v>
      </c>
      <c r="O408" s="39">
        <f>$E408*O304</f>
        <v>7.3273477645049594</v>
      </c>
      <c r="P408" s="3"/>
      <c r="Q408" s="3"/>
      <c r="R408" s="3"/>
      <c r="S408" s="3"/>
      <c r="T408" s="3"/>
      <c r="U408" s="3"/>
      <c r="V408" s="3"/>
      <c r="W408" s="3"/>
      <c r="X408" s="3"/>
      <c r="Y408" s="3"/>
      <c r="Z408" s="3"/>
    </row>
    <row r="409" spans="1:26" ht="12.75" x14ac:dyDescent="0.2">
      <c r="A409" s="3"/>
      <c r="B409" s="33"/>
      <c r="C409" s="9" t="s">
        <v>102</v>
      </c>
      <c r="D409" s="33"/>
      <c r="E409" s="299">
        <f>CFs!$C$218</f>
        <v>1.0969941102134646</v>
      </c>
      <c r="F409" s="39">
        <f>$E409*F305</f>
        <v>0</v>
      </c>
      <c r="G409" s="39">
        <f>$E409*G305</f>
        <v>0</v>
      </c>
      <c r="H409" s="39">
        <f>$E409*H305</f>
        <v>0</v>
      </c>
      <c r="I409" s="39">
        <f>$E409*I305</f>
        <v>0</v>
      </c>
      <c r="J409" s="39">
        <f>$E409*J305</f>
        <v>0</v>
      </c>
      <c r="K409" s="39">
        <f>$E409*K305</f>
        <v>0</v>
      </c>
      <c r="L409" s="39">
        <f>$E409*L305</f>
        <v>0</v>
      </c>
      <c r="M409" s="39">
        <f>$E409*M305</f>
        <v>0</v>
      </c>
      <c r="N409" s="39">
        <f>$E409*N305</f>
        <v>0</v>
      </c>
      <c r="O409" s="39">
        <f>$E409*O305</f>
        <v>0</v>
      </c>
      <c r="P409" s="3"/>
      <c r="Q409" s="3"/>
      <c r="R409" s="3"/>
      <c r="S409" s="3"/>
      <c r="T409" s="3"/>
      <c r="U409" s="3"/>
      <c r="V409" s="3"/>
      <c r="W409" s="3"/>
      <c r="X409" s="3"/>
      <c r="Y409" s="3"/>
      <c r="Z409" s="3"/>
    </row>
    <row r="410" spans="1:26" ht="12.75" x14ac:dyDescent="0.2">
      <c r="A410" s="3"/>
      <c r="B410" s="33"/>
      <c r="C410" s="9" t="s">
        <v>105</v>
      </c>
      <c r="D410" s="33"/>
      <c r="E410" s="302">
        <v>1</v>
      </c>
      <c r="F410" s="39">
        <f>$E410*F306</f>
        <v>1.6</v>
      </c>
      <c r="G410" s="39">
        <f>$E410*G306</f>
        <v>1.5999999999999999</v>
      </c>
      <c r="H410" s="39">
        <f>$E410*H306</f>
        <v>1.5999999999999999</v>
      </c>
      <c r="I410" s="39">
        <f>$E410*I306</f>
        <v>1.6</v>
      </c>
      <c r="J410" s="39">
        <f>$E410*J306</f>
        <v>1.5999999999999999</v>
      </c>
      <c r="K410" s="39">
        <f>$E410*K306</f>
        <v>1.6</v>
      </c>
      <c r="L410" s="39">
        <f>$E410*L306</f>
        <v>1.5999999999999999</v>
      </c>
      <c r="M410" s="39">
        <f>$E410*M306</f>
        <v>1.6</v>
      </c>
      <c r="N410" s="39">
        <f>$E410*N306</f>
        <v>1.6</v>
      </c>
      <c r="O410" s="39">
        <f>$E410*O306</f>
        <v>1.5999999999999999</v>
      </c>
      <c r="P410" s="3"/>
      <c r="Q410" s="3"/>
      <c r="R410" s="3"/>
      <c r="S410" s="3"/>
      <c r="T410" s="3"/>
      <c r="U410" s="3"/>
      <c r="V410" s="3"/>
      <c r="W410" s="3"/>
      <c r="X410" s="3"/>
      <c r="Y410" s="3"/>
      <c r="Z410" s="3"/>
    </row>
    <row r="411" spans="1:26" ht="12.75" x14ac:dyDescent="0.2">
      <c r="A411" s="3"/>
      <c r="B411" s="33"/>
      <c r="C411" s="9" t="s">
        <v>108</v>
      </c>
      <c r="D411" s="33"/>
      <c r="E411" s="302">
        <v>1</v>
      </c>
      <c r="F411" s="39">
        <f>$E411*F307</f>
        <v>3.7</v>
      </c>
      <c r="G411" s="39">
        <f>$E411*G307</f>
        <v>3.7</v>
      </c>
      <c r="H411" s="39">
        <f>$E411*H307</f>
        <v>3.8</v>
      </c>
      <c r="I411" s="39">
        <f>$E411*I307</f>
        <v>3.8</v>
      </c>
      <c r="J411" s="39">
        <f>$E411*J307</f>
        <v>3.9</v>
      </c>
      <c r="K411" s="39">
        <f>$E411*K307</f>
        <v>3.9</v>
      </c>
      <c r="L411" s="39">
        <f>$E411*L307</f>
        <v>3.9</v>
      </c>
      <c r="M411" s="39">
        <f>$E411*M307</f>
        <v>4</v>
      </c>
      <c r="N411" s="39">
        <f>$E411*N307</f>
        <v>4</v>
      </c>
      <c r="O411" s="39">
        <f>$E411*O307</f>
        <v>4.0999999999999996</v>
      </c>
      <c r="P411" s="3"/>
      <c r="Q411" s="3"/>
      <c r="R411" s="3"/>
      <c r="S411" s="3"/>
      <c r="T411" s="3"/>
      <c r="U411" s="3"/>
      <c r="V411" s="3"/>
      <c r="W411" s="3"/>
      <c r="X411" s="3"/>
      <c r="Y411" s="3"/>
      <c r="Z411" s="3"/>
    </row>
    <row r="412" spans="1:26" ht="12.75" x14ac:dyDescent="0.2">
      <c r="A412" s="3"/>
      <c r="B412" s="43"/>
      <c r="C412" s="68" t="s">
        <v>217</v>
      </c>
      <c r="D412" s="68"/>
      <c r="E412" s="68"/>
      <c r="F412" s="69">
        <f t="shared" ref="F412:O412" si="106">SUM(F406:F411)</f>
        <v>15.866990482323114</v>
      </c>
      <c r="G412" s="69">
        <f t="shared" si="106"/>
        <v>15.866990482323114</v>
      </c>
      <c r="H412" s="69">
        <f t="shared" si="106"/>
        <v>15.966990482323112</v>
      </c>
      <c r="I412" s="69">
        <f t="shared" si="106"/>
        <v>15.966990482323112</v>
      </c>
      <c r="J412" s="69">
        <f t="shared" si="106"/>
        <v>16.066990482323114</v>
      </c>
      <c r="K412" s="69">
        <f t="shared" si="106"/>
        <v>16.066990482323114</v>
      </c>
      <c r="L412" s="69">
        <f t="shared" si="106"/>
        <v>16.066990482323114</v>
      </c>
      <c r="M412" s="69">
        <f t="shared" si="106"/>
        <v>16.166990482323115</v>
      </c>
      <c r="N412" s="69">
        <f t="shared" si="106"/>
        <v>16.166990482323115</v>
      </c>
      <c r="O412" s="69">
        <f t="shared" si="106"/>
        <v>16.266990482323116</v>
      </c>
      <c r="P412" s="3"/>
      <c r="Q412" s="3"/>
      <c r="R412" s="3"/>
      <c r="S412" s="3"/>
      <c r="T412" s="3"/>
      <c r="U412" s="3"/>
      <c r="V412" s="3"/>
      <c r="W412" s="3"/>
      <c r="X412" s="3"/>
      <c r="Y412" s="3"/>
      <c r="Z412" s="3"/>
    </row>
    <row r="413" spans="1:26" ht="12.75" x14ac:dyDescent="0.2">
      <c r="A413" s="3"/>
      <c r="B413" s="43"/>
      <c r="C413" s="74"/>
      <c r="D413" s="74"/>
      <c r="E413" s="74"/>
      <c r="F413" s="75"/>
      <c r="G413" s="75"/>
      <c r="H413" s="75"/>
      <c r="I413" s="75"/>
      <c r="J413" s="75"/>
      <c r="K413" s="75"/>
      <c r="L413" s="75"/>
      <c r="M413" s="75"/>
      <c r="N413" s="75"/>
      <c r="O413" s="75"/>
      <c r="P413" s="3"/>
      <c r="Q413" s="3"/>
      <c r="R413" s="3"/>
      <c r="S413" s="3"/>
      <c r="T413" s="3"/>
      <c r="U413" s="3"/>
      <c r="V413" s="3"/>
      <c r="W413" s="3"/>
      <c r="X413" s="3"/>
      <c r="Y413" s="3"/>
      <c r="Z413" s="3"/>
    </row>
    <row r="414" spans="1:26" ht="12.75" x14ac:dyDescent="0.2">
      <c r="A414" s="3"/>
      <c r="B414" s="43"/>
      <c r="C414" s="34" t="s">
        <v>287</v>
      </c>
      <c r="D414" s="74"/>
      <c r="E414" s="74"/>
      <c r="F414" s="75"/>
      <c r="G414" s="75"/>
      <c r="H414" s="75"/>
      <c r="I414" s="75"/>
      <c r="J414" s="75"/>
      <c r="K414" s="75"/>
      <c r="L414" s="75"/>
      <c r="M414" s="75"/>
      <c r="N414" s="75"/>
      <c r="O414" s="75"/>
      <c r="P414" s="3"/>
      <c r="Q414" s="3"/>
      <c r="R414" s="3"/>
      <c r="S414" s="3"/>
      <c r="T414" s="3"/>
      <c r="U414" s="3"/>
      <c r="V414" s="3"/>
      <c r="W414" s="3"/>
      <c r="X414" s="3"/>
      <c r="Y414" s="3"/>
      <c r="Z414" s="3"/>
    </row>
    <row r="415" spans="1:26" ht="12.75" x14ac:dyDescent="0.2">
      <c r="A415" s="3"/>
      <c r="B415" s="33"/>
      <c r="C415" s="27" t="s">
        <v>282</v>
      </c>
      <c r="D415" s="33"/>
      <c r="E415" s="302">
        <v>1.2</v>
      </c>
      <c r="F415" s="39">
        <f>$E415*F311</f>
        <v>4.3797599999999999E-3</v>
      </c>
      <c r="G415" s="39">
        <f>$E415*G311</f>
        <v>4.4277479999999996E-3</v>
      </c>
      <c r="H415" s="39">
        <f>$E415*H311</f>
        <v>4.4762158799999995E-3</v>
      </c>
      <c r="I415" s="39">
        <f>$E415*I311</f>
        <v>4.5251684387999994E-3</v>
      </c>
      <c r="J415" s="39">
        <f>$E415*J311</f>
        <v>4.5746105231879997E-3</v>
      </c>
      <c r="K415" s="39">
        <f>$E415*K311</f>
        <v>4.6245470284198799E-3</v>
      </c>
      <c r="L415" s="39">
        <f>$E415*L311</f>
        <v>4.6749828987040784E-3</v>
      </c>
      <c r="M415" s="39">
        <f>$E415*M311</f>
        <v>4.7259231276911189E-3</v>
      </c>
      <c r="N415" s="39">
        <f>$E415*N311</f>
        <v>4.777372758968031E-3</v>
      </c>
      <c r="O415" s="39">
        <f>$E415*O311</f>
        <v>4.8293368865577101E-3</v>
      </c>
      <c r="P415" s="3"/>
      <c r="Q415" s="3"/>
      <c r="R415" s="3"/>
      <c r="S415" s="3"/>
      <c r="T415" s="3"/>
      <c r="U415" s="3"/>
      <c r="V415" s="3"/>
      <c r="W415" s="3"/>
      <c r="X415" s="3"/>
      <c r="Y415" s="3"/>
      <c r="Z415" s="3"/>
    </row>
    <row r="416" spans="1:26" ht="12.75" x14ac:dyDescent="0.2">
      <c r="A416" s="3"/>
      <c r="B416" s="33"/>
      <c r="C416" s="27" t="s">
        <v>284</v>
      </c>
      <c r="D416" s="33"/>
      <c r="E416" s="302">
        <v>1</v>
      </c>
      <c r="F416" s="39">
        <f>$E416*F312</f>
        <v>0.7662065359477126</v>
      </c>
      <c r="G416" s="39">
        <f>$E416*G312</f>
        <v>0.77386860130718971</v>
      </c>
      <c r="H416" s="39">
        <f>$E416*H312</f>
        <v>0.78160728732026163</v>
      </c>
      <c r="I416" s="39">
        <f>$E416*I312</f>
        <v>0.78942336019346404</v>
      </c>
      <c r="J416" s="39">
        <f>$E416*J312</f>
        <v>0.79731759379539879</v>
      </c>
      <c r="K416" s="39">
        <f>$E416*K312</f>
        <v>0.80529076973335278</v>
      </c>
      <c r="L416" s="39">
        <f>$E416*L312</f>
        <v>0.81334367743068625</v>
      </c>
      <c r="M416" s="39">
        <f>$E416*M312</f>
        <v>0.82147711420499303</v>
      </c>
      <c r="N416" s="39">
        <f>$E416*N312</f>
        <v>0.82969188534704308</v>
      </c>
      <c r="O416" s="39">
        <f>$E416*O312</f>
        <v>0.83798880420051358</v>
      </c>
      <c r="P416" s="3"/>
      <c r="Q416" s="3"/>
      <c r="R416" s="3"/>
      <c r="S416" s="3"/>
      <c r="T416" s="3"/>
      <c r="U416" s="3"/>
      <c r="V416" s="3"/>
      <c r="W416" s="3"/>
      <c r="X416" s="3"/>
      <c r="Y416" s="3"/>
      <c r="Z416" s="3"/>
    </row>
    <row r="417" spans="1:26" ht="12.75" x14ac:dyDescent="0.2">
      <c r="A417" s="3"/>
      <c r="B417" s="43"/>
      <c r="C417" s="68" t="s">
        <v>289</v>
      </c>
      <c r="D417" s="36"/>
      <c r="E417" s="36"/>
      <c r="F417" s="40">
        <f>SUM(F415:F416)</f>
        <v>0.77058629594771255</v>
      </c>
      <c r="G417" s="40">
        <f t="shared" ref="G417:O417" si="107">SUM(G415:G416)</f>
        <v>0.77829634930718972</v>
      </c>
      <c r="H417" s="40">
        <f t="shared" si="107"/>
        <v>0.78608350320026166</v>
      </c>
      <c r="I417" s="40">
        <f t="shared" si="107"/>
        <v>0.79394852863226406</v>
      </c>
      <c r="J417" s="40">
        <f t="shared" si="107"/>
        <v>0.80189220431858677</v>
      </c>
      <c r="K417" s="40">
        <f t="shared" si="107"/>
        <v>0.80991531676177264</v>
      </c>
      <c r="L417" s="40">
        <f t="shared" si="107"/>
        <v>0.8180186603293903</v>
      </c>
      <c r="M417" s="40">
        <f t="shared" si="107"/>
        <v>0.82620303733268419</v>
      </c>
      <c r="N417" s="40">
        <f t="shared" si="107"/>
        <v>0.83446925810601114</v>
      </c>
      <c r="O417" s="40">
        <f t="shared" si="107"/>
        <v>0.84281814108707132</v>
      </c>
      <c r="P417" s="3"/>
      <c r="Q417" s="3"/>
      <c r="R417" s="3"/>
      <c r="S417" s="3"/>
      <c r="T417" s="3"/>
      <c r="U417" s="3"/>
      <c r="V417" s="3"/>
      <c r="W417" s="3"/>
      <c r="X417" s="3"/>
      <c r="Y417" s="3"/>
      <c r="Z417" s="3"/>
    </row>
    <row r="418" spans="1:26" ht="12.75" x14ac:dyDescent="0.2">
      <c r="A418" s="3"/>
      <c r="B418" s="43"/>
      <c r="C418" s="43"/>
      <c r="D418" s="43"/>
      <c r="E418" s="43"/>
      <c r="F418" s="101"/>
      <c r="G418" s="43"/>
      <c r="H418" s="43"/>
      <c r="I418" s="43"/>
      <c r="J418" s="43"/>
      <c r="K418" s="43"/>
      <c r="L418" s="43"/>
      <c r="M418" s="43"/>
      <c r="N418" s="43"/>
      <c r="O418" s="43"/>
      <c r="P418" s="3"/>
      <c r="Q418" s="3"/>
      <c r="R418" s="3"/>
      <c r="S418" s="3"/>
      <c r="T418" s="3"/>
      <c r="U418" s="3"/>
      <c r="V418" s="3"/>
      <c r="W418" s="3"/>
      <c r="X418" s="3"/>
      <c r="Y418" s="3"/>
      <c r="Z418" s="3"/>
    </row>
    <row r="419" spans="1:26" ht="12.75" x14ac:dyDescent="0.2">
      <c r="A419" s="3"/>
      <c r="B419" s="43"/>
      <c r="C419" s="70" t="s">
        <v>669</v>
      </c>
      <c r="D419" s="70"/>
      <c r="E419" s="70"/>
      <c r="F419" s="71">
        <f t="shared" ref="F419:O419" si="108">F398+F403+F412+F417</f>
        <v>131.93110030768258</v>
      </c>
      <c r="G419" s="71">
        <f t="shared" si="108"/>
        <v>131.93881036104207</v>
      </c>
      <c r="H419" s="71">
        <f t="shared" si="108"/>
        <v>132.04659751493514</v>
      </c>
      <c r="I419" s="71">
        <f t="shared" si="108"/>
        <v>132.05446254036713</v>
      </c>
      <c r="J419" s="71">
        <f t="shared" si="108"/>
        <v>132.16240621605348</v>
      </c>
      <c r="K419" s="71">
        <f t="shared" si="108"/>
        <v>132.17042932849665</v>
      </c>
      <c r="L419" s="71">
        <f t="shared" si="108"/>
        <v>132.17853267206428</v>
      </c>
      <c r="M419" s="71">
        <f t="shared" si="108"/>
        <v>132.28671704906756</v>
      </c>
      <c r="N419" s="71">
        <f t="shared" si="108"/>
        <v>132.29498326984088</v>
      </c>
      <c r="O419" s="71">
        <f t="shared" si="108"/>
        <v>132.40333215282195</v>
      </c>
      <c r="P419" s="3"/>
      <c r="Q419" s="3"/>
      <c r="R419" s="3"/>
      <c r="S419" s="3"/>
      <c r="T419" s="3"/>
      <c r="U419" s="3"/>
      <c r="V419" s="3"/>
      <c r="W419" s="3"/>
      <c r="X419" s="3"/>
      <c r="Y419" s="3"/>
      <c r="Z419" s="3"/>
    </row>
    <row r="420" spans="1:26" ht="12.75" x14ac:dyDescent="0.2">
      <c r="A420" s="3"/>
      <c r="B420" s="43"/>
      <c r="C420" s="43"/>
      <c r="D420" s="43"/>
      <c r="E420" s="43"/>
      <c r="F420" s="43"/>
      <c r="G420" s="43"/>
      <c r="H420" s="43"/>
      <c r="I420" s="43"/>
      <c r="J420" s="43"/>
      <c r="K420" s="43"/>
      <c r="L420" s="43"/>
      <c r="M420" s="43"/>
      <c r="N420" s="43"/>
      <c r="O420" s="43"/>
      <c r="P420" s="3"/>
      <c r="Q420" s="3"/>
      <c r="R420" s="3"/>
      <c r="S420" s="3"/>
      <c r="T420" s="3"/>
      <c r="U420" s="3"/>
      <c r="V420" s="3"/>
      <c r="W420" s="3"/>
      <c r="X420" s="3"/>
      <c r="Y420" s="3"/>
      <c r="Z420" s="3"/>
    </row>
    <row r="421" spans="1:26" ht="12.75" x14ac:dyDescent="0.2">
      <c r="A421" s="3"/>
      <c r="C421" s="72" t="s">
        <v>687</v>
      </c>
      <c r="D421" s="70"/>
      <c r="E421" s="70"/>
      <c r="F421" s="73">
        <f t="shared" ref="F421:O421" si="109">F387-F419</f>
        <v>-47.500155020765447</v>
      </c>
      <c r="G421" s="73">
        <f t="shared" si="109"/>
        <v>-46.663555621255767</v>
      </c>
      <c r="H421" s="73">
        <f t="shared" si="109"/>
        <v>-45.918590227750968</v>
      </c>
      <c r="I421" s="73">
        <f t="shared" si="109"/>
        <v>-45.065175180311144</v>
      </c>
      <c r="J421" s="73">
        <f t="shared" si="109"/>
        <v>-44.30322598239691</v>
      </c>
      <c r="K421" s="73">
        <f t="shared" si="109"/>
        <v>-43.432657292503521</v>
      </c>
      <c r="L421" s="73">
        <f t="shared" si="109"/>
        <v>-42.553382915711211</v>
      </c>
      <c r="M421" s="73">
        <f t="shared" si="109"/>
        <v>-41.765315795150983</v>
      </c>
      <c r="N421" s="73">
        <f t="shared" si="109"/>
        <v>-40.8683680033851</v>
      </c>
      <c r="O421" s="73">
        <f t="shared" si="109"/>
        <v>-40.062450733701638</v>
      </c>
      <c r="P421" s="3"/>
      <c r="Q421" s="3"/>
      <c r="R421" s="3"/>
      <c r="S421" s="3"/>
      <c r="T421" s="3"/>
      <c r="U421" s="3"/>
      <c r="V421" s="3"/>
      <c r="W421" s="3"/>
      <c r="X421" s="3"/>
      <c r="Y421" s="3"/>
      <c r="Z421" s="3"/>
    </row>
    <row r="422" spans="1:26" ht="12.75" x14ac:dyDescent="0.2">
      <c r="A422" s="3"/>
      <c r="B422" s="3"/>
      <c r="C422" s="3"/>
      <c r="D422" s="3"/>
      <c r="E422" s="3"/>
      <c r="F422" s="28"/>
      <c r="G422" s="3"/>
      <c r="H422" s="3"/>
      <c r="I422" s="3"/>
      <c r="J422" s="3"/>
      <c r="K422" s="3"/>
      <c r="L422" s="3"/>
      <c r="M422" s="3"/>
      <c r="N422" s="3"/>
      <c r="O422" s="3"/>
      <c r="P422" s="3"/>
      <c r="Q422" s="3"/>
      <c r="R422" s="3"/>
      <c r="S422" s="3"/>
      <c r="T422" s="3"/>
      <c r="U422" s="3"/>
      <c r="V422" s="3"/>
      <c r="W422" s="3"/>
      <c r="X422" s="3"/>
      <c r="Y422" s="3"/>
      <c r="Z422" s="3"/>
    </row>
    <row r="423" spans="1:26" ht="12.75" x14ac:dyDescent="0.2">
      <c r="A423" s="3"/>
      <c r="B423" s="32" t="s">
        <v>688</v>
      </c>
      <c r="C423" s="33"/>
      <c r="D423" s="33"/>
      <c r="E423" s="33"/>
      <c r="F423" s="33"/>
      <c r="G423" s="33"/>
      <c r="H423" s="33"/>
      <c r="I423" s="33"/>
      <c r="J423" s="33"/>
      <c r="K423" s="33"/>
      <c r="L423" s="33"/>
      <c r="M423" s="33"/>
      <c r="N423" s="33"/>
      <c r="O423" s="33"/>
      <c r="P423" s="3"/>
      <c r="Q423" s="3"/>
      <c r="R423" s="3"/>
      <c r="S423" s="3"/>
      <c r="T423" s="3"/>
      <c r="U423" s="3"/>
      <c r="V423" s="3"/>
      <c r="W423" s="3"/>
      <c r="X423" s="3"/>
      <c r="Y423" s="3"/>
      <c r="Z423" s="3"/>
    </row>
    <row r="424" spans="1:26" ht="12.75" x14ac:dyDescent="0.2">
      <c r="A424" s="3"/>
      <c r="C424" s="64" t="s">
        <v>671</v>
      </c>
      <c r="D424" s="33"/>
      <c r="E424" s="279" t="s">
        <v>666</v>
      </c>
      <c r="F424" s="33"/>
      <c r="G424" s="33"/>
      <c r="H424" s="33"/>
      <c r="I424" s="33"/>
      <c r="J424" s="33"/>
      <c r="K424" s="33"/>
      <c r="L424" s="33"/>
      <c r="M424" s="33"/>
      <c r="N424" s="33"/>
      <c r="O424" s="33"/>
      <c r="P424" s="3"/>
      <c r="Q424" s="3"/>
      <c r="R424" s="3"/>
      <c r="S424" s="3"/>
      <c r="T424" s="3"/>
      <c r="U424" s="3"/>
      <c r="V424" s="3"/>
      <c r="W424" s="3"/>
      <c r="X424" s="3"/>
      <c r="Y424" s="3"/>
      <c r="Z424" s="3"/>
    </row>
    <row r="425" spans="1:26" ht="12.75" x14ac:dyDescent="0.2">
      <c r="A425" s="3"/>
      <c r="B425" s="33"/>
      <c r="C425" s="9" t="s">
        <v>195</v>
      </c>
      <c r="D425" s="33"/>
      <c r="E425" s="299">
        <f>CFs!$C$201</f>
        <v>0.67056688148247967</v>
      </c>
      <c r="F425" s="39">
        <f>$E425*F321</f>
        <v>187.4282714558997</v>
      </c>
      <c r="G425" s="39">
        <f>$E425*G321</f>
        <v>196.79968502869471</v>
      </c>
      <c r="H425" s="39">
        <f>$E425*H321</f>
        <v>206.63966928012945</v>
      </c>
      <c r="I425" s="39">
        <f>$E425*I321</f>
        <v>216.97165274413592</v>
      </c>
      <c r="J425" s="39">
        <f>$E425*J321</f>
        <v>227.8202353813428</v>
      </c>
      <c r="K425" s="39">
        <f>$E425*K321</f>
        <v>234.28533931987465</v>
      </c>
      <c r="L425" s="39">
        <f>$E425*L321</f>
        <v>234.28533931987468</v>
      </c>
      <c r="M425" s="39">
        <f>$E425*M321</f>
        <v>234.28533931987465</v>
      </c>
      <c r="N425" s="39">
        <f>$E425*N321</f>
        <v>234.28533931987465</v>
      </c>
      <c r="O425" s="39">
        <f>$E425*O321</f>
        <v>234.28533931987465</v>
      </c>
      <c r="P425" s="3"/>
      <c r="Q425" s="3"/>
      <c r="R425" s="3"/>
      <c r="S425" s="3"/>
      <c r="T425" s="3"/>
      <c r="U425" s="3"/>
      <c r="V425" s="3"/>
      <c r="W425" s="3"/>
      <c r="X425" s="3"/>
      <c r="Y425" s="3"/>
      <c r="Z425" s="3"/>
    </row>
    <row r="426" spans="1:26" ht="12.75" x14ac:dyDescent="0.2">
      <c r="A426" s="3"/>
      <c r="B426" s="33"/>
      <c r="C426" s="27" t="s">
        <v>231</v>
      </c>
      <c r="D426" s="33"/>
      <c r="E426" s="299">
        <f>CFs!$C$201</f>
        <v>0.67056688148247967</v>
      </c>
      <c r="F426" s="39">
        <f>$E426*F322</f>
        <v>42.171361077577444</v>
      </c>
      <c r="G426" s="39">
        <f>$E426*G322</f>
        <v>39.359937005738942</v>
      </c>
      <c r="H426" s="39">
        <f>$E426*H322</f>
        <v>36.161942124022652</v>
      </c>
      <c r="I426" s="39">
        <f>$E426*I322</f>
        <v>32.545747911620388</v>
      </c>
      <c r="J426" s="39">
        <f>$E426*J322</f>
        <v>34.173035307201417</v>
      </c>
      <c r="K426" s="39">
        <f>$E426*K322</f>
        <v>35.142800897981196</v>
      </c>
      <c r="L426" s="39">
        <f>$E426*L322</f>
        <v>35.142800897981196</v>
      </c>
      <c r="M426" s="39">
        <f>$E426*M322</f>
        <v>35.142800897981196</v>
      </c>
      <c r="N426" s="39">
        <f>$E426*N322</f>
        <v>35.142800897981196</v>
      </c>
      <c r="O426" s="39">
        <f>$E426*O322</f>
        <v>35.142800897981196</v>
      </c>
      <c r="P426" s="3"/>
      <c r="Q426" s="3"/>
      <c r="R426" s="3"/>
      <c r="S426" s="3"/>
      <c r="T426" s="3"/>
      <c r="U426" s="3"/>
      <c r="V426" s="3"/>
      <c r="W426" s="3"/>
      <c r="X426" s="3"/>
      <c r="Y426" s="3"/>
      <c r="Z426" s="3"/>
    </row>
    <row r="427" spans="1:26" ht="12.75" x14ac:dyDescent="0.2">
      <c r="A427" s="3"/>
      <c r="B427" s="33"/>
      <c r="C427" s="36" t="s">
        <v>248</v>
      </c>
      <c r="D427" s="36"/>
      <c r="E427" s="36"/>
      <c r="F427" s="59">
        <f>F425-F426</f>
        <v>145.25691037832226</v>
      </c>
      <c r="G427" s="59">
        <f t="shared" ref="G427:O427" si="110">G425-G426</f>
        <v>157.43974802295577</v>
      </c>
      <c r="H427" s="59">
        <f t="shared" si="110"/>
        <v>170.47772715610679</v>
      </c>
      <c r="I427" s="59">
        <f t="shared" si="110"/>
        <v>184.42590483251553</v>
      </c>
      <c r="J427" s="59">
        <f t="shared" si="110"/>
        <v>193.64720007414138</v>
      </c>
      <c r="K427" s="59">
        <f t="shared" si="110"/>
        <v>199.14253842189345</v>
      </c>
      <c r="L427" s="59">
        <f t="shared" si="110"/>
        <v>199.14253842189348</v>
      </c>
      <c r="M427" s="59">
        <f t="shared" si="110"/>
        <v>199.14253842189345</v>
      </c>
      <c r="N427" s="59">
        <f t="shared" si="110"/>
        <v>199.14253842189345</v>
      </c>
      <c r="O427" s="59">
        <f t="shared" si="110"/>
        <v>199.14253842189345</v>
      </c>
      <c r="P427" s="3"/>
      <c r="Q427" s="3"/>
      <c r="R427" s="3"/>
      <c r="S427" s="3"/>
      <c r="T427" s="3"/>
      <c r="U427" s="3"/>
      <c r="V427" s="3"/>
      <c r="W427" s="3"/>
      <c r="X427" s="3"/>
      <c r="Y427" s="3"/>
      <c r="Z427" s="3"/>
    </row>
    <row r="428" spans="1:26" ht="12.75" x14ac:dyDescent="0.2">
      <c r="A428" s="3"/>
      <c r="B428" s="33"/>
      <c r="C428" s="27"/>
      <c r="D428" s="33"/>
      <c r="E428" s="33"/>
      <c r="F428" s="37"/>
      <c r="G428" s="37"/>
      <c r="H428" s="37"/>
      <c r="I428" s="37"/>
      <c r="J428" s="37"/>
      <c r="K428" s="37"/>
      <c r="L428" s="37"/>
      <c r="M428" s="37"/>
      <c r="N428" s="37"/>
      <c r="O428" s="37"/>
      <c r="P428" s="3"/>
      <c r="Q428" s="3"/>
      <c r="R428" s="3"/>
      <c r="S428" s="3"/>
      <c r="T428" s="3"/>
      <c r="U428" s="3"/>
      <c r="V428" s="3"/>
      <c r="W428" s="3"/>
      <c r="X428" s="3"/>
      <c r="Y428" s="3"/>
      <c r="Z428" s="3"/>
    </row>
    <row r="429" spans="1:26" ht="12.75" x14ac:dyDescent="0.2">
      <c r="A429" s="3"/>
      <c r="B429" s="33"/>
      <c r="C429" s="66" t="s">
        <v>675</v>
      </c>
      <c r="D429" s="66"/>
      <c r="E429" s="66"/>
      <c r="F429" s="67">
        <f>F427</f>
        <v>145.25691037832226</v>
      </c>
      <c r="G429" s="67">
        <f t="shared" ref="G429:O429" si="111">G427</f>
        <v>157.43974802295577</v>
      </c>
      <c r="H429" s="67">
        <f t="shared" si="111"/>
        <v>170.47772715610679</v>
      </c>
      <c r="I429" s="67">
        <f t="shared" si="111"/>
        <v>184.42590483251553</v>
      </c>
      <c r="J429" s="67">
        <f t="shared" si="111"/>
        <v>193.64720007414138</v>
      </c>
      <c r="K429" s="67">
        <f t="shared" si="111"/>
        <v>199.14253842189345</v>
      </c>
      <c r="L429" s="67">
        <f t="shared" si="111"/>
        <v>199.14253842189348</v>
      </c>
      <c r="M429" s="67">
        <f t="shared" si="111"/>
        <v>199.14253842189345</v>
      </c>
      <c r="N429" s="67">
        <f t="shared" si="111"/>
        <v>199.14253842189345</v>
      </c>
      <c r="O429" s="67">
        <f t="shared" si="111"/>
        <v>199.14253842189345</v>
      </c>
      <c r="P429" s="3"/>
      <c r="Q429" s="3"/>
      <c r="R429" s="3"/>
      <c r="S429" s="3"/>
      <c r="T429" s="3"/>
      <c r="U429" s="3"/>
      <c r="V429" s="3"/>
      <c r="W429" s="3"/>
      <c r="X429" s="3"/>
      <c r="Y429" s="3"/>
      <c r="Z429" s="3"/>
    </row>
    <row r="430" spans="1:26" ht="12.75" x14ac:dyDescent="0.2">
      <c r="A430" s="3"/>
      <c r="B430" s="33"/>
      <c r="C430" s="33"/>
      <c r="D430" s="33"/>
      <c r="E430" s="33"/>
      <c r="F430" s="33"/>
      <c r="G430" s="33"/>
      <c r="H430" s="33"/>
      <c r="I430" s="33"/>
      <c r="J430" s="33"/>
      <c r="K430" s="33"/>
      <c r="L430" s="33"/>
      <c r="M430" s="33"/>
      <c r="N430" s="33"/>
      <c r="O430" s="33"/>
      <c r="P430" s="3"/>
      <c r="Q430" s="3"/>
      <c r="R430" s="3"/>
      <c r="S430" s="3"/>
      <c r="T430" s="3"/>
      <c r="U430" s="3"/>
      <c r="V430" s="3"/>
      <c r="W430" s="3"/>
      <c r="X430" s="3"/>
      <c r="Y430" s="3"/>
      <c r="Z430" s="3"/>
    </row>
    <row r="431" spans="1:26" ht="12.75" x14ac:dyDescent="0.2">
      <c r="A431" s="3"/>
      <c r="C431" s="64" t="s">
        <v>670</v>
      </c>
      <c r="D431" s="33"/>
      <c r="E431" s="33"/>
      <c r="F431" s="33"/>
      <c r="G431" s="33"/>
      <c r="H431" s="33"/>
      <c r="I431" s="33"/>
      <c r="J431" s="33"/>
      <c r="K431" s="33"/>
      <c r="L431" s="33"/>
      <c r="M431" s="33"/>
      <c r="N431" s="33"/>
      <c r="O431" s="33"/>
      <c r="P431" s="3"/>
      <c r="Q431" s="3"/>
      <c r="R431" s="3"/>
      <c r="S431" s="3"/>
      <c r="T431" s="3"/>
      <c r="U431" s="3"/>
      <c r="V431" s="3"/>
      <c r="W431" s="3"/>
      <c r="X431" s="3"/>
      <c r="Y431" s="3"/>
      <c r="Z431" s="3"/>
    </row>
    <row r="432" spans="1:26" ht="12.75" x14ac:dyDescent="0.2">
      <c r="A432" s="3"/>
      <c r="B432" s="33"/>
      <c r="C432" s="34" t="s">
        <v>218</v>
      </c>
      <c r="D432" s="33"/>
      <c r="E432" s="33"/>
      <c r="F432" s="33"/>
      <c r="G432" s="33"/>
      <c r="H432" s="33"/>
      <c r="I432" s="33"/>
      <c r="J432" s="33"/>
      <c r="K432" s="33"/>
      <c r="L432" s="33"/>
      <c r="M432" s="33"/>
      <c r="N432" s="33"/>
      <c r="O432" s="33"/>
      <c r="P432" s="3"/>
      <c r="Q432" s="3"/>
      <c r="R432" s="3"/>
      <c r="S432" s="3"/>
      <c r="T432" s="3"/>
      <c r="U432" s="3"/>
      <c r="V432" s="3"/>
      <c r="W432" s="3"/>
      <c r="X432" s="3"/>
      <c r="Y432" s="3"/>
      <c r="Z432" s="3"/>
    </row>
    <row r="433" spans="1:26" ht="12.75" x14ac:dyDescent="0.2">
      <c r="A433" s="3"/>
      <c r="B433" s="33"/>
      <c r="C433" s="94" t="s">
        <v>272</v>
      </c>
      <c r="D433" s="33"/>
      <c r="E433" s="302">
        <v>1</v>
      </c>
      <c r="F433" s="39">
        <f>$E433*F338</f>
        <v>14.71</v>
      </c>
      <c r="G433" s="39">
        <f>$E433*G338</f>
        <v>14.71</v>
      </c>
      <c r="H433" s="39">
        <f>$E433*H338</f>
        <v>14.71</v>
      </c>
      <c r="I433" s="39">
        <f>$E433*I338</f>
        <v>14.709999999999999</v>
      </c>
      <c r="J433" s="39">
        <f>$E433*J338</f>
        <v>14.709999999999999</v>
      </c>
      <c r="K433" s="39">
        <f>$E433*K338</f>
        <v>14.71</v>
      </c>
      <c r="L433" s="39">
        <f>$E433*L338</f>
        <v>14.71</v>
      </c>
      <c r="M433" s="39">
        <f>$E433*M338</f>
        <v>14.709999999999999</v>
      </c>
      <c r="N433" s="39">
        <f>$E433*N338</f>
        <v>14.709999999999999</v>
      </c>
      <c r="O433" s="39">
        <f>$E433*O338</f>
        <v>14.709999999999999</v>
      </c>
      <c r="P433" s="3"/>
      <c r="Q433" s="3"/>
      <c r="R433" s="3"/>
      <c r="S433" s="3"/>
      <c r="T433" s="3"/>
      <c r="U433" s="3"/>
      <c r="V433" s="3"/>
      <c r="W433" s="3"/>
      <c r="X433" s="3"/>
      <c r="Y433" s="3"/>
      <c r="Z433" s="3"/>
    </row>
    <row r="434" spans="1:26" ht="12.75" x14ac:dyDescent="0.2">
      <c r="A434" s="3"/>
      <c r="B434" s="33"/>
      <c r="C434" s="94" t="s">
        <v>273</v>
      </c>
      <c r="D434" s="33"/>
      <c r="E434" s="302">
        <v>1</v>
      </c>
      <c r="F434" s="39">
        <f>$E434*F339</f>
        <v>8.92</v>
      </c>
      <c r="G434" s="39">
        <f>$E434*G339</f>
        <v>8.92</v>
      </c>
      <c r="H434" s="39">
        <f>$E434*H339</f>
        <v>8.92</v>
      </c>
      <c r="I434" s="39">
        <f>$E434*I339</f>
        <v>8.92</v>
      </c>
      <c r="J434" s="39">
        <f>$E434*J339</f>
        <v>8.92</v>
      </c>
      <c r="K434" s="39">
        <f>$E434*K339</f>
        <v>8.92</v>
      </c>
      <c r="L434" s="39">
        <f>$E434*L339</f>
        <v>8.92</v>
      </c>
      <c r="M434" s="39">
        <f>$E434*M339</f>
        <v>8.92</v>
      </c>
      <c r="N434" s="39">
        <f>$E434*N339</f>
        <v>8.92</v>
      </c>
      <c r="O434" s="39">
        <f>$E434*O339</f>
        <v>8.92</v>
      </c>
      <c r="P434" s="3"/>
      <c r="Q434" s="3"/>
      <c r="R434" s="3"/>
      <c r="S434" s="3"/>
      <c r="T434" s="3"/>
      <c r="U434" s="3"/>
      <c r="V434" s="3"/>
      <c r="W434" s="3"/>
      <c r="X434" s="3"/>
      <c r="Y434" s="3"/>
      <c r="Z434" s="3"/>
    </row>
    <row r="435" spans="1:26" ht="12.75" x14ac:dyDescent="0.2">
      <c r="A435" s="3"/>
      <c r="B435" s="33"/>
      <c r="C435" s="94" t="s">
        <v>274</v>
      </c>
      <c r="D435" s="33"/>
      <c r="E435" s="302">
        <v>1</v>
      </c>
      <c r="F435" s="39">
        <f>$E435*F340</f>
        <v>11.93</v>
      </c>
      <c r="G435" s="39">
        <f>$E435*G340</f>
        <v>11.93</v>
      </c>
      <c r="H435" s="39">
        <f>$E435*H340</f>
        <v>11.93</v>
      </c>
      <c r="I435" s="39">
        <f>$E435*I340</f>
        <v>11.930000000000001</v>
      </c>
      <c r="J435" s="39">
        <f>$E435*J340</f>
        <v>11.930000000000001</v>
      </c>
      <c r="K435" s="39">
        <f>$E435*K340</f>
        <v>11.93</v>
      </c>
      <c r="L435" s="39">
        <f>$E435*L340</f>
        <v>11.930000000000001</v>
      </c>
      <c r="M435" s="39">
        <f>$E435*M340</f>
        <v>11.930000000000001</v>
      </c>
      <c r="N435" s="39">
        <f>$E435*N340</f>
        <v>11.93</v>
      </c>
      <c r="O435" s="39">
        <f>$E435*O340</f>
        <v>11.93</v>
      </c>
      <c r="P435" s="3"/>
      <c r="Q435" s="3"/>
      <c r="R435" s="3"/>
      <c r="S435" s="3"/>
      <c r="T435" s="3"/>
      <c r="U435" s="3"/>
      <c r="V435" s="3"/>
      <c r="W435" s="3"/>
      <c r="X435" s="3"/>
      <c r="Y435" s="3"/>
      <c r="Z435" s="3"/>
    </row>
    <row r="436" spans="1:26" ht="12.75" x14ac:dyDescent="0.2">
      <c r="A436" s="3"/>
      <c r="B436" s="33"/>
      <c r="C436" s="94" t="s">
        <v>275</v>
      </c>
      <c r="D436" s="33"/>
      <c r="E436" s="302">
        <v>1</v>
      </c>
      <c r="F436" s="39">
        <f>$E436*F341</f>
        <v>17.406399999999998</v>
      </c>
      <c r="G436" s="39">
        <f>$E436*G341</f>
        <v>18.276719999999997</v>
      </c>
      <c r="H436" s="39">
        <f>$E436*H341</f>
        <v>19.190556000000001</v>
      </c>
      <c r="I436" s="39">
        <f>$E436*I341</f>
        <v>20.150083800000001</v>
      </c>
      <c r="J436" s="39">
        <f>$E436*J341</f>
        <v>21.157587990000003</v>
      </c>
      <c r="K436" s="39">
        <f>$E436*K341</f>
        <v>21.758000000000003</v>
      </c>
      <c r="L436" s="39">
        <f>$E436*L341</f>
        <v>21.757999999999999</v>
      </c>
      <c r="M436" s="39">
        <f>$E436*M341</f>
        <v>21.757999999999999</v>
      </c>
      <c r="N436" s="39">
        <f>$E436*N341</f>
        <v>21.758000000000003</v>
      </c>
      <c r="O436" s="39">
        <f>$E436*O341</f>
        <v>21.758000000000003</v>
      </c>
      <c r="P436" s="3"/>
      <c r="Q436" s="3"/>
      <c r="R436" s="3"/>
      <c r="S436" s="3"/>
      <c r="T436" s="3"/>
      <c r="U436" s="3"/>
      <c r="V436" s="3"/>
      <c r="W436" s="3"/>
      <c r="X436" s="3"/>
      <c r="Y436" s="3"/>
      <c r="Z436" s="3"/>
    </row>
    <row r="437" spans="1:26" ht="12.75" x14ac:dyDescent="0.2">
      <c r="A437" s="3"/>
      <c r="B437" s="35"/>
      <c r="C437" s="84" t="s">
        <v>293</v>
      </c>
      <c r="D437" s="35"/>
      <c r="E437" s="302">
        <v>1</v>
      </c>
      <c r="F437" s="39">
        <f>$E437*F342</f>
        <v>11.7325</v>
      </c>
      <c r="G437" s="39">
        <f>$E437*G342</f>
        <v>11.7325</v>
      </c>
      <c r="H437" s="39">
        <f>$E437*H342</f>
        <v>11.732500000000002</v>
      </c>
      <c r="I437" s="39">
        <f>$E437*I342</f>
        <v>11.7325</v>
      </c>
      <c r="J437" s="39">
        <f>$E437*J342</f>
        <v>11.732500000000002</v>
      </c>
      <c r="K437" s="39">
        <f>$E437*K342</f>
        <v>11.7325</v>
      </c>
      <c r="L437" s="39">
        <f>$E437*L342</f>
        <v>11.732500000000002</v>
      </c>
      <c r="M437" s="39">
        <f>$E437*M342</f>
        <v>11.7325</v>
      </c>
      <c r="N437" s="39">
        <f>$E437*N342</f>
        <v>11.7325</v>
      </c>
      <c r="O437" s="39">
        <f>$E437*O342</f>
        <v>11.7325</v>
      </c>
      <c r="P437" s="3"/>
      <c r="Q437" s="3"/>
      <c r="R437" s="3"/>
      <c r="S437" s="3"/>
      <c r="T437" s="3"/>
      <c r="U437" s="3"/>
      <c r="V437" s="3"/>
      <c r="W437" s="3"/>
      <c r="X437" s="3"/>
      <c r="Y437" s="3"/>
      <c r="Z437" s="3"/>
    </row>
    <row r="438" spans="1:26" ht="12.75" x14ac:dyDescent="0.2">
      <c r="A438" s="3"/>
      <c r="B438" s="33"/>
      <c r="C438" s="94" t="s">
        <v>278</v>
      </c>
      <c r="D438" s="33"/>
      <c r="E438" s="302">
        <v>1</v>
      </c>
      <c r="F438" s="39">
        <f>$E438*F343</f>
        <v>60.69</v>
      </c>
      <c r="G438" s="39">
        <f>$E438*G343</f>
        <v>60.690000000000005</v>
      </c>
      <c r="H438" s="39">
        <f>$E438*H343</f>
        <v>60.69</v>
      </c>
      <c r="I438" s="39">
        <f>$E438*I343</f>
        <v>60.690000000000005</v>
      </c>
      <c r="J438" s="39">
        <f>$E438*J343</f>
        <v>60.690000000000005</v>
      </c>
      <c r="K438" s="39">
        <f>$E438*K343</f>
        <v>60.69</v>
      </c>
      <c r="L438" s="39">
        <f>$E438*L343</f>
        <v>60.69</v>
      </c>
      <c r="M438" s="39">
        <f>$E438*M343</f>
        <v>60.69</v>
      </c>
      <c r="N438" s="39">
        <f>$E438*N343</f>
        <v>60.69</v>
      </c>
      <c r="O438" s="39">
        <f>$E438*O343</f>
        <v>60.69</v>
      </c>
      <c r="P438" s="3"/>
      <c r="Q438" s="3"/>
      <c r="R438" s="3"/>
      <c r="S438" s="3"/>
      <c r="T438" s="3"/>
      <c r="U438" s="3"/>
      <c r="V438" s="3"/>
      <c r="W438" s="3"/>
      <c r="X438" s="3"/>
      <c r="Y438" s="3"/>
      <c r="Z438" s="3"/>
    </row>
    <row r="439" spans="1:26" ht="12.75" x14ac:dyDescent="0.2">
      <c r="A439" s="3"/>
      <c r="B439" s="33"/>
      <c r="C439" s="9" t="s">
        <v>85</v>
      </c>
      <c r="D439" s="33"/>
      <c r="E439" s="302">
        <v>1</v>
      </c>
      <c r="F439" s="39">
        <f>$E439*F344</f>
        <v>17.34</v>
      </c>
      <c r="G439" s="39">
        <f>$E439*G344</f>
        <v>17.34</v>
      </c>
      <c r="H439" s="39">
        <f>$E439*H344</f>
        <v>17.339999999999996</v>
      </c>
      <c r="I439" s="39">
        <f>$E439*I344</f>
        <v>17.34</v>
      </c>
      <c r="J439" s="39">
        <f>$E439*J344</f>
        <v>0</v>
      </c>
      <c r="K439" s="39">
        <f>$E439*K344</f>
        <v>0</v>
      </c>
      <c r="L439" s="39">
        <f>$E439*L344</f>
        <v>0</v>
      </c>
      <c r="M439" s="39">
        <f>$E439*M344</f>
        <v>0</v>
      </c>
      <c r="N439" s="39">
        <f>$E439*N344</f>
        <v>0</v>
      </c>
      <c r="O439" s="39">
        <f>$E439*O344</f>
        <v>0</v>
      </c>
      <c r="P439" s="3"/>
      <c r="Q439" s="3"/>
      <c r="R439" s="3"/>
      <c r="S439" s="3"/>
      <c r="T439" s="3"/>
      <c r="U439" s="3"/>
      <c r="V439" s="3"/>
      <c r="W439" s="3"/>
      <c r="X439" s="3"/>
      <c r="Y439" s="3"/>
      <c r="Z439" s="3"/>
    </row>
    <row r="440" spans="1:26" ht="12.75" x14ac:dyDescent="0.2">
      <c r="A440" s="3"/>
      <c r="B440" s="33"/>
      <c r="C440" s="36" t="s">
        <v>207</v>
      </c>
      <c r="D440" s="36"/>
      <c r="E440" s="36"/>
      <c r="F440" s="59">
        <f>SUM(F433:F439)*(1+$F$55)</f>
        <v>142.72889999999998</v>
      </c>
      <c r="G440" s="59">
        <f>SUM(G433:G439)*(1+$F$55)</f>
        <v>143.59922</v>
      </c>
      <c r="H440" s="59">
        <f t="shared" ref="H440:N440" si="112">SUM(H433:H439)*(1+$F$55)</f>
        <v>144.51305600000001</v>
      </c>
      <c r="I440" s="59">
        <f t="shared" si="112"/>
        <v>145.47258380000002</v>
      </c>
      <c r="J440" s="59">
        <f t="shared" si="112"/>
        <v>129.14008799000001</v>
      </c>
      <c r="K440" s="59">
        <f t="shared" si="112"/>
        <v>129.7405</v>
      </c>
      <c r="L440" s="59">
        <f t="shared" si="112"/>
        <v>129.7405</v>
      </c>
      <c r="M440" s="59">
        <f t="shared" si="112"/>
        <v>129.7405</v>
      </c>
      <c r="N440" s="59">
        <f t="shared" si="112"/>
        <v>129.7405</v>
      </c>
      <c r="O440" s="59">
        <f>SUM(O433:O439)*(1+$F$55)</f>
        <v>129.7405</v>
      </c>
      <c r="P440" s="3"/>
      <c r="Q440" s="3"/>
      <c r="R440" s="3"/>
      <c r="S440" s="3"/>
      <c r="T440" s="3"/>
      <c r="U440" s="3"/>
      <c r="V440" s="3"/>
      <c r="W440" s="3"/>
      <c r="X440" s="3"/>
      <c r="Y440" s="3"/>
      <c r="Z440" s="3"/>
    </row>
    <row r="441" spans="1:26" ht="12.75" x14ac:dyDescent="0.2">
      <c r="A441" s="3"/>
      <c r="B441" s="33"/>
      <c r="C441" s="33"/>
      <c r="D441" s="33"/>
      <c r="E441" s="33"/>
      <c r="F441" s="33"/>
      <c r="G441" s="33"/>
      <c r="H441" s="33"/>
      <c r="I441" s="33"/>
      <c r="J441" s="33"/>
      <c r="K441" s="33"/>
      <c r="L441" s="33"/>
      <c r="M441" s="33"/>
      <c r="N441" s="33"/>
      <c r="O441" s="33"/>
      <c r="P441" s="3"/>
      <c r="Q441" s="3"/>
      <c r="R441" s="3"/>
      <c r="S441" s="3"/>
      <c r="T441" s="3"/>
      <c r="U441" s="3"/>
      <c r="V441" s="3"/>
      <c r="W441" s="3"/>
      <c r="X441" s="3"/>
      <c r="Y441" s="3"/>
      <c r="Z441" s="3"/>
    </row>
    <row r="442" spans="1:26" ht="12.75" x14ac:dyDescent="0.2">
      <c r="A442" s="3"/>
      <c r="B442" s="33"/>
      <c r="C442" s="34" t="s">
        <v>215</v>
      </c>
      <c r="D442" s="33"/>
      <c r="E442" s="33"/>
      <c r="F442" s="41"/>
      <c r="G442" s="41"/>
      <c r="H442" s="41"/>
      <c r="I442" s="41"/>
      <c r="J442" s="41"/>
      <c r="K442" s="41"/>
      <c r="L442" s="41"/>
      <c r="M442" s="41"/>
      <c r="N442" s="41"/>
      <c r="O442" s="41"/>
      <c r="P442" s="3"/>
      <c r="Q442" s="3"/>
      <c r="R442" s="3"/>
      <c r="S442" s="3"/>
      <c r="T442" s="3"/>
      <c r="U442" s="3"/>
      <c r="V442" s="3"/>
      <c r="W442" s="3"/>
      <c r="X442" s="3"/>
      <c r="Y442" s="3"/>
      <c r="Z442" s="3"/>
    </row>
    <row r="443" spans="1:26" ht="12.75" x14ac:dyDescent="0.2">
      <c r="A443" s="3"/>
      <c r="B443" s="33"/>
      <c r="C443" s="9" t="s">
        <v>110</v>
      </c>
      <c r="D443" s="33"/>
      <c r="E443" s="302">
        <v>1</v>
      </c>
      <c r="F443" s="39">
        <f>$E443*F348</f>
        <v>2.6819999999999999</v>
      </c>
      <c r="G443" s="39">
        <f>$E443*G348</f>
        <v>2.6819999999999995</v>
      </c>
      <c r="H443" s="39">
        <f>$E443*H348</f>
        <v>2.6819999999999999</v>
      </c>
      <c r="I443" s="39">
        <f>$E443*I348</f>
        <v>2.6819999999999999</v>
      </c>
      <c r="J443" s="39">
        <f>$E443*J348</f>
        <v>2.6819999999999999</v>
      </c>
      <c r="K443" s="39">
        <f>$E443*K348</f>
        <v>2.6820000000000004</v>
      </c>
      <c r="L443" s="39">
        <f>$E443*L348</f>
        <v>2.6819999999999999</v>
      </c>
      <c r="M443" s="39">
        <f>$E443*M348</f>
        <v>2.6819999999999999</v>
      </c>
      <c r="N443" s="39">
        <f>$E443*N348</f>
        <v>2.6819999999999999</v>
      </c>
      <c r="O443" s="39">
        <f>$E443*O348</f>
        <v>2.6819999999999995</v>
      </c>
      <c r="P443" s="3"/>
      <c r="Q443" s="3"/>
      <c r="R443" s="3"/>
      <c r="S443" s="3"/>
      <c r="T443" s="3"/>
      <c r="U443" s="3"/>
      <c r="V443" s="3"/>
      <c r="W443" s="3"/>
      <c r="X443" s="3"/>
      <c r="Y443" s="3"/>
      <c r="Z443" s="3"/>
    </row>
    <row r="444" spans="1:26" ht="12.75" x14ac:dyDescent="0.2">
      <c r="A444" s="3"/>
      <c r="B444" s="33"/>
      <c r="C444" s="27" t="s">
        <v>283</v>
      </c>
      <c r="D444" s="33"/>
      <c r="E444" s="302">
        <v>1</v>
      </c>
      <c r="F444" s="39">
        <f>$E444*F349</f>
        <v>2.4788235294117649</v>
      </c>
      <c r="G444" s="39">
        <f>$E444*G349</f>
        <v>2.4788235294117649</v>
      </c>
      <c r="H444" s="39">
        <f>$E444*H349</f>
        <v>2.4788235294117649</v>
      </c>
      <c r="I444" s="39">
        <f>$E444*I349</f>
        <v>2.4788235294117649</v>
      </c>
      <c r="J444" s="39">
        <f>$E444*J349</f>
        <v>2.4788235294117649</v>
      </c>
      <c r="K444" s="39">
        <f>$E444*K349</f>
        <v>2.4788235294117649</v>
      </c>
      <c r="L444" s="39">
        <f>$E444*L349</f>
        <v>2.4788235294117649</v>
      </c>
      <c r="M444" s="39">
        <f>$E444*M349</f>
        <v>2.4788235294117649</v>
      </c>
      <c r="N444" s="39">
        <f>$E444*N349</f>
        <v>2.4788235294117649</v>
      </c>
      <c r="O444" s="39">
        <f>$E444*O349</f>
        <v>2.4788235294117649</v>
      </c>
      <c r="P444" s="3"/>
      <c r="Q444" s="3"/>
      <c r="R444" s="3"/>
      <c r="S444" s="3"/>
      <c r="T444" s="3"/>
      <c r="U444" s="3"/>
      <c r="V444" s="3"/>
      <c r="W444" s="3"/>
      <c r="X444" s="3"/>
      <c r="Y444" s="3"/>
      <c r="Z444" s="3"/>
    </row>
    <row r="445" spans="1:26" ht="12.75" x14ac:dyDescent="0.2">
      <c r="A445" s="3"/>
      <c r="B445" s="33"/>
      <c r="C445" s="31" t="s">
        <v>216</v>
      </c>
      <c r="D445" s="36"/>
      <c r="E445" s="36"/>
      <c r="F445" s="40">
        <f t="shared" ref="F445:O445" si="113">SUM(F443:F444)</f>
        <v>5.1608235294117648</v>
      </c>
      <c r="G445" s="40">
        <f t="shared" si="113"/>
        <v>5.1608235294117648</v>
      </c>
      <c r="H445" s="40">
        <f t="shared" si="113"/>
        <v>5.1608235294117648</v>
      </c>
      <c r="I445" s="40">
        <f t="shared" si="113"/>
        <v>5.1608235294117648</v>
      </c>
      <c r="J445" s="40">
        <f t="shared" si="113"/>
        <v>5.1608235294117648</v>
      </c>
      <c r="K445" s="40">
        <f t="shared" si="113"/>
        <v>5.1608235294117648</v>
      </c>
      <c r="L445" s="40">
        <f t="shared" si="113"/>
        <v>5.1608235294117648</v>
      </c>
      <c r="M445" s="40">
        <f t="shared" si="113"/>
        <v>5.1608235294117648</v>
      </c>
      <c r="N445" s="40">
        <f t="shared" si="113"/>
        <v>5.1608235294117648</v>
      </c>
      <c r="O445" s="40">
        <f t="shared" si="113"/>
        <v>5.1608235294117648</v>
      </c>
      <c r="P445" s="3"/>
      <c r="Q445" s="3"/>
      <c r="R445" s="3"/>
      <c r="S445" s="3"/>
      <c r="T445" s="3"/>
      <c r="U445" s="3"/>
      <c r="V445" s="3"/>
      <c r="W445" s="3"/>
      <c r="X445" s="3"/>
      <c r="Y445" s="3"/>
      <c r="Z445" s="3"/>
    </row>
    <row r="446" spans="1:26" ht="12.75" x14ac:dyDescent="0.2">
      <c r="A446" s="3"/>
      <c r="B446" s="33"/>
      <c r="C446" s="35"/>
      <c r="D446" s="33"/>
      <c r="E446" s="33"/>
      <c r="F446" s="41"/>
      <c r="G446" s="41"/>
      <c r="H446" s="41"/>
      <c r="I446" s="41"/>
      <c r="J446" s="41"/>
      <c r="K446" s="41"/>
      <c r="L446" s="41"/>
      <c r="M446" s="41"/>
      <c r="N446" s="41"/>
      <c r="O446" s="41"/>
      <c r="P446" s="3"/>
      <c r="Q446" s="3"/>
      <c r="R446" s="3"/>
      <c r="S446" s="3"/>
      <c r="T446" s="3"/>
      <c r="U446" s="3"/>
      <c r="V446" s="3"/>
      <c r="W446" s="3"/>
      <c r="X446" s="3"/>
      <c r="Y446" s="3"/>
      <c r="Z446" s="3"/>
    </row>
    <row r="447" spans="1:26" ht="12.75" x14ac:dyDescent="0.2">
      <c r="A447" s="3"/>
      <c r="B447" s="33"/>
      <c r="C447" s="34" t="s">
        <v>219</v>
      </c>
      <c r="D447" s="33"/>
      <c r="E447" s="33"/>
      <c r="F447" s="41"/>
      <c r="G447" s="41"/>
      <c r="H447" s="41"/>
      <c r="I447" s="41"/>
      <c r="J447" s="41"/>
      <c r="K447" s="41"/>
      <c r="L447" s="41"/>
      <c r="M447" s="41"/>
      <c r="N447" s="41"/>
      <c r="O447" s="41"/>
      <c r="P447" s="3"/>
      <c r="Q447" s="3"/>
      <c r="R447" s="3"/>
      <c r="S447" s="3"/>
      <c r="T447" s="3"/>
      <c r="U447" s="3"/>
      <c r="V447" s="3"/>
      <c r="W447" s="3"/>
      <c r="X447" s="3"/>
      <c r="Y447" s="3"/>
      <c r="Z447" s="3"/>
    </row>
    <row r="448" spans="1:26" ht="12.75" x14ac:dyDescent="0.2">
      <c r="A448" s="3"/>
      <c r="B448" s="33"/>
      <c r="C448" s="9" t="s">
        <v>92</v>
      </c>
      <c r="D448" s="33"/>
      <c r="E448" s="299">
        <f>E426</f>
        <v>0.67056688148247967</v>
      </c>
      <c r="F448" s="39">
        <f>$E448*F353</f>
        <v>0</v>
      </c>
      <c r="G448" s="39">
        <f>$E448*G353</f>
        <v>0</v>
      </c>
      <c r="H448" s="39">
        <f>$E448*H353</f>
        <v>0</v>
      </c>
      <c r="I448" s="39">
        <f>$E448*I353</f>
        <v>0</v>
      </c>
      <c r="J448" s="39">
        <f>$E448*J353</f>
        <v>0</v>
      </c>
      <c r="K448" s="39">
        <f>$E448*K353</f>
        <v>0</v>
      </c>
      <c r="L448" s="39">
        <f>$E448*L353</f>
        <v>0</v>
      </c>
      <c r="M448" s="39">
        <f>$E448*M353</f>
        <v>0</v>
      </c>
      <c r="N448" s="39">
        <f>$E448*N353</f>
        <v>0</v>
      </c>
      <c r="O448" s="39">
        <f>$E448*O353</f>
        <v>0</v>
      </c>
      <c r="P448" s="3"/>
      <c r="Q448" s="3"/>
      <c r="R448" s="3"/>
      <c r="S448" s="3"/>
      <c r="T448" s="3"/>
      <c r="U448" s="3"/>
      <c r="V448" s="3"/>
      <c r="W448" s="3"/>
      <c r="X448" s="3"/>
      <c r="Y448" s="3"/>
      <c r="Z448" s="3"/>
    </row>
    <row r="449" spans="1:26" ht="12.75" x14ac:dyDescent="0.2">
      <c r="A449" s="3"/>
      <c r="B449" s="33"/>
      <c r="C449" s="9" t="s">
        <v>96</v>
      </c>
      <c r="D449" s="33"/>
      <c r="E449" s="302">
        <v>1</v>
      </c>
      <c r="F449" s="39">
        <f>$E449*F354</f>
        <v>11.25</v>
      </c>
      <c r="G449" s="39">
        <f>$E449*G354</f>
        <v>11.25</v>
      </c>
      <c r="H449" s="39">
        <f>$E449*H354</f>
        <v>11.25</v>
      </c>
      <c r="I449" s="39">
        <f>$E449*I354</f>
        <v>11.25</v>
      </c>
      <c r="J449" s="39">
        <f>$E449*J354</f>
        <v>11.25</v>
      </c>
      <c r="K449" s="39">
        <f>$E449*K354</f>
        <v>11.25</v>
      </c>
      <c r="L449" s="39">
        <f>$E449*L354</f>
        <v>11.25</v>
      </c>
      <c r="M449" s="39">
        <f>$E449*M354</f>
        <v>11.25</v>
      </c>
      <c r="N449" s="39">
        <f>$E449*N354</f>
        <v>11.25</v>
      </c>
      <c r="O449" s="39">
        <f>$E449*O354</f>
        <v>11.25</v>
      </c>
      <c r="P449" s="3"/>
      <c r="Q449" s="3"/>
      <c r="R449" s="3"/>
      <c r="S449" s="3"/>
      <c r="T449" s="3"/>
      <c r="U449" s="3"/>
      <c r="V449" s="3"/>
      <c r="W449" s="3"/>
      <c r="X449" s="3"/>
      <c r="Y449" s="3"/>
      <c r="Z449" s="3"/>
    </row>
    <row r="450" spans="1:26" ht="12.75" x14ac:dyDescent="0.2">
      <c r="A450" s="3"/>
      <c r="B450" s="33"/>
      <c r="C450" s="9" t="s">
        <v>99</v>
      </c>
      <c r="D450" s="33"/>
      <c r="E450" s="299">
        <f>CFs!$C$252</f>
        <v>1.5401003517880794</v>
      </c>
      <c r="F450" s="39">
        <f>$E450*F355</f>
        <v>14.654695529009917</v>
      </c>
      <c r="G450" s="39">
        <f>$E450*G355</f>
        <v>14.654695529009917</v>
      </c>
      <c r="H450" s="39">
        <f>$E450*H355</f>
        <v>14.654695529009917</v>
      </c>
      <c r="I450" s="39">
        <f>$E450*I355</f>
        <v>14.654695529009917</v>
      </c>
      <c r="J450" s="39">
        <f>$E450*J355</f>
        <v>14.654695529009917</v>
      </c>
      <c r="K450" s="39">
        <f>$E450*K355</f>
        <v>14.654695529009919</v>
      </c>
      <c r="L450" s="39">
        <f>$E450*L355</f>
        <v>14.654695529009917</v>
      </c>
      <c r="M450" s="39">
        <f>$E450*M355</f>
        <v>14.654695529009919</v>
      </c>
      <c r="N450" s="39">
        <f>$E450*N355</f>
        <v>14.654695529009917</v>
      </c>
      <c r="O450" s="39">
        <f>$E450*O355</f>
        <v>14.654695529009919</v>
      </c>
      <c r="P450" s="3"/>
      <c r="Q450" s="3"/>
      <c r="R450" s="3"/>
      <c r="S450" s="3"/>
      <c r="T450" s="3"/>
      <c r="U450" s="3"/>
      <c r="V450" s="3"/>
      <c r="W450" s="3"/>
      <c r="X450" s="3"/>
      <c r="Y450" s="3"/>
      <c r="Z450" s="3"/>
    </row>
    <row r="451" spans="1:26" ht="12.75" x14ac:dyDescent="0.2">
      <c r="A451" s="3"/>
      <c r="B451" s="33"/>
      <c r="C451" s="9" t="s">
        <v>102</v>
      </c>
      <c r="D451" s="33"/>
      <c r="E451" s="299">
        <f>CFs!$C$218</f>
        <v>1.0969941102134646</v>
      </c>
      <c r="F451" s="39">
        <f>$E451*F356</f>
        <v>21.049531068584955</v>
      </c>
      <c r="G451" s="39">
        <f>$E451*G356</f>
        <v>21.049531068584951</v>
      </c>
      <c r="H451" s="39">
        <f>$E451*H356</f>
        <v>21.049531068584951</v>
      </c>
      <c r="I451" s="39">
        <f>$E451*I356</f>
        <v>21.049531068584955</v>
      </c>
      <c r="J451" s="39">
        <f>$E451*J356</f>
        <v>21.049531068584955</v>
      </c>
      <c r="K451" s="39">
        <f>$E451*K356</f>
        <v>21.049531068584955</v>
      </c>
      <c r="L451" s="39">
        <f>$E451*L356</f>
        <v>21.049531068584955</v>
      </c>
      <c r="M451" s="39">
        <f>$E451*M356</f>
        <v>21.049531068584955</v>
      </c>
      <c r="N451" s="39">
        <f>$E451*N356</f>
        <v>21.049531068584955</v>
      </c>
      <c r="O451" s="39">
        <f>$E451*O356</f>
        <v>21.049531068584955</v>
      </c>
      <c r="P451" s="3"/>
      <c r="Q451" s="3"/>
      <c r="R451" s="3"/>
      <c r="S451" s="3"/>
      <c r="T451" s="3"/>
      <c r="U451" s="3"/>
      <c r="V451" s="3"/>
      <c r="W451" s="3"/>
      <c r="X451" s="3"/>
      <c r="Y451" s="3"/>
      <c r="Z451" s="3"/>
    </row>
    <row r="452" spans="1:26" ht="12.75" x14ac:dyDescent="0.2">
      <c r="A452" s="3"/>
      <c r="B452" s="33"/>
      <c r="C452" s="9" t="s">
        <v>105</v>
      </c>
      <c r="D452" s="33"/>
      <c r="E452" s="302">
        <v>1</v>
      </c>
      <c r="F452" s="39">
        <f>$E452*F357</f>
        <v>4.879999999999999</v>
      </c>
      <c r="G452" s="39">
        <f>$E452*G357</f>
        <v>4.88</v>
      </c>
      <c r="H452" s="39">
        <f>$E452*H357</f>
        <v>4.879999999999999</v>
      </c>
      <c r="I452" s="39">
        <f>$E452*I357</f>
        <v>4.88</v>
      </c>
      <c r="J452" s="39">
        <f>$E452*J357</f>
        <v>4.879999999999999</v>
      </c>
      <c r="K452" s="39">
        <f>$E452*K357</f>
        <v>4.879999999999999</v>
      </c>
      <c r="L452" s="39">
        <f>$E452*L357</f>
        <v>4.879999999999999</v>
      </c>
      <c r="M452" s="39">
        <f>$E452*M357</f>
        <v>4.88</v>
      </c>
      <c r="N452" s="39">
        <f>$E452*N357</f>
        <v>4.879999999999999</v>
      </c>
      <c r="O452" s="39">
        <f>$E452*O357</f>
        <v>4.88</v>
      </c>
      <c r="P452" s="3"/>
      <c r="Q452" s="3"/>
      <c r="R452" s="3"/>
      <c r="S452" s="3"/>
      <c r="T452" s="3"/>
      <c r="U452" s="3"/>
      <c r="V452" s="3"/>
      <c r="W452" s="3"/>
      <c r="X452" s="3"/>
      <c r="Y452" s="3"/>
      <c r="Z452" s="3"/>
    </row>
    <row r="453" spans="1:26" ht="12.75" x14ac:dyDescent="0.2">
      <c r="A453" s="3"/>
      <c r="B453" s="33"/>
      <c r="C453" s="9" t="s">
        <v>108</v>
      </c>
      <c r="D453" s="33"/>
      <c r="E453" s="302">
        <v>1</v>
      </c>
      <c r="F453" s="39">
        <f>$E453*F358</f>
        <v>6.7</v>
      </c>
      <c r="G453" s="39">
        <f>$E453*G358</f>
        <v>7.3</v>
      </c>
      <c r="H453" s="39">
        <f>$E453*H358</f>
        <v>7.9</v>
      </c>
      <c r="I453" s="39">
        <f>$E453*I358</f>
        <v>8.6</v>
      </c>
      <c r="J453" s="39">
        <f>$E453*J358</f>
        <v>9</v>
      </c>
      <c r="K453" s="39">
        <f>$E453*K358</f>
        <v>9.3000000000000007</v>
      </c>
      <c r="L453" s="39">
        <f>$E453*L358</f>
        <v>9.3000000000000007</v>
      </c>
      <c r="M453" s="39">
        <f>$E453*M358</f>
        <v>9.3000000000000007</v>
      </c>
      <c r="N453" s="39">
        <f>$E453*N358</f>
        <v>9.3000000000000007</v>
      </c>
      <c r="O453" s="39">
        <f>$E453*O358</f>
        <v>9.3000000000000007</v>
      </c>
      <c r="P453" s="3"/>
      <c r="Q453" s="3"/>
      <c r="R453" s="3"/>
      <c r="S453" s="3"/>
      <c r="T453" s="3"/>
      <c r="U453" s="3"/>
      <c r="V453" s="3"/>
      <c r="W453" s="3"/>
      <c r="X453" s="3"/>
      <c r="Y453" s="3"/>
      <c r="Z453" s="3"/>
    </row>
    <row r="454" spans="1:26" ht="12.75" x14ac:dyDescent="0.2">
      <c r="A454" s="3"/>
      <c r="B454" s="43"/>
      <c r="C454" s="68" t="s">
        <v>217</v>
      </c>
      <c r="D454" s="68"/>
      <c r="E454" s="68"/>
      <c r="F454" s="69">
        <f t="shared" ref="F454:O454" si="114">SUM(F448:F453)</f>
        <v>58.534226597594866</v>
      </c>
      <c r="G454" s="69">
        <f t="shared" si="114"/>
        <v>59.134226597594868</v>
      </c>
      <c r="H454" s="69">
        <f t="shared" si="114"/>
        <v>59.734226597594862</v>
      </c>
      <c r="I454" s="69">
        <f t="shared" si="114"/>
        <v>60.434226597594872</v>
      </c>
      <c r="J454" s="69">
        <f t="shared" si="114"/>
        <v>60.834226597594864</v>
      </c>
      <c r="K454" s="69">
        <f t="shared" si="114"/>
        <v>61.134226597594875</v>
      </c>
      <c r="L454" s="69">
        <f t="shared" si="114"/>
        <v>61.134226597594861</v>
      </c>
      <c r="M454" s="69">
        <f t="shared" si="114"/>
        <v>61.134226597594875</v>
      </c>
      <c r="N454" s="69">
        <f t="shared" si="114"/>
        <v>61.134226597594861</v>
      </c>
      <c r="O454" s="69">
        <f t="shared" si="114"/>
        <v>61.134226597594875</v>
      </c>
      <c r="P454" s="3"/>
      <c r="Q454" s="3"/>
      <c r="R454" s="3"/>
      <c r="S454" s="3"/>
      <c r="T454" s="3"/>
      <c r="U454" s="3"/>
      <c r="V454" s="3"/>
      <c r="W454" s="3"/>
      <c r="X454" s="3"/>
      <c r="Y454" s="3"/>
      <c r="Z454" s="3"/>
    </row>
    <row r="455" spans="1:26" ht="12.75" x14ac:dyDescent="0.2">
      <c r="A455" s="3"/>
      <c r="B455" s="43"/>
      <c r="C455" s="74"/>
      <c r="D455" s="74"/>
      <c r="E455" s="74"/>
      <c r="F455" s="75"/>
      <c r="G455" s="75"/>
      <c r="H455" s="75"/>
      <c r="I455" s="75"/>
      <c r="J455" s="75"/>
      <c r="K455" s="75"/>
      <c r="L455" s="75"/>
      <c r="M455" s="75"/>
      <c r="N455" s="75"/>
      <c r="O455" s="75"/>
      <c r="P455" s="3"/>
      <c r="Q455" s="3"/>
      <c r="R455" s="3"/>
      <c r="S455" s="3"/>
      <c r="T455" s="3"/>
      <c r="U455" s="3"/>
      <c r="V455" s="3"/>
      <c r="W455" s="3"/>
      <c r="X455" s="3"/>
      <c r="Y455" s="3"/>
      <c r="Z455" s="3"/>
    </row>
    <row r="456" spans="1:26" ht="12.75" x14ac:dyDescent="0.2">
      <c r="A456" s="3"/>
      <c r="B456" s="43"/>
      <c r="C456" s="34" t="s">
        <v>287</v>
      </c>
      <c r="D456" s="74"/>
      <c r="E456" s="74"/>
      <c r="F456" s="75"/>
      <c r="G456" s="75"/>
      <c r="H456" s="75"/>
      <c r="I456" s="75"/>
      <c r="J456" s="75"/>
      <c r="K456" s="75"/>
      <c r="L456" s="75"/>
      <c r="M456" s="75"/>
      <c r="N456" s="75"/>
      <c r="O456" s="75"/>
      <c r="P456" s="3"/>
      <c r="Q456" s="3"/>
      <c r="R456" s="3"/>
      <c r="S456" s="3"/>
      <c r="T456" s="3"/>
      <c r="U456" s="3"/>
      <c r="V456" s="3"/>
      <c r="W456" s="3"/>
      <c r="X456" s="3"/>
      <c r="Y456" s="3"/>
      <c r="Z456" s="3"/>
    </row>
    <row r="457" spans="1:26" ht="12.75" x14ac:dyDescent="0.2">
      <c r="A457" s="3"/>
      <c r="B457" s="33"/>
      <c r="C457" s="27" t="s">
        <v>282</v>
      </c>
      <c r="D457" s="33"/>
      <c r="E457" s="302">
        <v>1.2</v>
      </c>
      <c r="F457" s="39">
        <f>$E457*F362</f>
        <v>7.9727999999999986E-3</v>
      </c>
      <c r="G457" s="39">
        <f>$E457*G362</f>
        <v>8.6716799999999993E-3</v>
      </c>
      <c r="H457" s="39">
        <f>$E457*H362</f>
        <v>9.4196159999999987E-3</v>
      </c>
      <c r="I457" s="39">
        <f>$E457*I362</f>
        <v>1.02197664E-2</v>
      </c>
      <c r="J457" s="39">
        <f>$E457*J362</f>
        <v>1.0748754720000002E-2</v>
      </c>
      <c r="K457" s="39">
        <f>$E457*K362</f>
        <v>1.1063999999999996E-2</v>
      </c>
      <c r="L457" s="39">
        <f>$E457*L362</f>
        <v>1.1063999999999999E-2</v>
      </c>
      <c r="M457" s="39">
        <f>$E457*M362</f>
        <v>1.1063999999999999E-2</v>
      </c>
      <c r="N457" s="39">
        <f>$E457*N362</f>
        <v>1.1063999999999999E-2</v>
      </c>
      <c r="O457" s="39">
        <f>$E457*O362</f>
        <v>1.1063999999999999E-2</v>
      </c>
      <c r="P457" s="3"/>
      <c r="Q457" s="3"/>
      <c r="R457" s="3"/>
      <c r="S457" s="3"/>
      <c r="T457" s="3"/>
      <c r="U457" s="3"/>
      <c r="V457" s="3"/>
      <c r="W457" s="3"/>
      <c r="X457" s="3"/>
      <c r="Y457" s="3"/>
      <c r="Z457" s="3"/>
    </row>
    <row r="458" spans="1:26" ht="12.75" x14ac:dyDescent="0.2">
      <c r="A458" s="3"/>
      <c r="B458" s="33"/>
      <c r="C458" s="27" t="s">
        <v>284</v>
      </c>
      <c r="D458" s="33"/>
      <c r="E458" s="302">
        <v>1</v>
      </c>
      <c r="F458" s="39">
        <f>$E458*F363</f>
        <v>1.3304671631960279</v>
      </c>
      <c r="G458" s="39">
        <f>$E458*G363</f>
        <v>1.4420547317221464</v>
      </c>
      <c r="H458" s="39">
        <f>$E458*H363</f>
        <v>1.5614748891928867</v>
      </c>
      <c r="I458" s="39">
        <f>$E458*I363</f>
        <v>1.6892319255813957</v>
      </c>
      <c r="J458" s="39">
        <f>$E458*J363</f>
        <v>1.7736935218604652</v>
      </c>
      <c r="K458" s="39">
        <f>$E458*K363</f>
        <v>1.8240275624461673</v>
      </c>
      <c r="L458" s="39">
        <f>$E458*L363</f>
        <v>1.8240275624461673</v>
      </c>
      <c r="M458" s="39">
        <f>$E458*M363</f>
        <v>1.8240275624461673</v>
      </c>
      <c r="N458" s="39">
        <f>$E458*N363</f>
        <v>1.8240275624461673</v>
      </c>
      <c r="O458" s="39">
        <f>$E458*O363</f>
        <v>1.8240275624461675</v>
      </c>
      <c r="P458" s="3"/>
      <c r="Q458" s="3"/>
      <c r="R458" s="3"/>
      <c r="S458" s="3"/>
      <c r="T458" s="3"/>
      <c r="U458" s="3"/>
      <c r="V458" s="3"/>
      <c r="W458" s="3"/>
      <c r="X458" s="3"/>
      <c r="Y458" s="3"/>
      <c r="Z458" s="3"/>
    </row>
    <row r="459" spans="1:26" ht="12.75" x14ac:dyDescent="0.2">
      <c r="A459" s="3"/>
      <c r="B459" s="43"/>
      <c r="C459" s="68" t="s">
        <v>289</v>
      </c>
      <c r="D459" s="36"/>
      <c r="E459" s="36"/>
      <c r="F459" s="40">
        <f>SUM(F457:F458)</f>
        <v>1.3384399631960278</v>
      </c>
      <c r="G459" s="40">
        <f t="shared" ref="G459:O459" si="115">SUM(G457:G458)</f>
        <v>1.4507264117221463</v>
      </c>
      <c r="H459" s="40">
        <f t="shared" si="115"/>
        <v>1.5708945051928866</v>
      </c>
      <c r="I459" s="40">
        <f t="shared" si="115"/>
        <v>1.6994516919813958</v>
      </c>
      <c r="J459" s="40">
        <f t="shared" si="115"/>
        <v>1.7844422765804653</v>
      </c>
      <c r="K459" s="40">
        <f t="shared" si="115"/>
        <v>1.8350915624461672</v>
      </c>
      <c r="L459" s="40">
        <f t="shared" si="115"/>
        <v>1.8350915624461672</v>
      </c>
      <c r="M459" s="40">
        <f t="shared" si="115"/>
        <v>1.8350915624461672</v>
      </c>
      <c r="N459" s="40">
        <f t="shared" si="115"/>
        <v>1.8350915624461672</v>
      </c>
      <c r="O459" s="40">
        <f t="shared" si="115"/>
        <v>1.8350915624461674</v>
      </c>
      <c r="P459" s="3"/>
      <c r="Q459" s="3"/>
      <c r="R459" s="3"/>
      <c r="S459" s="3"/>
      <c r="T459" s="3"/>
      <c r="U459" s="3"/>
      <c r="V459" s="3"/>
      <c r="W459" s="3"/>
      <c r="X459" s="3"/>
      <c r="Y459" s="3"/>
      <c r="Z459" s="3"/>
    </row>
    <row r="460" spans="1:26" ht="12.75" x14ac:dyDescent="0.2">
      <c r="A460" s="3"/>
      <c r="B460" s="43"/>
      <c r="C460" s="43"/>
      <c r="D460" s="43"/>
      <c r="E460" s="43"/>
      <c r="F460" s="101"/>
      <c r="G460" s="43"/>
      <c r="H460" s="43"/>
      <c r="I460" s="43"/>
      <c r="J460" s="43"/>
      <c r="K460" s="43"/>
      <c r="L460" s="43"/>
      <c r="M460" s="43"/>
      <c r="N460" s="43"/>
      <c r="O460" s="43"/>
      <c r="P460" s="3"/>
      <c r="Q460" s="3"/>
      <c r="R460" s="3"/>
      <c r="S460" s="3"/>
      <c r="T460" s="3"/>
      <c r="U460" s="3"/>
      <c r="V460" s="3"/>
      <c r="W460" s="3"/>
      <c r="X460" s="3"/>
      <c r="Y460" s="3"/>
      <c r="Z460" s="3"/>
    </row>
    <row r="461" spans="1:26" ht="12.75" x14ac:dyDescent="0.2">
      <c r="A461" s="3"/>
      <c r="B461" s="43"/>
      <c r="C461" s="70" t="s">
        <v>669</v>
      </c>
      <c r="D461" s="70"/>
      <c r="E461" s="70"/>
      <c r="F461" s="71">
        <f t="shared" ref="F461:O461" si="116">F440+F445+F454+F459</f>
        <v>207.76239009020264</v>
      </c>
      <c r="G461" s="71">
        <f t="shared" si="116"/>
        <v>209.34499653872879</v>
      </c>
      <c r="H461" s="71">
        <f t="shared" si="116"/>
        <v>210.97900063219953</v>
      </c>
      <c r="I461" s="71">
        <f t="shared" si="116"/>
        <v>212.76708561898809</v>
      </c>
      <c r="J461" s="71">
        <f t="shared" si="116"/>
        <v>196.91958039358713</v>
      </c>
      <c r="K461" s="71">
        <f t="shared" si="116"/>
        <v>197.87064168945281</v>
      </c>
      <c r="L461" s="71">
        <f t="shared" si="116"/>
        <v>197.87064168945278</v>
      </c>
      <c r="M461" s="71">
        <f t="shared" si="116"/>
        <v>197.87064168945281</v>
      </c>
      <c r="N461" s="71">
        <f t="shared" si="116"/>
        <v>197.87064168945278</v>
      </c>
      <c r="O461" s="71">
        <f t="shared" si="116"/>
        <v>197.87064168945281</v>
      </c>
      <c r="P461" s="3"/>
      <c r="Q461" s="3"/>
      <c r="R461" s="3"/>
      <c r="S461" s="3"/>
      <c r="T461" s="3"/>
      <c r="U461" s="3"/>
      <c r="V461" s="3"/>
      <c r="W461" s="3"/>
      <c r="X461" s="3"/>
      <c r="Y461" s="3"/>
      <c r="Z461" s="3"/>
    </row>
    <row r="462" spans="1:26" ht="12.75" x14ac:dyDescent="0.2">
      <c r="A462" s="3"/>
      <c r="B462" s="43"/>
      <c r="C462" s="43"/>
      <c r="D462" s="43"/>
      <c r="E462" s="43"/>
      <c r="F462" s="43"/>
      <c r="G462" s="43"/>
      <c r="H462" s="43"/>
      <c r="I462" s="43"/>
      <c r="J462" s="43"/>
      <c r="K462" s="43"/>
      <c r="L462" s="43"/>
      <c r="M462" s="43"/>
      <c r="N462" s="43"/>
      <c r="O462" s="43"/>
      <c r="P462" s="3"/>
      <c r="Q462" s="3"/>
      <c r="R462" s="3"/>
      <c r="S462" s="3"/>
      <c r="T462" s="3"/>
      <c r="U462" s="3"/>
      <c r="V462" s="3"/>
      <c r="W462" s="3"/>
      <c r="X462" s="3"/>
      <c r="Y462" s="3"/>
      <c r="Z462" s="3"/>
    </row>
    <row r="463" spans="1:26" ht="12.75" x14ac:dyDescent="0.2">
      <c r="A463" s="3"/>
      <c r="C463" s="72" t="s">
        <v>689</v>
      </c>
      <c r="D463" s="70"/>
      <c r="E463" s="70"/>
      <c r="F463" s="73">
        <f t="shared" ref="F463:O463" si="117">F429-F461</f>
        <v>-62.505479711880383</v>
      </c>
      <c r="G463" s="73">
        <f t="shared" si="117"/>
        <v>-51.905248515773025</v>
      </c>
      <c r="H463" s="73">
        <f t="shared" si="117"/>
        <v>-40.501273476092734</v>
      </c>
      <c r="I463" s="73">
        <f t="shared" si="117"/>
        <v>-28.341180786472563</v>
      </c>
      <c r="J463" s="73">
        <f t="shared" si="117"/>
        <v>-3.2723803194457446</v>
      </c>
      <c r="K463" s="73">
        <f t="shared" si="117"/>
        <v>1.2718967324406378</v>
      </c>
      <c r="L463" s="73">
        <f t="shared" si="117"/>
        <v>1.2718967324406947</v>
      </c>
      <c r="M463" s="73">
        <f t="shared" si="117"/>
        <v>1.2718967324406378</v>
      </c>
      <c r="N463" s="73">
        <f t="shared" si="117"/>
        <v>1.2718967324406663</v>
      </c>
      <c r="O463" s="73">
        <f t="shared" si="117"/>
        <v>1.2718967324406378</v>
      </c>
      <c r="P463" s="3"/>
      <c r="Q463" s="3"/>
      <c r="R463" s="3"/>
      <c r="S463" s="3"/>
      <c r="T463" s="3"/>
      <c r="U463" s="3"/>
      <c r="V463" s="3"/>
      <c r="W463" s="3"/>
      <c r="X463" s="3"/>
      <c r="Y463" s="3"/>
      <c r="Z463" s="3"/>
    </row>
    <row r="464" spans="1:26" ht="12.75"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x14ac:dyDescent="0.2">
      <c r="A465" s="392" t="s">
        <v>769</v>
      </c>
      <c r="B465" s="2"/>
      <c r="C465" s="2"/>
      <c r="D465" s="6" t="s">
        <v>174</v>
      </c>
      <c r="E465" s="21"/>
      <c r="F465" s="51">
        <v>0</v>
      </c>
      <c r="G465" s="51">
        <v>1</v>
      </c>
      <c r="H465" s="51">
        <v>2</v>
      </c>
      <c r="I465" s="51">
        <v>3</v>
      </c>
      <c r="J465" s="51">
        <v>4</v>
      </c>
      <c r="K465" s="51">
        <v>5</v>
      </c>
      <c r="L465" s="51">
        <v>6</v>
      </c>
      <c r="M465" s="51">
        <v>7</v>
      </c>
      <c r="N465" s="51">
        <v>8</v>
      </c>
      <c r="O465" s="51">
        <v>9</v>
      </c>
      <c r="P465" s="3"/>
      <c r="Q465" s="3"/>
      <c r="R465" s="3"/>
      <c r="S465" s="3"/>
      <c r="T465" s="3"/>
      <c r="U465" s="3"/>
      <c r="V465" s="3"/>
      <c r="W465" s="3"/>
      <c r="X465" s="3"/>
      <c r="Y465" s="3"/>
      <c r="Z465" s="3"/>
    </row>
    <row r="466" spans="1:26" ht="12.75" x14ac:dyDescent="0.2">
      <c r="A466" s="3"/>
      <c r="B466" s="65" t="s">
        <v>349</v>
      </c>
      <c r="C466" s="43"/>
      <c r="D466" s="43"/>
      <c r="E466" s="43"/>
      <c r="F466" s="43"/>
      <c r="G466" s="43"/>
      <c r="H466" s="43"/>
      <c r="I466" s="43"/>
      <c r="J466" s="43"/>
      <c r="K466" s="43"/>
      <c r="L466" s="43"/>
      <c r="M466" s="43"/>
      <c r="N466" s="43"/>
      <c r="O466" s="43"/>
      <c r="P466" s="3"/>
      <c r="Q466" s="3"/>
      <c r="R466" s="3"/>
      <c r="S466" s="3"/>
      <c r="T466" s="3"/>
      <c r="U466" s="3"/>
      <c r="V466" s="3"/>
      <c r="W466" s="3"/>
      <c r="X466" s="3"/>
      <c r="Y466" s="3"/>
      <c r="Z466" s="3"/>
    </row>
    <row r="467" spans="1:26" ht="12.75" x14ac:dyDescent="0.2">
      <c r="A467" s="3"/>
      <c r="B467" s="43"/>
      <c r="C467" s="46" t="s">
        <v>672</v>
      </c>
      <c r="D467" s="43"/>
      <c r="E467" s="43"/>
      <c r="F467" s="39">
        <f t="shared" ref="F467:O467" si="118">F429-F387</f>
        <v>60.825965091405124</v>
      </c>
      <c r="G467" s="39">
        <f t="shared" si="118"/>
        <v>72.164493283169463</v>
      </c>
      <c r="H467" s="39">
        <f t="shared" si="118"/>
        <v>84.34971986892262</v>
      </c>
      <c r="I467" s="39">
        <f t="shared" si="118"/>
        <v>97.436617472459545</v>
      </c>
      <c r="J467" s="39">
        <f t="shared" si="118"/>
        <v>105.78801984048481</v>
      </c>
      <c r="K467" s="39">
        <f t="shared" si="118"/>
        <v>110.40476638590032</v>
      </c>
      <c r="L467" s="39">
        <f t="shared" si="118"/>
        <v>109.51738866554041</v>
      </c>
      <c r="M467" s="39">
        <f t="shared" si="118"/>
        <v>108.62113716797687</v>
      </c>
      <c r="N467" s="39">
        <f t="shared" si="118"/>
        <v>107.71592315543766</v>
      </c>
      <c r="O467" s="39">
        <f t="shared" si="118"/>
        <v>106.80165700277314</v>
      </c>
      <c r="P467" s="3"/>
      <c r="Q467" s="3"/>
      <c r="R467" s="3"/>
      <c r="S467" s="3"/>
      <c r="T467" s="3"/>
      <c r="U467" s="3"/>
      <c r="V467" s="3"/>
      <c r="W467" s="3"/>
      <c r="X467" s="3"/>
      <c r="Y467" s="3"/>
      <c r="Z467" s="3"/>
    </row>
    <row r="468" spans="1:26" ht="12.75" x14ac:dyDescent="0.2">
      <c r="A468" s="3"/>
      <c r="B468" s="43"/>
      <c r="C468" s="46" t="s">
        <v>673</v>
      </c>
      <c r="D468" s="43"/>
      <c r="E468" s="43"/>
      <c r="F468" s="39">
        <f t="shared" ref="F468:O468" si="119">F461-F419</f>
        <v>75.831289782520059</v>
      </c>
      <c r="G468" s="39">
        <f t="shared" si="119"/>
        <v>77.40618617768672</v>
      </c>
      <c r="H468" s="39">
        <f t="shared" si="119"/>
        <v>78.932403117264386</v>
      </c>
      <c r="I468" s="39">
        <f t="shared" si="119"/>
        <v>80.712623078620965</v>
      </c>
      <c r="J468" s="39">
        <f t="shared" si="119"/>
        <v>64.757174177533642</v>
      </c>
      <c r="K468" s="39">
        <f t="shared" si="119"/>
        <v>65.700212360956158</v>
      </c>
      <c r="L468" s="39">
        <f t="shared" si="119"/>
        <v>65.692109017388503</v>
      </c>
      <c r="M468" s="39">
        <f t="shared" si="119"/>
        <v>65.583924640385248</v>
      </c>
      <c r="N468" s="39">
        <f t="shared" si="119"/>
        <v>65.575658419611898</v>
      </c>
      <c r="O468" s="39">
        <f t="shared" si="119"/>
        <v>65.467309536630864</v>
      </c>
      <c r="P468" s="3"/>
      <c r="Q468" s="3"/>
      <c r="R468" s="3"/>
      <c r="S468" s="3"/>
      <c r="T468" s="3"/>
      <c r="U468" s="3"/>
      <c r="V468" s="3"/>
      <c r="W468" s="3"/>
      <c r="X468" s="3"/>
      <c r="Y468" s="3"/>
      <c r="Z468" s="3"/>
    </row>
    <row r="469" spans="1:26" ht="12.75" x14ac:dyDescent="0.2">
      <c r="A469" s="3"/>
      <c r="B469" s="43"/>
      <c r="C469" s="46" t="s">
        <v>674</v>
      </c>
      <c r="D469" s="43"/>
      <c r="E469" s="43"/>
      <c r="F469" s="39">
        <f>F467-F468</f>
        <v>-15.005324691114936</v>
      </c>
      <c r="G469" s="39">
        <f t="shared" ref="G469:O469" si="120">G467-G468</f>
        <v>-5.2416928945172572</v>
      </c>
      <c r="H469" s="39">
        <f t="shared" si="120"/>
        <v>5.4173167516582339</v>
      </c>
      <c r="I469" s="39">
        <f t="shared" si="120"/>
        <v>16.723994393838581</v>
      </c>
      <c r="J469" s="39">
        <f t="shared" si="120"/>
        <v>41.030845662951165</v>
      </c>
      <c r="K469" s="39">
        <f t="shared" si="120"/>
        <v>44.704554024944159</v>
      </c>
      <c r="L469" s="39">
        <f t="shared" si="120"/>
        <v>43.825279648151906</v>
      </c>
      <c r="M469" s="39">
        <f t="shared" si="120"/>
        <v>43.03721252759162</v>
      </c>
      <c r="N469" s="39">
        <f t="shared" si="120"/>
        <v>42.140264735825767</v>
      </c>
      <c r="O469" s="39">
        <f t="shared" si="120"/>
        <v>41.334347466142276</v>
      </c>
      <c r="P469" s="3"/>
      <c r="Q469" s="3"/>
      <c r="R469" s="3"/>
      <c r="S469" s="3"/>
      <c r="T469" s="3"/>
      <c r="U469" s="3"/>
      <c r="V469" s="3"/>
      <c r="W469" s="3"/>
      <c r="X469" s="3"/>
      <c r="Y469" s="3"/>
      <c r="Z469" s="3"/>
    </row>
    <row r="470" spans="1:26" ht="12.75" x14ac:dyDescent="0.2">
      <c r="A470" s="3"/>
      <c r="B470" s="3"/>
      <c r="C470" s="3"/>
      <c r="D470" s="3"/>
      <c r="E470" s="3"/>
      <c r="F470" s="117"/>
      <c r="G470" s="117"/>
      <c r="H470" s="117"/>
      <c r="I470" s="117"/>
      <c r="J470" s="117"/>
      <c r="K470" s="117"/>
      <c r="L470" s="117"/>
      <c r="M470" s="117"/>
      <c r="N470" s="117"/>
      <c r="O470" s="117"/>
      <c r="P470" s="3"/>
      <c r="Q470" s="3"/>
      <c r="R470" s="3"/>
      <c r="S470" s="3"/>
      <c r="T470" s="3"/>
      <c r="U470" s="3"/>
      <c r="V470" s="3"/>
      <c r="W470" s="3"/>
      <c r="X470" s="3"/>
      <c r="Y470" s="3"/>
      <c r="Z470" s="3"/>
    </row>
    <row r="471" spans="1:26" ht="12.75" x14ac:dyDescent="0.2">
      <c r="A471" s="392" t="s">
        <v>770</v>
      </c>
      <c r="B471" s="2"/>
      <c r="C471" s="2"/>
      <c r="D471" s="6" t="s">
        <v>174</v>
      </c>
      <c r="E471" s="21"/>
      <c r="F471" s="51">
        <v>0</v>
      </c>
      <c r="G471" s="51">
        <v>1</v>
      </c>
      <c r="H471" s="51">
        <v>2</v>
      </c>
      <c r="I471" s="51">
        <v>3</v>
      </c>
      <c r="J471" s="51">
        <v>4</v>
      </c>
      <c r="K471" s="51">
        <v>5</v>
      </c>
      <c r="L471" s="51">
        <v>6</v>
      </c>
      <c r="M471" s="51">
        <v>7</v>
      </c>
      <c r="N471" s="51">
        <v>8</v>
      </c>
      <c r="O471" s="51">
        <v>9</v>
      </c>
      <c r="P471" s="51">
        <v>10</v>
      </c>
      <c r="Q471" s="51">
        <v>11</v>
      </c>
      <c r="R471" s="51">
        <v>12</v>
      </c>
      <c r="S471" s="51">
        <v>13</v>
      </c>
      <c r="T471" s="2"/>
      <c r="U471" s="2"/>
      <c r="V471" s="2"/>
      <c r="W471" s="2"/>
      <c r="X471" s="2"/>
      <c r="Y471" s="2"/>
      <c r="Z471" s="2"/>
    </row>
    <row r="472" spans="1:26" ht="12.75" x14ac:dyDescent="0.2">
      <c r="A472" s="3"/>
      <c r="B472" s="65" t="s">
        <v>350</v>
      </c>
      <c r="C472" s="43"/>
      <c r="D472" s="43"/>
      <c r="E472" s="43"/>
      <c r="F472" s="43"/>
      <c r="G472" s="43"/>
      <c r="H472" s="43"/>
      <c r="I472" s="43"/>
      <c r="J472" s="43"/>
      <c r="K472" s="3"/>
      <c r="L472" s="3"/>
      <c r="M472" s="3"/>
      <c r="N472" s="3"/>
      <c r="O472" s="3"/>
      <c r="P472" s="3"/>
      <c r="Q472" s="3"/>
      <c r="R472" s="3"/>
      <c r="S472" s="3"/>
      <c r="T472" s="3"/>
      <c r="U472" s="3"/>
      <c r="V472" s="3"/>
      <c r="W472" s="3"/>
      <c r="X472" s="3"/>
      <c r="Y472" s="3"/>
      <c r="Z472" s="3"/>
    </row>
    <row r="473" spans="1:26" ht="12.75" x14ac:dyDescent="0.2">
      <c r="A473" s="3"/>
      <c r="B473" s="43"/>
      <c r="C473" s="46" t="s">
        <v>260</v>
      </c>
      <c r="D473" s="43"/>
      <c r="E473" s="43"/>
      <c r="F473" s="43">
        <f>I98*(1+$I$110)</f>
        <v>29000</v>
      </c>
      <c r="G473" s="78">
        <f>I99*(1+$I$110)</f>
        <v>45735</v>
      </c>
      <c r="H473" s="78">
        <f>I100*(1+$I$110)</f>
        <v>59500</v>
      </c>
      <c r="I473" s="78">
        <f>I101*(1+$I$110)</f>
        <v>63000</v>
      </c>
      <c r="J473" s="78">
        <f>I102*(1+$I$110)</f>
        <v>67500</v>
      </c>
      <c r="K473" s="3"/>
      <c r="L473" s="3"/>
      <c r="M473" s="3"/>
      <c r="N473" s="3"/>
      <c r="O473" s="3"/>
      <c r="P473" s="3"/>
      <c r="Q473" s="3"/>
      <c r="R473" s="3"/>
      <c r="S473" s="3"/>
      <c r="T473" s="3"/>
      <c r="U473" s="3"/>
      <c r="V473" s="3"/>
      <c r="W473" s="3"/>
      <c r="X473" s="3"/>
      <c r="Y473" s="3"/>
      <c r="Z473" s="3"/>
    </row>
    <row r="474" spans="1:26" ht="12.75" x14ac:dyDescent="0.2">
      <c r="A474" s="3"/>
      <c r="B474" s="43"/>
      <c r="C474" s="46" t="s">
        <v>258</v>
      </c>
      <c r="D474" s="43"/>
      <c r="E474" s="43"/>
      <c r="F474" s="79">
        <f>$I$103</f>
        <v>0.9</v>
      </c>
      <c r="G474" s="79">
        <f t="shared" ref="G474:S474" si="121">$I$103</f>
        <v>0.9</v>
      </c>
      <c r="H474" s="79">
        <f t="shared" si="121"/>
        <v>0.9</v>
      </c>
      <c r="I474" s="79">
        <f t="shared" si="121"/>
        <v>0.9</v>
      </c>
      <c r="J474" s="79">
        <f t="shared" si="121"/>
        <v>0.9</v>
      </c>
      <c r="K474" s="79">
        <f t="shared" si="121"/>
        <v>0.9</v>
      </c>
      <c r="L474" s="79">
        <f t="shared" si="121"/>
        <v>0.9</v>
      </c>
      <c r="M474" s="79">
        <f t="shared" si="121"/>
        <v>0.9</v>
      </c>
      <c r="N474" s="79">
        <f t="shared" si="121"/>
        <v>0.9</v>
      </c>
      <c r="O474" s="79">
        <f t="shared" si="121"/>
        <v>0.9</v>
      </c>
      <c r="P474" s="79">
        <f t="shared" si="121"/>
        <v>0.9</v>
      </c>
      <c r="Q474" s="79">
        <f t="shared" si="121"/>
        <v>0.9</v>
      </c>
      <c r="R474" s="79">
        <f t="shared" si="121"/>
        <v>0.9</v>
      </c>
      <c r="S474" s="79">
        <f t="shared" si="121"/>
        <v>0.9</v>
      </c>
      <c r="T474" s="3"/>
      <c r="U474" s="3"/>
      <c r="V474" s="3"/>
      <c r="W474" s="3"/>
      <c r="X474" s="3"/>
      <c r="Y474" s="3"/>
      <c r="Z474" s="3"/>
    </row>
    <row r="475" spans="1:26" ht="12.75" x14ac:dyDescent="0.2">
      <c r="A475" s="3"/>
      <c r="B475" s="43"/>
      <c r="C475" s="46" t="s">
        <v>259</v>
      </c>
      <c r="D475" s="43"/>
      <c r="E475" s="43"/>
      <c r="F475" s="80">
        <f>IF(F471&lt;$I$105,0,$I$104)</f>
        <v>0</v>
      </c>
      <c r="G475" s="80">
        <f t="shared" ref="G475:S475" si="122">IF(G471&lt;$I$105,0,$I$104)</f>
        <v>0</v>
      </c>
      <c r="H475" s="80">
        <f t="shared" si="122"/>
        <v>0</v>
      </c>
      <c r="I475" s="80">
        <f t="shared" si="122"/>
        <v>0</v>
      </c>
      <c r="J475" s="80">
        <f t="shared" si="122"/>
        <v>0</v>
      </c>
      <c r="K475" s="80">
        <f t="shared" si="122"/>
        <v>0.2</v>
      </c>
      <c r="L475" s="80">
        <f t="shared" si="122"/>
        <v>0.2</v>
      </c>
      <c r="M475" s="80">
        <f t="shared" si="122"/>
        <v>0.2</v>
      </c>
      <c r="N475" s="80">
        <f t="shared" si="122"/>
        <v>0.2</v>
      </c>
      <c r="O475" s="80">
        <f t="shared" si="122"/>
        <v>0.2</v>
      </c>
      <c r="P475" s="80">
        <f t="shared" si="122"/>
        <v>0.2</v>
      </c>
      <c r="Q475" s="80">
        <f t="shared" si="122"/>
        <v>0.2</v>
      </c>
      <c r="R475" s="80">
        <f t="shared" si="122"/>
        <v>0.2</v>
      </c>
      <c r="S475" s="80">
        <f t="shared" si="122"/>
        <v>0.2</v>
      </c>
      <c r="T475" s="3"/>
      <c r="U475" s="3"/>
      <c r="V475" s="3"/>
      <c r="W475" s="3"/>
      <c r="X475" s="3"/>
      <c r="Y475" s="3"/>
      <c r="Z475" s="3"/>
    </row>
    <row r="476" spans="1:26" ht="12.75"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x14ac:dyDescent="0.2">
      <c r="A477" s="3"/>
      <c r="B477" s="65" t="s">
        <v>682</v>
      </c>
      <c r="C477" s="43"/>
      <c r="D477" s="43"/>
      <c r="E477" s="43"/>
      <c r="F477" s="43"/>
      <c r="G477" s="43"/>
      <c r="H477" s="43"/>
      <c r="I477" s="43"/>
      <c r="J477" s="43"/>
      <c r="K477" s="43"/>
      <c r="L477" s="43"/>
      <c r="M477" s="43"/>
      <c r="N477" s="43"/>
      <c r="O477" s="43"/>
      <c r="P477" s="43"/>
      <c r="Q477" s="43"/>
      <c r="R477" s="43"/>
      <c r="S477" s="43"/>
      <c r="T477" s="3"/>
      <c r="U477" s="3"/>
      <c r="V477" s="3"/>
      <c r="W477" s="3"/>
      <c r="X477" s="3"/>
      <c r="Y477" s="3"/>
      <c r="Z477" s="3"/>
    </row>
    <row r="478" spans="1:26" ht="12.75" x14ac:dyDescent="0.2">
      <c r="A478" s="3"/>
      <c r="C478" s="65" t="s">
        <v>681</v>
      </c>
      <c r="D478" s="43"/>
      <c r="E478" s="43"/>
      <c r="F478" s="43"/>
      <c r="G478" s="43"/>
      <c r="H478" s="43"/>
      <c r="I478" s="43"/>
      <c r="J478" s="43"/>
      <c r="K478" s="43"/>
      <c r="L478" s="43"/>
      <c r="M478" s="43"/>
      <c r="N478" s="43"/>
      <c r="O478" s="43"/>
      <c r="P478" s="43"/>
      <c r="Q478" s="43"/>
      <c r="R478" s="43"/>
      <c r="S478" s="43"/>
      <c r="T478" s="3"/>
      <c r="U478" s="3"/>
      <c r="V478" s="3"/>
      <c r="W478" s="3"/>
      <c r="X478" s="3"/>
      <c r="Y478" s="3"/>
      <c r="Z478" s="3"/>
    </row>
    <row r="479" spans="1:26" ht="12.75" x14ac:dyDescent="0.2">
      <c r="A479" s="3"/>
      <c r="B479" s="43"/>
      <c r="C479" s="46" t="s">
        <v>252</v>
      </c>
      <c r="D479" s="43"/>
      <c r="E479" s="43"/>
      <c r="F479" s="81">
        <f>F469*(F474*$F473)*(1-F475)</f>
        <v>-391638.97443809983</v>
      </c>
      <c r="G479" s="81">
        <f t="shared" ref="G479:S479" si="123">G469*(G474*$F473)*(1-G475)</f>
        <v>-136808.18454690042</v>
      </c>
      <c r="H479" s="81">
        <f t="shared" si="123"/>
        <v>141391.9672182799</v>
      </c>
      <c r="I479" s="81">
        <f t="shared" si="123"/>
        <v>436496.25367918698</v>
      </c>
      <c r="J479" s="81">
        <f t="shared" si="123"/>
        <v>1070905.0718030254</v>
      </c>
      <c r="K479" s="81">
        <f t="shared" si="123"/>
        <v>933431.08804083418</v>
      </c>
      <c r="L479" s="81">
        <f t="shared" si="123"/>
        <v>915071.83905341185</v>
      </c>
      <c r="M479" s="81">
        <f t="shared" si="123"/>
        <v>898616.99757611309</v>
      </c>
      <c r="N479" s="81">
        <f t="shared" si="123"/>
        <v>879888.72768404207</v>
      </c>
      <c r="O479" s="81">
        <f t="shared" si="123"/>
        <v>863061.1750930507</v>
      </c>
      <c r="P479" s="81">
        <f t="shared" si="123"/>
        <v>0</v>
      </c>
      <c r="Q479" s="81">
        <f t="shared" si="123"/>
        <v>0</v>
      </c>
      <c r="R479" s="81">
        <f t="shared" si="123"/>
        <v>0</v>
      </c>
      <c r="S479" s="81">
        <f t="shared" si="123"/>
        <v>0</v>
      </c>
      <c r="T479" s="3"/>
      <c r="U479" s="3"/>
      <c r="V479" s="3"/>
      <c r="W479" s="3"/>
      <c r="X479" s="3"/>
      <c r="Y479" s="3"/>
      <c r="Z479" s="3"/>
    </row>
    <row r="480" spans="1:26" ht="12.75" x14ac:dyDescent="0.2">
      <c r="A480" s="3"/>
      <c r="B480" s="43"/>
      <c r="C480" s="46" t="s">
        <v>253</v>
      </c>
      <c r="D480" s="43"/>
      <c r="E480" s="43"/>
      <c r="F480" s="81"/>
      <c r="G480" s="81">
        <f t="shared" ref="G480:S480" si="124">F469*(F474*$G473)*(1-F475)</f>
        <v>-617641.67227332748</v>
      </c>
      <c r="H480" s="81">
        <f t="shared" si="124"/>
        <v>-215755.94207767208</v>
      </c>
      <c r="I480" s="81">
        <f t="shared" si="124"/>
        <v>222984.88347338038</v>
      </c>
      <c r="J480" s="81">
        <f t="shared" si="124"/>
        <v>688384.69524198677</v>
      </c>
      <c r="K480" s="81">
        <f t="shared" si="124"/>
        <v>1688891.1537555645</v>
      </c>
      <c r="L480" s="81">
        <f t="shared" si="124"/>
        <v>1472085.2003981913</v>
      </c>
      <c r="M480" s="81">
        <f t="shared" si="124"/>
        <v>1443131.398589924</v>
      </c>
      <c r="N480" s="81">
        <f t="shared" si="124"/>
        <v>1417180.9787635701</v>
      </c>
      <c r="O480" s="81">
        <f t="shared" si="124"/>
        <v>1387645.2055389539</v>
      </c>
      <c r="P480" s="81">
        <f t="shared" si="124"/>
        <v>1361106.9945820924</v>
      </c>
      <c r="Q480" s="81">
        <f t="shared" si="124"/>
        <v>0</v>
      </c>
      <c r="R480" s="81">
        <f t="shared" si="124"/>
        <v>0</v>
      </c>
      <c r="S480" s="81">
        <f t="shared" si="124"/>
        <v>0</v>
      </c>
      <c r="T480" s="3"/>
      <c r="U480" s="3"/>
      <c r="V480" s="3"/>
      <c r="W480" s="3"/>
      <c r="X480" s="3"/>
      <c r="Y480" s="3"/>
      <c r="Z480" s="3"/>
    </row>
    <row r="481" spans="1:26" ht="12.75" x14ac:dyDescent="0.2">
      <c r="A481" s="3"/>
      <c r="B481" s="43"/>
      <c r="C481" s="46" t="s">
        <v>254</v>
      </c>
      <c r="D481" s="43"/>
      <c r="E481" s="43"/>
      <c r="F481" s="81"/>
      <c r="G481" s="81"/>
      <c r="H481" s="81">
        <f t="shared" ref="H481:S481" si="125">F469*(F474*$H473)*(1-F475)</f>
        <v>-803535.13720920484</v>
      </c>
      <c r="I481" s="81">
        <f t="shared" si="125"/>
        <v>-280692.65450139914</v>
      </c>
      <c r="J481" s="81">
        <f t="shared" si="125"/>
        <v>290097.31205129845</v>
      </c>
      <c r="K481" s="81">
        <f t="shared" si="125"/>
        <v>895569.89979005605</v>
      </c>
      <c r="L481" s="81">
        <f t="shared" si="125"/>
        <v>2197201.7852510349</v>
      </c>
      <c r="M481" s="81">
        <f t="shared" si="125"/>
        <v>1915143.094428608</v>
      </c>
      <c r="N481" s="81">
        <f t="shared" si="125"/>
        <v>1877474.9801268277</v>
      </c>
      <c r="O481" s="81">
        <f t="shared" si="125"/>
        <v>1843714.1846820251</v>
      </c>
      <c r="P481" s="81">
        <f t="shared" si="125"/>
        <v>1805288.9412827762</v>
      </c>
      <c r="Q481" s="81">
        <f t="shared" si="125"/>
        <v>1770763.4454495353</v>
      </c>
      <c r="R481" s="81">
        <f t="shared" si="125"/>
        <v>0</v>
      </c>
      <c r="S481" s="81">
        <f t="shared" si="125"/>
        <v>0</v>
      </c>
      <c r="T481" s="3"/>
      <c r="U481" s="3"/>
      <c r="V481" s="3"/>
      <c r="W481" s="3"/>
      <c r="X481" s="3"/>
      <c r="Y481" s="3"/>
      <c r="Z481" s="3"/>
    </row>
    <row r="482" spans="1:26" ht="12.75" x14ac:dyDescent="0.2">
      <c r="A482" s="3"/>
      <c r="B482" s="43"/>
      <c r="C482" s="46" t="s">
        <v>255</v>
      </c>
      <c r="D482" s="43"/>
      <c r="E482" s="43"/>
      <c r="F482" s="81"/>
      <c r="G482" s="81"/>
      <c r="H482" s="81"/>
      <c r="I482" s="81">
        <f t="shared" ref="I482:S482" si="126">F469*(F474*$I473)*(1-F475)</f>
        <v>-850801.90998621681</v>
      </c>
      <c r="J482" s="81">
        <f t="shared" si="126"/>
        <v>-297203.98711912846</v>
      </c>
      <c r="K482" s="81">
        <f t="shared" si="126"/>
        <v>307161.85981902189</v>
      </c>
      <c r="L482" s="81">
        <f t="shared" si="126"/>
        <v>948250.48213064752</v>
      </c>
      <c r="M482" s="81">
        <f t="shared" si="126"/>
        <v>2326448.9490893311</v>
      </c>
      <c r="N482" s="81">
        <f t="shared" si="126"/>
        <v>2027798.570571467</v>
      </c>
      <c r="O482" s="81">
        <f t="shared" si="126"/>
        <v>1987914.6848401704</v>
      </c>
      <c r="P482" s="81">
        <f t="shared" si="126"/>
        <v>1952167.960251556</v>
      </c>
      <c r="Q482" s="81">
        <f t="shared" si="126"/>
        <v>1911482.408417057</v>
      </c>
      <c r="R482" s="81">
        <f t="shared" si="126"/>
        <v>1874926.0010642139</v>
      </c>
      <c r="S482" s="81">
        <f t="shared" si="126"/>
        <v>0</v>
      </c>
      <c r="T482" s="3"/>
      <c r="U482" s="3"/>
      <c r="V482" s="3"/>
      <c r="W482" s="3"/>
      <c r="X482" s="3"/>
      <c r="Y482" s="3"/>
      <c r="Z482" s="3"/>
    </row>
    <row r="483" spans="1:26" ht="12.75" x14ac:dyDescent="0.2">
      <c r="A483" s="3"/>
      <c r="B483" s="43"/>
      <c r="C483" s="46" t="s">
        <v>261</v>
      </c>
      <c r="D483" s="43"/>
      <c r="E483" s="43"/>
      <c r="F483" s="81"/>
      <c r="G483" s="81"/>
      <c r="H483" s="81"/>
      <c r="I483" s="81"/>
      <c r="J483" s="81">
        <f t="shared" ref="J483:S483" si="127">F469*(F474*$J473)*(1-F475)</f>
        <v>-911573.47498523234</v>
      </c>
      <c r="K483" s="81">
        <f t="shared" si="127"/>
        <v>-318432.84334192338</v>
      </c>
      <c r="L483" s="81">
        <f t="shared" si="127"/>
        <v>329101.99266323773</v>
      </c>
      <c r="M483" s="81">
        <f t="shared" si="127"/>
        <v>1015982.6594256938</v>
      </c>
      <c r="N483" s="81">
        <f t="shared" si="127"/>
        <v>2492623.8740242831</v>
      </c>
      <c r="O483" s="81">
        <f t="shared" si="127"/>
        <v>2172641.3256122861</v>
      </c>
      <c r="P483" s="81">
        <f t="shared" si="127"/>
        <v>2129908.5909001827</v>
      </c>
      <c r="Q483" s="81">
        <f t="shared" si="127"/>
        <v>2091608.5288409528</v>
      </c>
      <c r="R483" s="81">
        <f t="shared" si="127"/>
        <v>2048016.8661611322</v>
      </c>
      <c r="S483" s="81">
        <f t="shared" si="127"/>
        <v>2008849.2868545146</v>
      </c>
      <c r="T483" s="3"/>
      <c r="U483" s="3"/>
      <c r="V483" s="3"/>
      <c r="W483" s="3"/>
      <c r="X483" s="3"/>
      <c r="Y483" s="3"/>
      <c r="Z483" s="3"/>
    </row>
    <row r="484" spans="1:26" ht="12.75" x14ac:dyDescent="0.2">
      <c r="A484" s="3"/>
      <c r="B484" s="43"/>
      <c r="C484" s="68" t="s">
        <v>686</v>
      </c>
      <c r="D484" s="68"/>
      <c r="E484" s="68"/>
      <c r="F484" s="82">
        <f>SUM(F479:F483)</f>
        <v>-391638.97443809983</v>
      </c>
      <c r="G484" s="82">
        <f t="shared" ref="G484:S484" si="128">SUM(G479:G483)</f>
        <v>-754449.85682022793</v>
      </c>
      <c r="H484" s="82">
        <f t="shared" si="128"/>
        <v>-877899.11206859699</v>
      </c>
      <c r="I484" s="82">
        <f t="shared" si="128"/>
        <v>-472013.42733504856</v>
      </c>
      <c r="J484" s="82">
        <f t="shared" si="128"/>
        <v>840609.61699194997</v>
      </c>
      <c r="K484" s="82">
        <f t="shared" si="128"/>
        <v>3506621.1580635533</v>
      </c>
      <c r="L484" s="82">
        <f t="shared" si="128"/>
        <v>5861711.299496524</v>
      </c>
      <c r="M484" s="82">
        <f t="shared" si="128"/>
        <v>7599323.0991096692</v>
      </c>
      <c r="N484" s="82">
        <f t="shared" si="128"/>
        <v>8694967.1311701909</v>
      </c>
      <c r="O484" s="82">
        <f t="shared" si="128"/>
        <v>8254976.5757664861</v>
      </c>
      <c r="P484" s="82">
        <f t="shared" si="128"/>
        <v>7248472.4870166071</v>
      </c>
      <c r="Q484" s="82">
        <f t="shared" si="128"/>
        <v>5773854.3827075446</v>
      </c>
      <c r="R484" s="82">
        <f t="shared" si="128"/>
        <v>3922942.8672253462</v>
      </c>
      <c r="S484" s="82">
        <f t="shared" si="128"/>
        <v>2008849.2868545146</v>
      </c>
      <c r="T484" s="3"/>
      <c r="U484" s="3"/>
      <c r="V484" s="3"/>
      <c r="W484" s="3"/>
      <c r="X484" s="3"/>
      <c r="Y484" s="3"/>
      <c r="Z484" s="3"/>
    </row>
    <row r="485" spans="1:26" ht="12.75"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x14ac:dyDescent="0.2">
      <c r="A486" s="3"/>
      <c r="B486" s="57"/>
      <c r="C486" s="65" t="s">
        <v>262</v>
      </c>
      <c r="D486" s="43"/>
      <c r="E486" s="43"/>
      <c r="F486" s="43"/>
      <c r="G486" s="43"/>
      <c r="H486" s="43"/>
      <c r="I486" s="43"/>
      <c r="J486" s="43"/>
      <c r="K486" s="43"/>
      <c r="L486" s="43"/>
      <c r="M486" s="43"/>
      <c r="N486" s="43"/>
      <c r="O486" s="43"/>
      <c r="P486" s="43"/>
      <c r="Q486" s="43"/>
      <c r="R486" s="43"/>
      <c r="S486" s="43"/>
      <c r="T486" s="3"/>
      <c r="U486" s="3"/>
      <c r="V486" s="3"/>
      <c r="W486" s="3"/>
      <c r="X486" s="3"/>
      <c r="Y486" s="3"/>
      <c r="Z486" s="3"/>
    </row>
    <row r="487" spans="1:26" ht="12.75" x14ac:dyDescent="0.2">
      <c r="A487" s="3"/>
      <c r="B487" s="43"/>
      <c r="C487" s="68" t="s">
        <v>686</v>
      </c>
      <c r="D487" s="68"/>
      <c r="E487" s="68"/>
      <c r="F487" s="82">
        <f>$I$106*(I98/SUM($I$98:$I$102))*F$121/1000*(1+$I$107)</f>
        <v>396644.82568109577</v>
      </c>
      <c r="G487" s="82">
        <f>$I$106*(I99/SUM($I$98:$I$102))*G$121/1000*(1+$I$107)</f>
        <v>625536.2449146522</v>
      </c>
      <c r="H487" s="82">
        <f>$I$106*(I100/SUM($I$98:$I$102))*H$121/1000*(1+$I$107)</f>
        <v>813805.76303535164</v>
      </c>
      <c r="I487" s="82">
        <f>$I$106*(I101/SUM($I$98:$I$102))*I$121/1000*(1+$I$107)</f>
        <v>861676.6902727253</v>
      </c>
      <c r="J487" s="82">
        <f>$I$106*(I102/SUM($I$98:$I$102))*J$121/1000*(1+$I$107)</f>
        <v>923225.02529220562</v>
      </c>
      <c r="K487" s="82"/>
      <c r="L487" s="82"/>
      <c r="M487" s="82"/>
      <c r="N487" s="82"/>
      <c r="O487" s="82"/>
      <c r="P487" s="82"/>
      <c r="Q487" s="82"/>
      <c r="R487" s="82"/>
      <c r="S487" s="82"/>
      <c r="T487" s="3"/>
      <c r="U487" s="3"/>
      <c r="V487" s="3"/>
      <c r="W487" s="3"/>
      <c r="X487" s="3"/>
      <c r="Y487" s="3"/>
      <c r="Z487" s="3"/>
    </row>
    <row r="488" spans="1:26" ht="12.75"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x14ac:dyDescent="0.2">
      <c r="A489" s="3"/>
      <c r="B489" s="3"/>
      <c r="C489" s="72" t="s">
        <v>685</v>
      </c>
      <c r="D489" s="70"/>
      <c r="E489" s="70"/>
      <c r="F489" s="89">
        <f>F484-F487</f>
        <v>-788283.8001191956</v>
      </c>
      <c r="G489" s="89">
        <f t="shared" ref="G489:S489" si="129">G484-G487</f>
        <v>-1379986.1017348801</v>
      </c>
      <c r="H489" s="89">
        <f t="shared" si="129"/>
        <v>-1691704.8751039486</v>
      </c>
      <c r="I489" s="89">
        <f t="shared" si="129"/>
        <v>-1333690.1176077737</v>
      </c>
      <c r="J489" s="89">
        <f t="shared" si="129"/>
        <v>-82615.408300255658</v>
      </c>
      <c r="K489" s="89">
        <f t="shared" si="129"/>
        <v>3506621.1580635533</v>
      </c>
      <c r="L489" s="89">
        <f t="shared" si="129"/>
        <v>5861711.299496524</v>
      </c>
      <c r="M489" s="89">
        <f t="shared" si="129"/>
        <v>7599323.0991096692</v>
      </c>
      <c r="N489" s="89">
        <f t="shared" si="129"/>
        <v>8694967.1311701909</v>
      </c>
      <c r="O489" s="89">
        <f t="shared" si="129"/>
        <v>8254976.5757664861</v>
      </c>
      <c r="P489" s="89">
        <f t="shared" si="129"/>
        <v>7248472.4870166071</v>
      </c>
      <c r="Q489" s="89">
        <f t="shared" si="129"/>
        <v>5773854.3827075446</v>
      </c>
      <c r="R489" s="89">
        <f t="shared" si="129"/>
        <v>3922942.8672253462</v>
      </c>
      <c r="S489" s="89">
        <f t="shared" si="129"/>
        <v>2008849.2868545146</v>
      </c>
      <c r="T489" s="3"/>
      <c r="U489" s="3"/>
      <c r="V489" s="3"/>
      <c r="W489" s="3"/>
      <c r="X489" s="3"/>
      <c r="Y489" s="3"/>
      <c r="Z489" s="3"/>
    </row>
    <row r="490" spans="1:26" ht="13.5" thickBot="1" x14ac:dyDescent="0.25">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3.5" thickTop="1" x14ac:dyDescent="0.2">
      <c r="A491" s="3"/>
      <c r="B491" s="3"/>
      <c r="C491" s="86" t="s">
        <v>676</v>
      </c>
      <c r="D491" s="86"/>
      <c r="E491" s="86"/>
      <c r="F491" s="92">
        <f>NPV($F$20,G489:S489)+F489</f>
        <v>15975731.486823568</v>
      </c>
      <c r="G491" s="3"/>
      <c r="H491" s="3"/>
      <c r="I491" s="3"/>
      <c r="J491" s="3"/>
      <c r="K491" s="3"/>
      <c r="L491" s="3"/>
      <c r="M491" s="3"/>
      <c r="N491" s="3"/>
      <c r="O491" s="3"/>
      <c r="P491" s="3"/>
      <c r="Q491" s="3"/>
      <c r="R491" s="3"/>
      <c r="S491" s="3"/>
      <c r="T491" s="3"/>
      <c r="U491" s="3"/>
      <c r="V491" s="3"/>
      <c r="W491" s="3"/>
      <c r="X491" s="3"/>
      <c r="Y491" s="3"/>
      <c r="Z491" s="3"/>
    </row>
    <row r="492" spans="1:26" ht="12.75" x14ac:dyDescent="0.2">
      <c r="A492" s="3"/>
      <c r="B492" s="3"/>
      <c r="C492" s="65" t="s">
        <v>677</v>
      </c>
      <c r="D492" s="65"/>
      <c r="E492" s="65"/>
      <c r="F492" s="93">
        <f>F491/$F$10*1000</f>
        <v>101407461.51341608</v>
      </c>
      <c r="G492" s="3"/>
      <c r="H492" s="3"/>
      <c r="I492" s="3"/>
      <c r="J492" s="3"/>
      <c r="K492" s="3"/>
      <c r="L492" s="3"/>
      <c r="M492" s="3"/>
      <c r="N492" s="3"/>
      <c r="O492" s="3"/>
      <c r="P492" s="3"/>
      <c r="Q492" s="3"/>
      <c r="R492" s="3"/>
      <c r="S492" s="3"/>
      <c r="T492" s="3"/>
      <c r="U492" s="3"/>
      <c r="V492" s="3"/>
      <c r="W492" s="3"/>
      <c r="X492" s="3"/>
      <c r="Y492" s="3"/>
      <c r="Z492" s="3"/>
    </row>
    <row r="493" spans="1:26" ht="12.75" x14ac:dyDescent="0.2">
      <c r="A493" s="3"/>
      <c r="B493" s="3"/>
      <c r="C493" s="65" t="s">
        <v>683</v>
      </c>
      <c r="D493" s="65"/>
      <c r="E493" s="65"/>
      <c r="F493" s="95">
        <f>IRR(F489:S489)</f>
        <v>0.43415779450890213</v>
      </c>
      <c r="G493" s="3"/>
      <c r="H493" s="3"/>
      <c r="I493" s="3"/>
      <c r="J493" s="3"/>
      <c r="K493" s="3"/>
      <c r="L493" s="3"/>
      <c r="M493" s="3"/>
      <c r="N493" s="3"/>
      <c r="O493" s="3"/>
      <c r="P493" s="3"/>
      <c r="Q493" s="3"/>
      <c r="R493" s="3"/>
      <c r="S493" s="3"/>
      <c r="T493" s="3"/>
      <c r="U493" s="3"/>
      <c r="V493" s="3"/>
      <c r="W493" s="3"/>
      <c r="X493" s="3"/>
      <c r="Y493" s="3"/>
      <c r="Z493" s="3"/>
    </row>
    <row r="494" spans="1:26" ht="13.5" thickBot="1" x14ac:dyDescent="0.25">
      <c r="A494" s="3"/>
      <c r="B494" s="3"/>
      <c r="C494" s="87" t="s">
        <v>684</v>
      </c>
      <c r="D494" s="87"/>
      <c r="E494" s="87"/>
      <c r="F494" s="90">
        <f>MIRR(F489:S489,$F$20,$F$20)</f>
        <v>0.26065728495304019</v>
      </c>
      <c r="G494" s="3"/>
      <c r="H494" s="3"/>
      <c r="I494" s="3"/>
      <c r="J494" s="3"/>
      <c r="K494" s="3"/>
      <c r="L494" s="3"/>
      <c r="M494" s="3"/>
      <c r="N494" s="3"/>
      <c r="O494" s="3"/>
      <c r="P494" s="3"/>
      <c r="Q494" s="3"/>
      <c r="R494" s="3"/>
      <c r="S494" s="3"/>
      <c r="T494" s="3"/>
      <c r="U494" s="3"/>
      <c r="V494" s="3"/>
      <c r="W494" s="3"/>
      <c r="X494" s="3"/>
      <c r="Y494" s="3"/>
      <c r="Z494" s="3"/>
    </row>
    <row r="495" spans="1:26" ht="13.5" thickTop="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s="226" customFormat="1" ht="12.75" x14ac:dyDescent="0.2">
      <c r="A496" s="355" t="s">
        <v>914</v>
      </c>
      <c r="B496" s="353"/>
      <c r="C496" s="353"/>
      <c r="D496" s="356"/>
      <c r="E496" s="356"/>
      <c r="F496" s="357"/>
      <c r="G496" s="357"/>
      <c r="H496" s="357"/>
      <c r="I496" s="357"/>
      <c r="J496" s="357"/>
      <c r="K496" s="357"/>
      <c r="L496" s="357"/>
      <c r="M496" s="357"/>
      <c r="N496" s="357"/>
      <c r="O496" s="357"/>
      <c r="P496" s="357"/>
      <c r="Q496" s="357"/>
      <c r="R496" s="357"/>
      <c r="S496" s="357"/>
      <c r="T496" s="353"/>
      <c r="U496" s="353"/>
      <c r="V496" s="353"/>
      <c r="W496" s="353"/>
      <c r="X496" s="353"/>
      <c r="Y496" s="353"/>
      <c r="Z496" s="353"/>
    </row>
    <row r="497" spans="1:26" ht="12.75" x14ac:dyDescent="0.2">
      <c r="A497" s="3"/>
      <c r="B497" s="611" t="s">
        <v>752</v>
      </c>
      <c r="C497" s="610"/>
      <c r="D497" s="610"/>
      <c r="E497" s="610"/>
      <c r="F497" s="610"/>
      <c r="G497" s="610"/>
      <c r="H497" s="610"/>
      <c r="I497" s="610"/>
      <c r="J497" s="610"/>
      <c r="K497" s="610"/>
      <c r="L497" s="3"/>
      <c r="M497" s="3"/>
      <c r="N497" s="3"/>
      <c r="O497" s="3"/>
      <c r="P497" s="3"/>
      <c r="Q497" s="3"/>
      <c r="R497" s="3"/>
      <c r="S497" s="3"/>
      <c r="T497" s="3"/>
      <c r="U497" s="3"/>
      <c r="V497" s="3"/>
      <c r="W497" s="3"/>
      <c r="X497" s="3"/>
      <c r="Y497" s="3"/>
      <c r="Z497" s="3"/>
    </row>
    <row r="498" spans="1:26" ht="12.75" x14ac:dyDescent="0.2">
      <c r="A498" s="3"/>
      <c r="B498" s="358"/>
      <c r="C498" s="358"/>
      <c r="D498" s="358"/>
      <c r="E498" s="358"/>
      <c r="F498" s="358"/>
      <c r="G498" s="358"/>
      <c r="H498" s="358"/>
      <c r="I498" s="358"/>
      <c r="J498" s="358"/>
      <c r="K498" s="358"/>
      <c r="L498" s="3"/>
      <c r="M498" s="3"/>
      <c r="N498" s="3"/>
      <c r="O498" s="3"/>
      <c r="P498" s="3"/>
      <c r="Q498" s="3"/>
      <c r="R498" s="3"/>
      <c r="S498" s="3"/>
      <c r="T498" s="3"/>
      <c r="U498" s="3"/>
      <c r="V498" s="3"/>
      <c r="W498" s="3"/>
      <c r="X498" s="3"/>
      <c r="Y498" s="3"/>
      <c r="Z498" s="3"/>
    </row>
    <row r="499" spans="1:26" ht="25.5" x14ac:dyDescent="0.2">
      <c r="A499" s="3"/>
      <c r="B499" s="358"/>
      <c r="C499" s="359" t="s">
        <v>753</v>
      </c>
      <c r="D499" s="360" t="s">
        <v>812</v>
      </c>
      <c r="E499" s="361" t="s">
        <v>813</v>
      </c>
      <c r="F499" s="361" t="s">
        <v>814</v>
      </c>
      <c r="G499" s="358"/>
      <c r="H499" s="359" t="s">
        <v>754</v>
      </c>
      <c r="I499" s="360" t="s">
        <v>812</v>
      </c>
      <c r="J499" s="361" t="s">
        <v>813</v>
      </c>
      <c r="K499" s="361" t="s">
        <v>814</v>
      </c>
      <c r="L499" s="3"/>
      <c r="M499" s="3"/>
      <c r="N499" s="3"/>
      <c r="O499" s="3"/>
      <c r="P499" s="3"/>
      <c r="Q499" s="3"/>
      <c r="R499" s="3"/>
      <c r="S499" s="3"/>
      <c r="T499" s="3"/>
      <c r="U499" s="3"/>
      <c r="V499" s="3"/>
      <c r="W499" s="3"/>
      <c r="X499" s="3"/>
      <c r="Y499" s="3"/>
      <c r="Z499" s="3"/>
    </row>
    <row r="500" spans="1:26" ht="12.75" x14ac:dyDescent="0.2">
      <c r="A500" s="3"/>
      <c r="B500" s="358"/>
      <c r="C500" s="362"/>
      <c r="D500" s="363">
        <f>$F$377</f>
        <v>1869.1395289748632</v>
      </c>
      <c r="E500" s="364">
        <f>$F$492</f>
        <v>101407461.51341608</v>
      </c>
      <c r="F500" s="364">
        <f>$H$374*1000/$F$10</f>
        <v>253.13919642105725</v>
      </c>
      <c r="G500" s="358"/>
      <c r="H500" s="362"/>
      <c r="I500" s="363">
        <f>$F$377</f>
        <v>1869.1395289748632</v>
      </c>
      <c r="J500" s="364">
        <f>$F$492</f>
        <v>101407461.51341608</v>
      </c>
      <c r="K500" s="364">
        <f>$H$374*1000/$F$10</f>
        <v>253.13919642105725</v>
      </c>
      <c r="L500" s="3"/>
      <c r="M500" s="3"/>
      <c r="N500" s="3"/>
      <c r="O500" s="3"/>
      <c r="P500" s="3"/>
      <c r="Q500" s="3"/>
      <c r="R500" s="3"/>
      <c r="S500" s="3"/>
      <c r="T500" s="3"/>
      <c r="U500" s="3"/>
      <c r="V500" s="3"/>
      <c r="W500" s="3"/>
      <c r="X500" s="3"/>
      <c r="Y500" s="3"/>
      <c r="Z500" s="3"/>
    </row>
    <row r="501" spans="1:26" ht="12.75" x14ac:dyDescent="0.2">
      <c r="A501" s="3"/>
      <c r="B501" s="358"/>
      <c r="C501" s="365">
        <v>0.03</v>
      </c>
      <c r="D501" s="621">
        <f t="dataTable" ref="D501:F506" dt2D="0" dtr="0" r1="F8" ca="1"/>
        <v>1869.1395289748639</v>
      </c>
      <c r="E501" s="622">
        <v>101407461.51341616</v>
      </c>
      <c r="F501" s="622">
        <v>253.13919642105725</v>
      </c>
      <c r="G501" s="358"/>
      <c r="H501" s="365">
        <v>-0.01</v>
      </c>
      <c r="I501" s="621">
        <f t="dataTable" ref="I501:K506" dt2D="0" dtr="0" r1="F9" ca="1"/>
        <v>1869.1395289748639</v>
      </c>
      <c r="J501" s="622">
        <v>101407461.51341614</v>
      </c>
      <c r="K501" s="622">
        <v>253.13919642105725</v>
      </c>
      <c r="L501" s="3"/>
      <c r="M501" s="3"/>
      <c r="N501" s="3"/>
      <c r="O501" s="3"/>
      <c r="P501" s="3"/>
      <c r="Q501" s="3"/>
      <c r="R501" s="3"/>
      <c r="S501" s="3"/>
      <c r="T501" s="3"/>
      <c r="U501" s="3"/>
      <c r="V501" s="3"/>
      <c r="W501" s="3"/>
      <c r="X501" s="3"/>
      <c r="Y501" s="3"/>
      <c r="Z501" s="3"/>
    </row>
    <row r="502" spans="1:26" ht="12.75" x14ac:dyDescent="0.2">
      <c r="A502" s="3"/>
      <c r="B502" s="358"/>
      <c r="C502" s="368">
        <v>0.05</v>
      </c>
      <c r="D502" s="613">
        <v>1869.1395289748639</v>
      </c>
      <c r="E502" s="614">
        <v>101407461.51341608</v>
      </c>
      <c r="F502" s="614">
        <v>253.13919642105725</v>
      </c>
      <c r="G502" s="358"/>
      <c r="H502" s="368">
        <v>0</v>
      </c>
      <c r="I502" s="613">
        <v>1869.1395289748632</v>
      </c>
      <c r="J502" s="614">
        <v>101407461.5134161</v>
      </c>
      <c r="K502" s="614">
        <v>253.13919642105725</v>
      </c>
      <c r="L502" s="3"/>
      <c r="M502" s="3"/>
      <c r="N502" s="3"/>
      <c r="O502" s="3"/>
      <c r="P502" s="3"/>
      <c r="Q502" s="3"/>
      <c r="R502" s="3"/>
      <c r="S502" s="3"/>
      <c r="T502" s="3"/>
      <c r="U502" s="3"/>
      <c r="V502" s="3"/>
      <c r="W502" s="3"/>
      <c r="X502" s="3"/>
      <c r="Y502" s="3"/>
      <c r="Z502" s="3"/>
    </row>
    <row r="503" spans="1:26" ht="12.75" x14ac:dyDescent="0.2">
      <c r="A503" s="3"/>
      <c r="B503" s="358"/>
      <c r="C503" s="371">
        <v>7.0000000000000007E-2</v>
      </c>
      <c r="D503" s="617">
        <v>1869.1395289748639</v>
      </c>
      <c r="E503" s="618">
        <v>101407461.51341614</v>
      </c>
      <c r="F503" s="618">
        <v>253.13919642105725</v>
      </c>
      <c r="G503" s="358"/>
      <c r="H503" s="368">
        <v>0.01</v>
      </c>
      <c r="I503" s="613">
        <v>1869.1395289748632</v>
      </c>
      <c r="J503" s="614">
        <v>101407461.5134161</v>
      </c>
      <c r="K503" s="614">
        <v>253.13919642105725</v>
      </c>
      <c r="L503" s="3"/>
      <c r="M503" s="3"/>
      <c r="N503" s="3"/>
      <c r="O503" s="3"/>
      <c r="P503" s="3"/>
      <c r="Q503" s="3"/>
      <c r="R503" s="3"/>
      <c r="S503" s="3"/>
      <c r="T503" s="3"/>
      <c r="U503" s="3"/>
      <c r="V503" s="3"/>
      <c r="W503" s="3"/>
      <c r="X503" s="3"/>
      <c r="Y503" s="3"/>
      <c r="Z503" s="3"/>
    </row>
    <row r="504" spans="1:26" ht="12.75" x14ac:dyDescent="0.2">
      <c r="A504" s="3"/>
      <c r="B504" s="358"/>
      <c r="C504" s="368">
        <v>0.1</v>
      </c>
      <c r="D504" s="613">
        <v>1869.1395289748632</v>
      </c>
      <c r="E504" s="614">
        <v>101407461.5134161</v>
      </c>
      <c r="F504" s="614">
        <v>253.13919642105725</v>
      </c>
      <c r="G504" s="358"/>
      <c r="H504" s="374">
        <v>2.5000000000000001E-2</v>
      </c>
      <c r="I504" s="617">
        <v>1869.1395289748632</v>
      </c>
      <c r="J504" s="618">
        <v>101407461.51341608</v>
      </c>
      <c r="K504" s="618">
        <v>253.13919642105725</v>
      </c>
      <c r="L504" s="3"/>
      <c r="M504" s="3"/>
      <c r="N504" s="3"/>
      <c r="O504" s="3"/>
      <c r="P504" s="3"/>
      <c r="Q504" s="3"/>
      <c r="R504" s="3"/>
      <c r="S504" s="3"/>
      <c r="T504" s="3"/>
      <c r="U504" s="3"/>
      <c r="V504" s="3"/>
      <c r="W504" s="3"/>
      <c r="X504" s="3"/>
      <c r="Y504" s="3"/>
      <c r="Z504" s="3"/>
    </row>
    <row r="505" spans="1:26" ht="12.75" x14ac:dyDescent="0.2">
      <c r="A505" s="3"/>
      <c r="B505" s="358"/>
      <c r="C505" s="368">
        <v>0.15</v>
      </c>
      <c r="D505" s="613">
        <v>1869.1395289748632</v>
      </c>
      <c r="E505" s="614">
        <v>101407461.5134161</v>
      </c>
      <c r="F505" s="614">
        <v>253.13919642105708</v>
      </c>
      <c r="G505" s="358"/>
      <c r="H505" s="368">
        <v>0.04</v>
      </c>
      <c r="I505" s="613">
        <v>1869.1395289748632</v>
      </c>
      <c r="J505" s="614">
        <v>101407461.51341614</v>
      </c>
      <c r="K505" s="614">
        <v>253.13919642105725</v>
      </c>
      <c r="L505" s="3"/>
      <c r="M505" s="3"/>
      <c r="N505" s="3"/>
      <c r="O505" s="3"/>
      <c r="P505" s="3"/>
      <c r="Q505" s="3"/>
      <c r="R505" s="3"/>
      <c r="S505" s="3"/>
      <c r="T505" s="3"/>
      <c r="U505" s="3"/>
      <c r="V505" s="3"/>
      <c r="W505" s="3"/>
      <c r="X505" s="3"/>
      <c r="Y505" s="3"/>
      <c r="Z505" s="3"/>
    </row>
    <row r="506" spans="1:26" ht="12.75" x14ac:dyDescent="0.2">
      <c r="A506" s="3"/>
      <c r="B506" s="358"/>
      <c r="C506" s="375">
        <v>0.2</v>
      </c>
      <c r="D506" s="619">
        <v>1869.1395289748632</v>
      </c>
      <c r="E506" s="620">
        <v>101407461.5134161</v>
      </c>
      <c r="F506" s="620">
        <v>253.13919642105725</v>
      </c>
      <c r="G506" s="358"/>
      <c r="H506" s="375">
        <v>0.06</v>
      </c>
      <c r="I506" s="619">
        <v>1869.1395289748632</v>
      </c>
      <c r="J506" s="620">
        <v>101407461.51341608</v>
      </c>
      <c r="K506" s="620">
        <v>253.13919642105725</v>
      </c>
      <c r="L506" s="3"/>
      <c r="M506" s="3"/>
      <c r="N506" s="3"/>
      <c r="O506" s="3"/>
      <c r="P506" s="3"/>
      <c r="Q506" s="3"/>
      <c r="R506" s="3"/>
      <c r="S506" s="3"/>
      <c r="T506" s="3"/>
      <c r="U506" s="3"/>
      <c r="V506" s="3"/>
      <c r="W506" s="3"/>
      <c r="X506" s="3"/>
      <c r="Y506" s="3"/>
      <c r="Z506" s="3"/>
    </row>
    <row r="507" spans="1:26" ht="12.75" x14ac:dyDescent="0.2">
      <c r="A507" s="3"/>
      <c r="B507" s="358"/>
      <c r="C507" s="358"/>
      <c r="D507" s="358"/>
      <c r="E507" s="358"/>
      <c r="F507" s="358"/>
      <c r="G507" s="358"/>
      <c r="H507" s="358"/>
      <c r="I507" s="358"/>
      <c r="J507" s="358"/>
      <c r="K507" s="358"/>
      <c r="L507" s="3"/>
      <c r="M507" s="3"/>
      <c r="N507" s="3"/>
      <c r="O507" s="3"/>
      <c r="P507" s="3"/>
      <c r="Q507" s="3"/>
      <c r="R507" s="3"/>
      <c r="S507" s="3"/>
      <c r="T507" s="3"/>
      <c r="U507" s="3"/>
      <c r="V507" s="3"/>
      <c r="W507" s="3"/>
      <c r="X507" s="3"/>
      <c r="Y507" s="3"/>
      <c r="Z507" s="3"/>
    </row>
    <row r="508" spans="1:26" ht="51" x14ac:dyDescent="0.2">
      <c r="A508" s="3"/>
      <c r="B508" s="358"/>
      <c r="C508" s="359" t="s">
        <v>181</v>
      </c>
      <c r="D508" s="360" t="s">
        <v>812</v>
      </c>
      <c r="E508" s="361" t="s">
        <v>813</v>
      </c>
      <c r="F508" s="361" t="s">
        <v>814</v>
      </c>
      <c r="G508" s="358"/>
      <c r="H508" s="359" t="s">
        <v>951</v>
      </c>
      <c r="I508" s="360" t="s">
        <v>812</v>
      </c>
      <c r="J508" s="361" t="s">
        <v>813</v>
      </c>
      <c r="K508" s="361" t="s">
        <v>814</v>
      </c>
      <c r="L508" s="3"/>
      <c r="M508" s="3"/>
      <c r="N508" s="3"/>
      <c r="O508" s="3"/>
      <c r="P508" s="3"/>
      <c r="Q508" s="3"/>
      <c r="R508" s="3"/>
      <c r="S508" s="3"/>
      <c r="T508" s="3"/>
      <c r="U508" s="3"/>
      <c r="V508" s="3"/>
      <c r="W508" s="3"/>
      <c r="X508" s="3"/>
      <c r="Y508" s="3"/>
      <c r="Z508" s="3"/>
    </row>
    <row r="509" spans="1:26" ht="12.75" x14ac:dyDescent="0.2">
      <c r="A509" s="3"/>
      <c r="B509" s="354"/>
      <c r="C509" s="362"/>
      <c r="D509" s="363">
        <f>$F$377</f>
        <v>1869.1395289748632</v>
      </c>
      <c r="E509" s="364">
        <f>$F$492</f>
        <v>101407461.51341608</v>
      </c>
      <c r="F509" s="364">
        <f>$H$374*1000/$F$10</f>
        <v>253.13919642105725</v>
      </c>
      <c r="G509" s="358"/>
      <c r="H509" s="362"/>
      <c r="I509" s="363">
        <f>$F$377</f>
        <v>1869.1395289748632</v>
      </c>
      <c r="J509" s="364">
        <f>$F$492</f>
        <v>101407461.51341608</v>
      </c>
      <c r="K509" s="364">
        <f>$H$374*1000/$F$10</f>
        <v>253.13919642105725</v>
      </c>
      <c r="L509" s="3"/>
      <c r="M509" s="3"/>
      <c r="N509" s="3"/>
      <c r="O509" s="3"/>
      <c r="P509" s="3"/>
      <c r="Q509" s="3"/>
      <c r="R509" s="3"/>
      <c r="S509" s="3"/>
      <c r="T509" s="3"/>
      <c r="U509" s="3"/>
      <c r="V509" s="3"/>
      <c r="W509" s="3"/>
      <c r="X509" s="3"/>
      <c r="Y509" s="3"/>
      <c r="Z509" s="3"/>
    </row>
    <row r="510" spans="1:26" ht="12.75" x14ac:dyDescent="0.2">
      <c r="A510" s="3"/>
      <c r="B510" s="354"/>
      <c r="C510" s="378">
        <v>140</v>
      </c>
      <c r="D510" s="621">
        <f t="dataTable" ref="D510:F515" dt2D="0" dtr="0" r1="F10" ca="1"/>
        <v>2221.991490375201</v>
      </c>
      <c r="E510" s="622">
        <v>123608763.55645314</v>
      </c>
      <c r="F510" s="622">
        <v>306.50581227975948</v>
      </c>
      <c r="G510" s="358"/>
      <c r="H510" s="365">
        <v>-0.02</v>
      </c>
      <c r="I510" s="621">
        <f t="dataTable" ref="I510:K515" dt2D="0" dtr="0" r1="F11" ca="1"/>
        <v>1928.3444792703069</v>
      </c>
      <c r="J510" s="622">
        <v>116040944.13756903</v>
      </c>
      <c r="K510" s="622">
        <v>259.9828727445306</v>
      </c>
      <c r="L510" s="3"/>
      <c r="M510" s="3"/>
      <c r="N510" s="3"/>
      <c r="O510" s="3"/>
      <c r="P510" s="3"/>
      <c r="Q510" s="3"/>
      <c r="R510" s="3"/>
      <c r="S510" s="3"/>
      <c r="T510" s="3"/>
      <c r="U510" s="3"/>
      <c r="V510" s="3"/>
      <c r="W510" s="3"/>
      <c r="X510" s="3"/>
      <c r="Y510" s="3"/>
      <c r="Z510" s="3"/>
    </row>
    <row r="511" spans="1:26" ht="12.75" x14ac:dyDescent="0.2">
      <c r="A511" s="3"/>
      <c r="B511" s="354"/>
      <c r="C511" s="379">
        <v>150</v>
      </c>
      <c r="D511" s="613">
        <v>2010.7094759357892</v>
      </c>
      <c r="E511" s="614">
        <v>111094692.36129467</v>
      </c>
      <c r="F511" s="614">
        <v>274.55075084920088</v>
      </c>
      <c r="G511" s="358"/>
      <c r="H511" s="368">
        <v>-0.01</v>
      </c>
      <c r="I511" s="613">
        <v>1899.4080774767708</v>
      </c>
      <c r="J511" s="614">
        <v>108884885.31065448</v>
      </c>
      <c r="K511" s="614">
        <v>256.57831659371163</v>
      </c>
      <c r="L511" s="3"/>
      <c r="M511" s="3"/>
      <c r="N511" s="3"/>
      <c r="O511" s="3"/>
      <c r="P511" s="3"/>
      <c r="Q511" s="3"/>
      <c r="R511" s="3"/>
      <c r="S511" s="3"/>
      <c r="T511" s="3"/>
      <c r="U511" s="3"/>
      <c r="V511" s="3"/>
      <c r="W511" s="3"/>
      <c r="X511" s="3"/>
      <c r="Y511" s="3"/>
      <c r="Z511" s="3"/>
    </row>
    <row r="512" spans="1:26" ht="12.75" x14ac:dyDescent="0.2">
      <c r="A512" s="3"/>
      <c r="B512" s="354"/>
      <c r="C512" s="380">
        <v>157.54</v>
      </c>
      <c r="D512" s="617">
        <v>1869.1395289748632</v>
      </c>
      <c r="E512" s="618">
        <v>101407461.51341608</v>
      </c>
      <c r="F512" s="618">
        <v>253.13919642105725</v>
      </c>
      <c r="G512" s="358"/>
      <c r="H512" s="371">
        <v>0</v>
      </c>
      <c r="I512" s="617">
        <v>1869.1395289748632</v>
      </c>
      <c r="J512" s="618">
        <v>101407461.51341608</v>
      </c>
      <c r="K512" s="618">
        <v>253.13919642105725</v>
      </c>
      <c r="L512" s="3"/>
      <c r="M512" s="3"/>
      <c r="N512" s="3"/>
      <c r="O512" s="3"/>
      <c r="P512" s="3"/>
      <c r="Q512" s="3"/>
      <c r="R512" s="3"/>
      <c r="S512" s="3"/>
      <c r="T512" s="3"/>
      <c r="U512" s="3"/>
      <c r="V512" s="3"/>
      <c r="W512" s="3"/>
      <c r="X512" s="3"/>
      <c r="Y512" s="3"/>
      <c r="Z512" s="3"/>
    </row>
    <row r="513" spans="1:26" ht="12.75" x14ac:dyDescent="0.2">
      <c r="A513" s="3"/>
      <c r="B513" s="354"/>
      <c r="C513" s="379">
        <v>165</v>
      </c>
      <c r="D513" s="613">
        <v>1741.8050939219925</v>
      </c>
      <c r="E513" s="614">
        <v>91865400.805750012</v>
      </c>
      <c r="F513" s="614">
        <v>233.88067266485339</v>
      </c>
      <c r="G513" s="358"/>
      <c r="H513" s="597">
        <v>0.01</v>
      </c>
      <c r="I513" s="615">
        <v>1837.4739456389887</v>
      </c>
      <c r="J513" s="616">
        <v>93593141.732248604</v>
      </c>
      <c r="K513" s="616">
        <v>249.66551222656716</v>
      </c>
      <c r="L513" s="3"/>
      <c r="M513" s="3"/>
      <c r="N513" s="3"/>
      <c r="O513" s="3"/>
      <c r="P513" s="3"/>
      <c r="Q513" s="3"/>
      <c r="R513" s="3"/>
      <c r="S513" s="3"/>
      <c r="T513" s="3"/>
      <c r="U513" s="3"/>
      <c r="V513" s="3"/>
      <c r="W513" s="3"/>
      <c r="X513" s="3"/>
      <c r="Y513" s="3"/>
      <c r="Z513" s="3"/>
    </row>
    <row r="514" spans="1:26" ht="12.75" x14ac:dyDescent="0.2">
      <c r="A514" s="3"/>
      <c r="B514" s="354"/>
      <c r="C514" s="379">
        <v>175</v>
      </c>
      <c r="D514" s="613">
        <v>1588.1454470569663</v>
      </c>
      <c r="E514" s="614">
        <v>79369461.333896399</v>
      </c>
      <c r="F514" s="614">
        <v>210.64062798808354</v>
      </c>
      <c r="G514" s="358"/>
      <c r="H514" s="368">
        <v>0.02</v>
      </c>
      <c r="I514" s="613">
        <v>1804.3434564229408</v>
      </c>
      <c r="J514" s="614">
        <v>85425676.550067782</v>
      </c>
      <c r="K514" s="614">
        <v>246.15726401024085</v>
      </c>
      <c r="L514" s="3"/>
      <c r="M514" s="3"/>
      <c r="N514" s="3"/>
      <c r="O514" s="3"/>
      <c r="P514" s="3"/>
      <c r="Q514" s="3"/>
      <c r="R514" s="3"/>
      <c r="S514" s="3"/>
      <c r="T514" s="3"/>
      <c r="U514" s="3"/>
      <c r="V514" s="3"/>
      <c r="W514" s="3"/>
      <c r="X514" s="3"/>
      <c r="Y514" s="3"/>
      <c r="Z514" s="3"/>
    </row>
    <row r="515" spans="1:26" ht="12.75" x14ac:dyDescent="0.2">
      <c r="A515" s="3"/>
      <c r="B515" s="354"/>
      <c r="C515" s="381">
        <v>185</v>
      </c>
      <c r="D515" s="619">
        <v>1451.0976539070775</v>
      </c>
      <c r="E515" s="620">
        <v>67372981.307419702</v>
      </c>
      <c r="F515" s="620">
        <v>189.91302057366721</v>
      </c>
      <c r="G515" s="358"/>
      <c r="H515" s="375">
        <v>0.05</v>
      </c>
      <c r="I515" s="619">
        <v>1695.4365370484559</v>
      </c>
      <c r="J515" s="620">
        <v>58630514.443082444</v>
      </c>
      <c r="K515" s="620">
        <v>235.42513523024846</v>
      </c>
      <c r="L515" s="3"/>
      <c r="M515" s="3"/>
      <c r="N515" s="3"/>
      <c r="O515" s="3"/>
      <c r="P515" s="3"/>
      <c r="Q515" s="3"/>
      <c r="R515" s="3"/>
      <c r="S515" s="3"/>
      <c r="T515" s="3"/>
      <c r="U515" s="3"/>
      <c r="V515" s="3"/>
      <c r="W515" s="3"/>
      <c r="X515" s="3"/>
      <c r="Y515" s="3"/>
      <c r="Z515" s="3"/>
    </row>
    <row r="516" spans="1:26" ht="12.75" x14ac:dyDescent="0.2">
      <c r="A516" s="3"/>
      <c r="B516" s="354"/>
      <c r="C516" s="354"/>
      <c r="D516" s="354"/>
      <c r="E516" s="354"/>
      <c r="F516" s="354"/>
      <c r="G516" s="354"/>
      <c r="H516" s="354"/>
      <c r="I516" s="354"/>
      <c r="J516" s="354"/>
      <c r="K516" s="354"/>
      <c r="L516" s="3"/>
      <c r="M516" s="3"/>
      <c r="N516" s="3"/>
      <c r="O516" s="3"/>
      <c r="P516" s="3"/>
      <c r="Q516" s="3"/>
      <c r="R516" s="3"/>
      <c r="S516" s="3"/>
      <c r="T516" s="3"/>
      <c r="U516" s="3"/>
      <c r="V516" s="3"/>
      <c r="W516" s="3"/>
      <c r="X516" s="3"/>
      <c r="Y516" s="3"/>
      <c r="Z516" s="3"/>
    </row>
    <row r="517" spans="1:26" ht="25.5" x14ac:dyDescent="0.2">
      <c r="A517" s="3"/>
      <c r="B517" s="354"/>
      <c r="C517" s="359" t="s">
        <v>21</v>
      </c>
      <c r="D517" s="360" t="s">
        <v>812</v>
      </c>
      <c r="E517" s="657" t="s">
        <v>813</v>
      </c>
      <c r="F517" s="361" t="s">
        <v>814</v>
      </c>
      <c r="G517" s="358"/>
      <c r="H517" s="359" t="s">
        <v>23</v>
      </c>
      <c r="I517" s="662" t="s">
        <v>812</v>
      </c>
      <c r="J517" s="361" t="s">
        <v>813</v>
      </c>
      <c r="K517" s="657" t="s">
        <v>814</v>
      </c>
      <c r="L517" s="3"/>
      <c r="M517" s="3"/>
      <c r="N517" s="3"/>
      <c r="O517" s="3"/>
      <c r="P517" s="3"/>
      <c r="Q517" s="3"/>
      <c r="R517" s="3"/>
      <c r="S517" s="3"/>
      <c r="T517" s="3"/>
      <c r="U517" s="3"/>
      <c r="V517" s="3"/>
      <c r="W517" s="3"/>
      <c r="X517" s="3"/>
      <c r="Y517" s="3"/>
      <c r="Z517" s="3"/>
    </row>
    <row r="518" spans="1:26" ht="12.75" x14ac:dyDescent="0.2">
      <c r="A518" s="3"/>
      <c r="B518" s="354"/>
      <c r="C518" s="362"/>
      <c r="D518" s="669">
        <f>$F$377</f>
        <v>1869.1395289748632</v>
      </c>
      <c r="E518" s="670">
        <f>$F$492</f>
        <v>101407461.51341608</v>
      </c>
      <c r="F518" s="670">
        <f>$H$374*1000/$F$10</f>
        <v>253.13919642105725</v>
      </c>
      <c r="G518" s="358"/>
      <c r="H518" s="362"/>
      <c r="I518" s="669">
        <f>$F$377</f>
        <v>1869.1395289748632</v>
      </c>
      <c r="J518" s="670">
        <f>$F$492</f>
        <v>101407461.51341608</v>
      </c>
      <c r="K518" s="670">
        <f>$H$374*1000/$F$10</f>
        <v>253.13919642105725</v>
      </c>
      <c r="L518" s="3"/>
      <c r="M518" s="3"/>
      <c r="N518" s="3"/>
      <c r="O518" s="3"/>
      <c r="P518" s="3"/>
      <c r="Q518" s="3"/>
      <c r="R518" s="3"/>
      <c r="S518" s="3"/>
      <c r="T518" s="3"/>
      <c r="U518" s="3"/>
      <c r="V518" s="3"/>
      <c r="W518" s="3"/>
      <c r="X518" s="3"/>
      <c r="Y518" s="3"/>
      <c r="Z518" s="3"/>
    </row>
    <row r="519" spans="1:26" ht="12.75" x14ac:dyDescent="0.2">
      <c r="A519" s="3"/>
      <c r="B519" s="354"/>
      <c r="C519" s="382">
        <v>7.0000000000000007E-2</v>
      </c>
      <c r="D519" s="621">
        <f t="dataTable" ref="D519:F524" dt2D="0" dtr="0" r1="F19" ca="1"/>
        <v>2902.5272422290127</v>
      </c>
      <c r="E519" s="668">
        <v>101407461.51341608</v>
      </c>
      <c r="F519" s="622">
        <v>253.13919642105725</v>
      </c>
      <c r="G519" s="358"/>
      <c r="H519" s="365">
        <v>0.06</v>
      </c>
      <c r="I519" s="667">
        <f t="dataTable" ref="I519:K524" dt2D="0" dtr="0" r1="F20" ca="1"/>
        <v>1869.1395289748632</v>
      </c>
      <c r="J519" s="622">
        <v>173591223.72148967</v>
      </c>
      <c r="K519" s="668">
        <v>253.13919642105725</v>
      </c>
      <c r="L519" s="3"/>
      <c r="M519" s="3"/>
      <c r="N519" s="3"/>
      <c r="O519" s="3"/>
      <c r="P519" s="3"/>
      <c r="Q519" s="3"/>
      <c r="R519" s="3"/>
      <c r="S519" s="3"/>
      <c r="T519" s="3"/>
      <c r="U519" s="3"/>
      <c r="V519" s="3"/>
      <c r="W519" s="3"/>
      <c r="X519" s="3"/>
      <c r="Y519" s="3"/>
      <c r="Z519" s="3"/>
    </row>
    <row r="520" spans="1:26" ht="12.75" x14ac:dyDescent="0.2">
      <c r="A520" s="3"/>
      <c r="B520" s="354"/>
      <c r="C520" s="383">
        <v>0.1</v>
      </c>
      <c r="D520" s="613">
        <v>2514.2934265928798</v>
      </c>
      <c r="E520" s="658">
        <v>101407461.51341608</v>
      </c>
      <c r="F520" s="614">
        <v>253.13919642105725</v>
      </c>
      <c r="G520" s="358"/>
      <c r="H520" s="368">
        <v>0.08</v>
      </c>
      <c r="I520" s="663">
        <v>1869.1395289748632</v>
      </c>
      <c r="J520" s="614">
        <v>144954350.344666</v>
      </c>
      <c r="K520" s="658">
        <v>253.13919642105725</v>
      </c>
      <c r="L520" s="3"/>
      <c r="M520" s="3"/>
      <c r="N520" s="3"/>
      <c r="O520" s="3"/>
      <c r="P520" s="3"/>
      <c r="Q520" s="3"/>
      <c r="R520" s="3"/>
      <c r="S520" s="3"/>
      <c r="T520" s="3"/>
      <c r="U520" s="3"/>
      <c r="V520" s="3"/>
      <c r="W520" s="3"/>
      <c r="X520" s="3"/>
      <c r="Y520" s="3"/>
      <c r="Z520" s="3"/>
    </row>
    <row r="521" spans="1:26" ht="12.75" x14ac:dyDescent="0.2">
      <c r="A521" s="3"/>
      <c r="B521" s="354"/>
      <c r="C521" s="384">
        <v>0.12</v>
      </c>
      <c r="D521" s="615">
        <v>2295.0671132104644</v>
      </c>
      <c r="E521" s="659">
        <v>101407461.51341608</v>
      </c>
      <c r="F521" s="616">
        <v>253.13919642105725</v>
      </c>
      <c r="G521" s="358"/>
      <c r="H521" s="368">
        <v>0.1</v>
      </c>
      <c r="I521" s="663">
        <v>1869.1395289748632</v>
      </c>
      <c r="J521" s="614">
        <v>121199381.13511488</v>
      </c>
      <c r="K521" s="658">
        <v>253.13919642105725</v>
      </c>
      <c r="L521" s="3"/>
      <c r="M521" s="3"/>
      <c r="N521" s="3"/>
      <c r="O521" s="3"/>
      <c r="P521" s="3"/>
      <c r="Q521" s="3"/>
      <c r="R521" s="3"/>
      <c r="S521" s="3"/>
      <c r="T521" s="3"/>
      <c r="U521" s="3"/>
      <c r="V521" s="3"/>
      <c r="W521" s="3"/>
      <c r="X521" s="3"/>
      <c r="Y521" s="3"/>
      <c r="Z521" s="3"/>
    </row>
    <row r="522" spans="1:26" ht="12.75" x14ac:dyDescent="0.2">
      <c r="A522" s="3"/>
      <c r="B522" s="354"/>
      <c r="C522" s="387">
        <v>0.16800000000000001</v>
      </c>
      <c r="D522" s="617">
        <v>1869.1395289748632</v>
      </c>
      <c r="E522" s="660">
        <v>101407461.51341608</v>
      </c>
      <c r="F522" s="618">
        <v>253.13919642105725</v>
      </c>
      <c r="G522" s="358"/>
      <c r="H522" s="371">
        <v>0.12</v>
      </c>
      <c r="I522" s="665">
        <v>1869.1395289748632</v>
      </c>
      <c r="J522" s="618">
        <v>101407461.51341608</v>
      </c>
      <c r="K522" s="660">
        <v>253.13919642105725</v>
      </c>
      <c r="L522" s="3"/>
      <c r="M522" s="3"/>
      <c r="N522" s="3"/>
      <c r="O522" s="3"/>
      <c r="P522" s="3"/>
      <c r="Q522" s="3"/>
      <c r="R522" s="3"/>
      <c r="S522" s="3"/>
      <c r="T522" s="3"/>
      <c r="U522" s="3"/>
      <c r="V522" s="3"/>
      <c r="W522" s="3"/>
      <c r="X522" s="3"/>
      <c r="Y522" s="3"/>
      <c r="Z522" s="3"/>
    </row>
    <row r="523" spans="1:26" ht="12.75" x14ac:dyDescent="0.2">
      <c r="A523" s="3"/>
      <c r="B523" s="354"/>
      <c r="C523" s="383">
        <v>0.2</v>
      </c>
      <c r="D523" s="613">
        <v>1646.3897796956749</v>
      </c>
      <c r="E523" s="658">
        <v>101407461.51341608</v>
      </c>
      <c r="F523" s="614">
        <v>253.13919642105725</v>
      </c>
      <c r="G523" s="358"/>
      <c r="H523" s="368">
        <v>0.14000000000000001</v>
      </c>
      <c r="I523" s="663">
        <v>1869.1395289748632</v>
      </c>
      <c r="J523" s="614">
        <v>84848794.30598861</v>
      </c>
      <c r="K523" s="658">
        <v>253.13919642105725</v>
      </c>
      <c r="L523" s="3"/>
      <c r="M523" s="3"/>
      <c r="N523" s="3"/>
      <c r="O523" s="3"/>
      <c r="P523" s="3"/>
      <c r="Q523" s="3"/>
      <c r="R523" s="3"/>
      <c r="S523" s="3"/>
      <c r="T523" s="3"/>
      <c r="U523" s="3"/>
      <c r="V523" s="3"/>
      <c r="W523" s="3"/>
      <c r="X523" s="3"/>
      <c r="Y523" s="3"/>
      <c r="Z523" s="3"/>
    </row>
    <row r="524" spans="1:26" ht="12.75" x14ac:dyDescent="0.2">
      <c r="A524" s="3"/>
      <c r="B524" s="354"/>
      <c r="C524" s="388">
        <v>0.25</v>
      </c>
      <c r="D524" s="619">
        <v>1370.0016252142705</v>
      </c>
      <c r="E524" s="661">
        <v>101407461.51341608</v>
      </c>
      <c r="F524" s="620">
        <v>253.13919642105725</v>
      </c>
      <c r="G524" s="358"/>
      <c r="H524" s="375">
        <v>0.16</v>
      </c>
      <c r="I524" s="666">
        <v>1869.1395289748632</v>
      </c>
      <c r="J524" s="620">
        <v>70940618.762602389</v>
      </c>
      <c r="K524" s="661">
        <v>253.13919642105725</v>
      </c>
      <c r="L524" s="3"/>
      <c r="M524" s="3"/>
      <c r="N524" s="3"/>
      <c r="O524" s="3"/>
      <c r="P524" s="3"/>
      <c r="Q524" s="3"/>
      <c r="R524" s="3"/>
      <c r="S524" s="3"/>
      <c r="T524" s="3"/>
      <c r="U524" s="3"/>
      <c r="V524" s="3"/>
      <c r="W524" s="3"/>
      <c r="X524" s="3"/>
      <c r="Y524" s="3"/>
      <c r="Z524" s="3"/>
    </row>
    <row r="525" spans="1:26" ht="12.75"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38.25" x14ac:dyDescent="0.2">
      <c r="A526" s="3"/>
      <c r="B526" s="3"/>
      <c r="C526" s="359" t="s">
        <v>950</v>
      </c>
      <c r="D526" s="360" t="s">
        <v>812</v>
      </c>
      <c r="E526" s="361" t="s">
        <v>813</v>
      </c>
      <c r="F526" s="361" t="s">
        <v>814</v>
      </c>
      <c r="G526" s="3"/>
      <c r="H526" s="359" t="s">
        <v>911</v>
      </c>
      <c r="I526" s="360" t="s">
        <v>812</v>
      </c>
      <c r="J526" s="361" t="s">
        <v>813</v>
      </c>
      <c r="K526" s="361" t="s">
        <v>814</v>
      </c>
      <c r="L526" s="3"/>
      <c r="M526" s="3"/>
      <c r="N526" s="3"/>
      <c r="O526" s="3"/>
      <c r="P526" s="3"/>
      <c r="Q526" s="3"/>
      <c r="R526" s="3"/>
      <c r="S526" s="3"/>
      <c r="T526" s="3"/>
      <c r="U526" s="3"/>
      <c r="V526" s="3"/>
      <c r="W526" s="3"/>
      <c r="X526" s="3"/>
      <c r="Y526" s="3"/>
      <c r="Z526" s="3"/>
    </row>
    <row r="527" spans="1:26" ht="12.75" x14ac:dyDescent="0.2">
      <c r="A527" s="3"/>
      <c r="B527" s="3"/>
      <c r="C527" s="362"/>
      <c r="D527" s="363">
        <f>$F$377</f>
        <v>1869.1395289748632</v>
      </c>
      <c r="E527" s="364">
        <f>$F$492</f>
        <v>101407461.51341608</v>
      </c>
      <c r="F527" s="364">
        <f>$H$374*1000/$F$10</f>
        <v>253.13919642105725</v>
      </c>
      <c r="G527" s="3"/>
      <c r="H527" s="362"/>
      <c r="I527" s="363">
        <f>$F$377</f>
        <v>1869.1395289748632</v>
      </c>
      <c r="J527" s="364">
        <f>$F$492</f>
        <v>101407461.51341608</v>
      </c>
      <c r="K527" s="364">
        <f>$H$374*1000/$F$10</f>
        <v>253.13919642105725</v>
      </c>
      <c r="L527" s="3"/>
      <c r="M527" s="3"/>
      <c r="N527" s="3"/>
      <c r="O527" s="3"/>
      <c r="P527" s="3"/>
      <c r="Q527" s="3"/>
      <c r="R527" s="3"/>
      <c r="S527" s="3"/>
      <c r="T527" s="3"/>
      <c r="U527" s="3"/>
      <c r="V527" s="3"/>
      <c r="W527" s="3"/>
      <c r="X527" s="3"/>
      <c r="Y527" s="3"/>
      <c r="Z527" s="3"/>
    </row>
    <row r="528" spans="1:26" ht="12.75" x14ac:dyDescent="0.2">
      <c r="A528" s="3"/>
      <c r="B528" s="3"/>
      <c r="C528" s="382">
        <v>-0.03</v>
      </c>
      <c r="D528" s="621">
        <f t="dataTable" ref="D528:F535" dt2D="0" dtr="0" r1="F54" ca="1"/>
        <v>1943.2625552116726</v>
      </c>
      <c r="E528" s="622">
        <v>116365807.50638345</v>
      </c>
      <c r="F528" s="622">
        <v>266.03674015344268</v>
      </c>
      <c r="G528" s="3"/>
      <c r="H528" s="382">
        <v>-0.03</v>
      </c>
      <c r="I528" s="621">
        <f t="dataTable" ref="I528:K535" dt2D="0" dtr="0" r1="F77" ca="1"/>
        <v>1904.2562993012079</v>
      </c>
      <c r="J528" s="622">
        <v>109588677.08334984</v>
      </c>
      <c r="K528" s="622">
        <v>259.54611783784009</v>
      </c>
      <c r="L528" s="3"/>
      <c r="M528" s="3"/>
      <c r="N528" s="3"/>
      <c r="O528" s="3"/>
      <c r="P528" s="3"/>
      <c r="Q528" s="3"/>
      <c r="R528" s="3"/>
      <c r="S528" s="3"/>
      <c r="T528" s="3"/>
      <c r="U528" s="3"/>
      <c r="V528" s="3"/>
      <c r="W528" s="3"/>
      <c r="X528" s="3"/>
      <c r="Y528" s="3"/>
      <c r="Z528" s="3"/>
    </row>
    <row r="529" spans="1:26" ht="12.75" x14ac:dyDescent="0.2">
      <c r="A529" s="3"/>
      <c r="B529" s="3"/>
      <c r="C529" s="383">
        <v>-0.02</v>
      </c>
      <c r="D529" s="613">
        <v>1919.5328397415981</v>
      </c>
      <c r="E529" s="614">
        <v>111577980.60099471</v>
      </c>
      <c r="F529" s="614">
        <v>261.78120541940632</v>
      </c>
      <c r="G529" s="3"/>
      <c r="H529" s="383">
        <v>-0.02</v>
      </c>
      <c r="I529" s="613">
        <v>1892.5507091924264</v>
      </c>
      <c r="J529" s="614">
        <v>106861605.22670528</v>
      </c>
      <c r="K529" s="614">
        <v>257.41047736557908</v>
      </c>
      <c r="L529" s="3"/>
      <c r="M529" s="3"/>
      <c r="N529" s="3"/>
      <c r="O529" s="3"/>
      <c r="P529" s="3"/>
      <c r="Q529" s="3"/>
      <c r="R529" s="3"/>
      <c r="S529" s="3"/>
      <c r="T529" s="3"/>
      <c r="U529" s="3"/>
      <c r="V529" s="3"/>
      <c r="W529" s="3"/>
      <c r="X529" s="3"/>
      <c r="Y529" s="3"/>
      <c r="Z529" s="3"/>
    </row>
    <row r="530" spans="1:26" ht="12.75" x14ac:dyDescent="0.2">
      <c r="A530" s="3"/>
      <c r="B530" s="3"/>
      <c r="C530" s="384">
        <v>-0.01</v>
      </c>
      <c r="D530" s="615">
        <v>1894.8401626119426</v>
      </c>
      <c r="E530" s="616">
        <v>106594929.08038309</v>
      </c>
      <c r="F530" s="616">
        <v>257.48202417527835</v>
      </c>
      <c r="G530" s="3"/>
      <c r="H530" s="384">
        <v>-0.01</v>
      </c>
      <c r="I530" s="615">
        <v>1880.8451190836452</v>
      </c>
      <c r="J530" s="616">
        <v>104134533.37006067</v>
      </c>
      <c r="K530" s="616">
        <v>255.27483689331808</v>
      </c>
      <c r="L530" s="3"/>
      <c r="M530" s="3"/>
      <c r="N530" s="3"/>
      <c r="O530" s="3"/>
      <c r="P530" s="3"/>
      <c r="Q530" s="3"/>
      <c r="R530" s="3"/>
      <c r="S530" s="3"/>
      <c r="T530" s="3"/>
      <c r="U530" s="3"/>
      <c r="V530" s="3"/>
      <c r="W530" s="3"/>
      <c r="X530" s="3"/>
      <c r="Y530" s="3"/>
      <c r="Z530" s="3"/>
    </row>
    <row r="531" spans="1:26" ht="12.75" x14ac:dyDescent="0.2">
      <c r="A531" s="3"/>
      <c r="B531" s="3"/>
      <c r="C531" s="602">
        <v>0</v>
      </c>
      <c r="D531" s="617">
        <v>1869.1395289748632</v>
      </c>
      <c r="E531" s="618">
        <v>101407461.51341608</v>
      </c>
      <c r="F531" s="618">
        <v>253.13919642105725</v>
      </c>
      <c r="G531" s="3"/>
      <c r="H531" s="602">
        <v>0</v>
      </c>
      <c r="I531" s="617">
        <v>1869.1395289748632</v>
      </c>
      <c r="J531" s="618">
        <v>101407461.51341608</v>
      </c>
      <c r="K531" s="618">
        <v>253.13919642105725</v>
      </c>
      <c r="L531" s="3"/>
      <c r="M531" s="3"/>
      <c r="N531" s="3"/>
      <c r="O531" s="3"/>
      <c r="P531" s="3"/>
      <c r="Q531" s="3"/>
      <c r="R531" s="3"/>
      <c r="S531" s="3"/>
      <c r="T531" s="3"/>
      <c r="U531" s="3"/>
      <c r="V531" s="3"/>
      <c r="W531" s="3"/>
      <c r="X531" s="3"/>
      <c r="Y531" s="3"/>
      <c r="Z531" s="3"/>
    </row>
    <row r="532" spans="1:26" ht="12.75" x14ac:dyDescent="0.2">
      <c r="A532" s="3"/>
      <c r="B532" s="3"/>
      <c r="C532" s="383">
        <v>0.01</v>
      </c>
      <c r="D532" s="613">
        <v>1842.3838802852038</v>
      </c>
      <c r="E532" s="614">
        <v>96005959.759479448</v>
      </c>
      <c r="F532" s="614">
        <v>248.75272215674326</v>
      </c>
      <c r="G532" s="3"/>
      <c r="H532" s="383">
        <v>0.01</v>
      </c>
      <c r="I532" s="613">
        <v>1857.4339388660833</v>
      </c>
      <c r="J532" s="614">
        <v>98680389.656771421</v>
      </c>
      <c r="K532" s="614">
        <v>251.00355594879625</v>
      </c>
      <c r="L532" s="3"/>
      <c r="M532" s="3"/>
      <c r="N532" s="3"/>
      <c r="O532" s="3"/>
      <c r="P532" s="3"/>
      <c r="Q532" s="3"/>
      <c r="R532" s="3"/>
      <c r="S532" s="3"/>
      <c r="T532" s="3"/>
      <c r="U532" s="3"/>
      <c r="V532" s="3"/>
      <c r="W532" s="3"/>
      <c r="X532" s="3"/>
      <c r="Y532" s="3"/>
      <c r="Z532" s="3"/>
    </row>
    <row r="533" spans="1:26" ht="12.75" x14ac:dyDescent="0.2">
      <c r="A533" s="3"/>
      <c r="B533" s="3"/>
      <c r="C533" s="383">
        <v>0.02</v>
      </c>
      <c r="D533" s="613">
        <v>1814.5240102361811</v>
      </c>
      <c r="E533" s="614">
        <v>90380361.370406747</v>
      </c>
      <c r="F533" s="614">
        <v>244.32260138233681</v>
      </c>
      <c r="G533" s="3"/>
      <c r="H533" s="383">
        <v>0.02</v>
      </c>
      <c r="I533" s="613">
        <v>1845.7283487573002</v>
      </c>
      <c r="J533" s="614">
        <v>95953317.800126776</v>
      </c>
      <c r="K533" s="614">
        <v>248.86791547653519</v>
      </c>
      <c r="L533" s="3"/>
      <c r="M533" s="3"/>
      <c r="N533" s="3"/>
      <c r="O533" s="3"/>
      <c r="P533" s="3"/>
      <c r="Q533" s="3"/>
      <c r="R533" s="3"/>
      <c r="S533" s="3"/>
      <c r="T533" s="3"/>
      <c r="U533" s="3"/>
      <c r="V533" s="3"/>
      <c r="W533" s="3"/>
      <c r="X533" s="3"/>
      <c r="Y533" s="3"/>
      <c r="Z533" s="3"/>
    </row>
    <row r="534" spans="1:26" ht="12.75" x14ac:dyDescent="0.2">
      <c r="A534" s="3"/>
      <c r="B534" s="3"/>
      <c r="C534" s="383">
        <v>0.03</v>
      </c>
      <c r="D534" s="613">
        <v>1785.5084778628679</v>
      </c>
      <c r="E534" s="614">
        <v>84520141.393496752</v>
      </c>
      <c r="F534" s="614">
        <v>239.84883409783751</v>
      </c>
      <c r="G534" s="3"/>
      <c r="H534" s="383">
        <v>0.03</v>
      </c>
      <c r="I534" s="613">
        <v>1834.0227586485196</v>
      </c>
      <c r="J534" s="614">
        <v>93226245.943482265</v>
      </c>
      <c r="K534" s="614">
        <v>246.73227500427419</v>
      </c>
      <c r="L534" s="3"/>
      <c r="M534" s="3"/>
      <c r="N534" s="3"/>
      <c r="O534" s="3"/>
      <c r="P534" s="3"/>
      <c r="Q534" s="3"/>
      <c r="R534" s="3"/>
      <c r="S534" s="3"/>
      <c r="T534" s="3"/>
      <c r="U534" s="3"/>
      <c r="V534" s="3"/>
      <c r="W534" s="3"/>
      <c r="X534" s="3"/>
      <c r="Y534" s="3"/>
      <c r="Z534" s="3"/>
    </row>
    <row r="535" spans="1:26" ht="12.75" x14ac:dyDescent="0.2">
      <c r="A535" s="3"/>
      <c r="B535" s="3"/>
      <c r="C535" s="388">
        <v>0.04</v>
      </c>
      <c r="D535" s="619">
        <v>1755.2835177404186</v>
      </c>
      <c r="E535" s="620">
        <v>78414293.560056239</v>
      </c>
      <c r="F535" s="620">
        <v>235.33142030324561</v>
      </c>
      <c r="G535" s="3"/>
      <c r="H535" s="388">
        <v>0.04</v>
      </c>
      <c r="I535" s="619">
        <v>1822.3171685397374</v>
      </c>
      <c r="J535" s="620">
        <v>90499174.086837679</v>
      </c>
      <c r="K535" s="620">
        <v>244.59663453201318</v>
      </c>
      <c r="L535" s="3"/>
      <c r="M535" s="3"/>
      <c r="N535" s="3"/>
      <c r="O535" s="3"/>
      <c r="P535" s="3"/>
      <c r="Q535" s="3"/>
      <c r="R535" s="3"/>
      <c r="S535" s="3"/>
      <c r="T535" s="3"/>
      <c r="U535" s="3"/>
      <c r="V535" s="3"/>
      <c r="W535" s="3"/>
      <c r="X535" s="3"/>
      <c r="Y535" s="3"/>
      <c r="Z535" s="3"/>
    </row>
    <row r="536" spans="1:26" ht="12.75"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51" x14ac:dyDescent="0.2">
      <c r="A537" s="3"/>
      <c r="B537" s="3"/>
      <c r="C537" s="359" t="s">
        <v>952</v>
      </c>
      <c r="D537" s="360" t="s">
        <v>812</v>
      </c>
      <c r="E537" s="361" t="s">
        <v>813</v>
      </c>
      <c r="F537" s="361" t="s">
        <v>814</v>
      </c>
      <c r="G537" s="3"/>
      <c r="H537" s="359" t="s">
        <v>953</v>
      </c>
      <c r="I537" s="360" t="s">
        <v>812</v>
      </c>
      <c r="J537" s="361" t="s">
        <v>813</v>
      </c>
      <c r="K537" s="361" t="s">
        <v>814</v>
      </c>
      <c r="L537" s="3"/>
      <c r="M537" s="3"/>
      <c r="N537" s="3"/>
      <c r="O537" s="3"/>
      <c r="P537" s="3"/>
      <c r="Q537" s="3"/>
      <c r="R537" s="3"/>
      <c r="S537" s="3"/>
      <c r="T537" s="3"/>
      <c r="U537" s="3"/>
      <c r="V537" s="3"/>
      <c r="W537" s="3"/>
      <c r="X537" s="3"/>
      <c r="Y537" s="3"/>
      <c r="Z537" s="3"/>
    </row>
    <row r="538" spans="1:26" ht="12.75" x14ac:dyDescent="0.2">
      <c r="A538" s="3"/>
      <c r="B538" s="3"/>
      <c r="C538" s="362"/>
      <c r="D538" s="363">
        <f>$F$377</f>
        <v>1869.1395289748632</v>
      </c>
      <c r="E538" s="364">
        <f>$F$492</f>
        <v>101407461.51341608</v>
      </c>
      <c r="F538" s="364">
        <f>$H$374*1000/$F$10</f>
        <v>253.13919642105725</v>
      </c>
      <c r="G538" s="3"/>
      <c r="H538" s="362"/>
      <c r="I538" s="363">
        <f>$F$377</f>
        <v>1869.1395289748632</v>
      </c>
      <c r="J538" s="364">
        <f>$F$492</f>
        <v>101407461.51341608</v>
      </c>
      <c r="K538" s="364">
        <f>$H$374*1000/$F$10</f>
        <v>253.13919642105725</v>
      </c>
      <c r="L538" s="3"/>
      <c r="M538" s="3"/>
      <c r="N538" s="3"/>
      <c r="O538" s="3"/>
      <c r="P538" s="3"/>
      <c r="Q538" s="3"/>
      <c r="R538" s="3"/>
      <c r="S538" s="3"/>
      <c r="T538" s="3"/>
      <c r="U538" s="3"/>
      <c r="V538" s="3"/>
      <c r="W538" s="3"/>
      <c r="X538" s="3"/>
      <c r="Y538" s="3"/>
      <c r="Z538" s="3"/>
    </row>
    <row r="539" spans="1:26" ht="12.75" x14ac:dyDescent="0.2">
      <c r="A539" s="3"/>
      <c r="B539" s="3"/>
      <c r="C539" s="382">
        <v>-0.03</v>
      </c>
      <c r="D539" s="621">
        <f t="dataTable" ref="D539:F546" dt2D="0" dtr="0" r1="F87" ca="1"/>
        <v>1724.8099069478994</v>
      </c>
      <c r="E539" s="622">
        <v>82169878.944411367</v>
      </c>
      <c r="F539" s="622">
        <v>228.26553725141801</v>
      </c>
      <c r="G539" s="3"/>
      <c r="H539" s="382">
        <v>-0.03</v>
      </c>
      <c r="I539" s="621">
        <f t="dataTable" ref="I539:K546" dt2D="0" dtr="0" r1="F76" ca="1"/>
        <v>1905.0353063786033</v>
      </c>
      <c r="J539" s="622">
        <v>108645024.64544444</v>
      </c>
      <c r="K539" s="622">
        <v>257.35955315585471</v>
      </c>
      <c r="L539" s="3"/>
      <c r="M539" s="3"/>
      <c r="N539" s="3"/>
      <c r="O539" s="3"/>
      <c r="P539" s="3"/>
      <c r="Q539" s="3"/>
      <c r="R539" s="3"/>
      <c r="S539" s="3"/>
      <c r="T539" s="3"/>
      <c r="U539" s="3"/>
      <c r="V539" s="3"/>
      <c r="W539" s="3"/>
      <c r="X539" s="3"/>
      <c r="Y539" s="3"/>
      <c r="Z539" s="3"/>
    </row>
    <row r="540" spans="1:26" ht="12.75" x14ac:dyDescent="0.2">
      <c r="A540" s="3"/>
      <c r="B540" s="3"/>
      <c r="C540" s="383">
        <v>-0.02</v>
      </c>
      <c r="D540" s="613">
        <v>1772.9197809568875</v>
      </c>
      <c r="E540" s="614">
        <v>88582406.467413008</v>
      </c>
      <c r="F540" s="614">
        <v>236.55675697463093</v>
      </c>
      <c r="G540" s="3"/>
      <c r="H540" s="383">
        <v>-0.02</v>
      </c>
      <c r="I540" s="613">
        <v>1893.6034140006816</v>
      </c>
      <c r="J540" s="614">
        <v>106340547.22412924</v>
      </c>
      <c r="K540" s="614">
        <v>255.96704966467814</v>
      </c>
      <c r="L540" s="3"/>
      <c r="M540" s="3"/>
      <c r="N540" s="3"/>
      <c r="O540" s="3"/>
      <c r="P540" s="3"/>
      <c r="Q540" s="3"/>
      <c r="R540" s="3"/>
      <c r="S540" s="3"/>
      <c r="T540" s="3"/>
      <c r="U540" s="3"/>
      <c r="V540" s="3"/>
      <c r="W540" s="3"/>
      <c r="X540" s="3"/>
      <c r="Y540" s="3"/>
      <c r="Z540" s="3"/>
    </row>
    <row r="541" spans="1:26" ht="12.75" x14ac:dyDescent="0.2">
      <c r="A541" s="3"/>
      <c r="B541" s="3"/>
      <c r="C541" s="384">
        <v>-0.01</v>
      </c>
      <c r="D541" s="615">
        <v>1821.0296549658758</v>
      </c>
      <c r="E541" s="616">
        <v>94994933.990414605</v>
      </c>
      <c r="F541" s="616">
        <v>244.8479766978441</v>
      </c>
      <c r="G541" s="3"/>
      <c r="H541" s="384">
        <v>-0.01</v>
      </c>
      <c r="I541" s="615">
        <v>1881.646697492934</v>
      </c>
      <c r="J541" s="616">
        <v>103929771.01665807</v>
      </c>
      <c r="K541" s="616">
        <v>254.56026408641222</v>
      </c>
      <c r="L541" s="3"/>
      <c r="M541" s="3"/>
      <c r="N541" s="3"/>
      <c r="O541" s="3"/>
      <c r="P541" s="3"/>
      <c r="Q541" s="3"/>
      <c r="R541" s="3"/>
      <c r="S541" s="3"/>
      <c r="T541" s="3"/>
      <c r="U541" s="3"/>
      <c r="V541" s="3"/>
      <c r="W541" s="3"/>
      <c r="X541" s="3"/>
      <c r="Y541" s="3"/>
      <c r="Z541" s="3"/>
    </row>
    <row r="542" spans="1:26" ht="12.75" x14ac:dyDescent="0.2">
      <c r="A542" s="3"/>
      <c r="B542" s="3"/>
      <c r="C542" s="602">
        <v>0</v>
      </c>
      <c r="D542" s="617">
        <v>1869.1395289748632</v>
      </c>
      <c r="E542" s="618">
        <v>101407461.51341608</v>
      </c>
      <c r="F542" s="618">
        <v>253.13919642105725</v>
      </c>
      <c r="G542" s="3"/>
      <c r="H542" s="602">
        <v>0</v>
      </c>
      <c r="I542" s="617">
        <v>1869.1395289748632</v>
      </c>
      <c r="J542" s="618">
        <v>101407461.51341608</v>
      </c>
      <c r="K542" s="618">
        <v>253.13919642105725</v>
      </c>
      <c r="L542" s="3"/>
      <c r="M542" s="3"/>
      <c r="N542" s="3"/>
      <c r="O542" s="3"/>
      <c r="P542" s="3"/>
      <c r="Q542" s="3"/>
      <c r="R542" s="3"/>
      <c r="S542" s="3"/>
      <c r="T542" s="3"/>
      <c r="U542" s="3"/>
      <c r="V542" s="3"/>
      <c r="W542" s="3"/>
      <c r="X542" s="3"/>
      <c r="Y542" s="3"/>
      <c r="Z542" s="3"/>
    </row>
    <row r="543" spans="1:26" ht="12.75" x14ac:dyDescent="0.2">
      <c r="A543" s="3"/>
      <c r="B543" s="3"/>
      <c r="C543" s="383">
        <v>0.01</v>
      </c>
      <c r="D543" s="613">
        <v>1917.2494029838513</v>
      </c>
      <c r="E543" s="614">
        <v>107819989.03641774</v>
      </c>
      <c r="F543" s="614">
        <v>261.43041614427057</v>
      </c>
      <c r="G543" s="3"/>
      <c r="H543" s="383">
        <v>0.01</v>
      </c>
      <c r="I543" s="613">
        <v>1856.0550962350569</v>
      </c>
      <c r="J543" s="614">
        <v>98768139.318148524</v>
      </c>
      <c r="K543" s="614">
        <v>251.70384666861361</v>
      </c>
      <c r="L543" s="3"/>
      <c r="M543" s="3"/>
      <c r="N543" s="3"/>
      <c r="O543" s="3"/>
      <c r="P543" s="3"/>
      <c r="Q543" s="3"/>
      <c r="R543" s="3"/>
      <c r="S543" s="3"/>
      <c r="T543" s="3"/>
      <c r="U543" s="3"/>
      <c r="V543" s="3"/>
      <c r="W543" s="3"/>
      <c r="X543" s="3"/>
      <c r="Y543" s="3"/>
      <c r="Z543" s="3"/>
    </row>
    <row r="544" spans="1:26" ht="12.75" x14ac:dyDescent="0.2">
      <c r="A544" s="3"/>
      <c r="B544" s="3"/>
      <c r="C544" s="383">
        <v>0.02</v>
      </c>
      <c r="D544" s="613">
        <v>1965.3592769928393</v>
      </c>
      <c r="E544" s="614">
        <v>114232516.55941927</v>
      </c>
      <c r="F544" s="614">
        <v>269.72163586748371</v>
      </c>
      <c r="G544" s="3"/>
      <c r="H544" s="383">
        <v>0.02</v>
      </c>
      <c r="I544" s="613">
        <v>1842.3653544991726</v>
      </c>
      <c r="J544" s="614">
        <v>96006070.051044792</v>
      </c>
      <c r="K544" s="614">
        <v>250.25421482908061</v>
      </c>
      <c r="L544" s="3"/>
      <c r="M544" s="3"/>
      <c r="N544" s="3"/>
      <c r="O544" s="3"/>
      <c r="P544" s="3"/>
      <c r="Q544" s="3"/>
      <c r="R544" s="3"/>
      <c r="S544" s="3"/>
      <c r="T544" s="3"/>
      <c r="U544" s="3"/>
      <c r="V544" s="3"/>
      <c r="W544" s="3"/>
      <c r="X544" s="3"/>
      <c r="Y544" s="3"/>
      <c r="Z544" s="3"/>
    </row>
    <row r="545" spans="1:26" ht="12.75" x14ac:dyDescent="0.2">
      <c r="A545" s="3"/>
      <c r="B545" s="3"/>
      <c r="C545" s="383">
        <v>0.03</v>
      </c>
      <c r="D545" s="613">
        <v>2013.4691510018272</v>
      </c>
      <c r="E545" s="614">
        <v>120645044.0824209</v>
      </c>
      <c r="F545" s="614">
        <v>278.01285559069686</v>
      </c>
      <c r="G545" s="3"/>
      <c r="H545" s="383">
        <v>0.03</v>
      </c>
      <c r="I545" s="613">
        <v>1828.0409765729526</v>
      </c>
      <c r="J545" s="614">
        <v>93115253.908197314</v>
      </c>
      <c r="K545" s="614">
        <v>248.79030090245899</v>
      </c>
      <c r="L545" s="3"/>
      <c r="M545" s="3"/>
      <c r="N545" s="3"/>
      <c r="O545" s="3"/>
      <c r="P545" s="3"/>
      <c r="Q545" s="3"/>
      <c r="R545" s="3"/>
      <c r="S545" s="3"/>
      <c r="T545" s="3"/>
      <c r="U545" s="3"/>
      <c r="V545" s="3"/>
      <c r="W545" s="3"/>
      <c r="X545" s="3"/>
      <c r="Y545" s="3"/>
      <c r="Z545" s="3"/>
    </row>
    <row r="546" spans="1:26" ht="12.75" x14ac:dyDescent="0.2">
      <c r="A546" s="3"/>
      <c r="B546" s="3"/>
      <c r="C546" s="388">
        <v>0.04</v>
      </c>
      <c r="D546" s="619">
        <v>2061.5790250108157</v>
      </c>
      <c r="E546" s="620">
        <v>127057571.60542247</v>
      </c>
      <c r="F546" s="620">
        <v>286.30407531390983</v>
      </c>
      <c r="G546" s="3"/>
      <c r="H546" s="388">
        <v>0.04</v>
      </c>
      <c r="I546" s="619">
        <v>1813.0513013183484</v>
      </c>
      <c r="J546" s="620">
        <v>90089414.868503764</v>
      </c>
      <c r="K546" s="620">
        <v>247.31210488874794</v>
      </c>
      <c r="L546" s="3"/>
      <c r="M546" s="3"/>
      <c r="N546" s="3"/>
      <c r="O546" s="3"/>
      <c r="P546" s="3"/>
      <c r="Q546" s="3"/>
      <c r="R546" s="3"/>
      <c r="S546" s="3"/>
      <c r="T546" s="3"/>
      <c r="U546" s="3"/>
      <c r="V546" s="3"/>
      <c r="W546" s="3"/>
      <c r="X546" s="3"/>
      <c r="Y546" s="3"/>
      <c r="Z546" s="3"/>
    </row>
    <row r="547" spans="1:26" ht="12.75"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63.75" x14ac:dyDescent="0.2">
      <c r="A548" s="3"/>
      <c r="B548" s="3"/>
      <c r="C548" s="359" t="s">
        <v>955</v>
      </c>
      <c r="D548" s="360" t="s">
        <v>812</v>
      </c>
      <c r="E548" s="361" t="s">
        <v>813</v>
      </c>
      <c r="F548" s="361" t="s">
        <v>814</v>
      </c>
      <c r="G548" s="3"/>
      <c r="H548" s="359" t="s">
        <v>956</v>
      </c>
      <c r="I548" s="360" t="s">
        <v>812</v>
      </c>
      <c r="J548" s="361" t="s">
        <v>813</v>
      </c>
      <c r="K548" s="361" t="s">
        <v>814</v>
      </c>
      <c r="L548" s="3"/>
      <c r="M548" s="3"/>
      <c r="N548" s="3"/>
      <c r="O548" s="3"/>
      <c r="P548" s="3"/>
      <c r="Q548" s="3"/>
      <c r="R548" s="3"/>
      <c r="S548" s="3"/>
      <c r="T548" s="3"/>
      <c r="U548" s="3"/>
      <c r="V548" s="3"/>
      <c r="W548" s="3"/>
      <c r="X548" s="3"/>
      <c r="Y548" s="3"/>
      <c r="Z548" s="3"/>
    </row>
    <row r="549" spans="1:26" ht="12.75" x14ac:dyDescent="0.2">
      <c r="A549" s="3"/>
      <c r="B549" s="3"/>
      <c r="C549" s="362"/>
      <c r="D549" s="363">
        <f>$F$377</f>
        <v>1869.1395289748632</v>
      </c>
      <c r="E549" s="364">
        <f>$F$492</f>
        <v>101407461.51341608</v>
      </c>
      <c r="F549" s="364">
        <f>$H$374*1000/$F$10</f>
        <v>253.13919642105725</v>
      </c>
      <c r="G549" s="3"/>
      <c r="H549" s="362"/>
      <c r="I549" s="669">
        <f>$F$377</f>
        <v>1869.1395289748632</v>
      </c>
      <c r="J549" s="670">
        <f>$F$492</f>
        <v>101407461.51341608</v>
      </c>
      <c r="K549" s="670">
        <f>$H$374*1000/$F$10</f>
        <v>253.13919642105725</v>
      </c>
      <c r="L549" s="3"/>
      <c r="M549" s="3"/>
      <c r="N549" s="3"/>
      <c r="O549" s="3"/>
      <c r="P549" s="3"/>
      <c r="Q549" s="3"/>
      <c r="R549" s="3"/>
      <c r="S549" s="3"/>
      <c r="T549" s="3"/>
      <c r="U549" s="3"/>
      <c r="V549" s="3"/>
      <c r="W549" s="3"/>
      <c r="X549" s="3"/>
      <c r="Y549" s="3"/>
      <c r="Z549" s="3"/>
    </row>
    <row r="550" spans="1:26" ht="12.75" x14ac:dyDescent="0.2">
      <c r="A550" s="3"/>
      <c r="B550" s="3"/>
      <c r="C550" s="382">
        <v>0.11</v>
      </c>
      <c r="D550" s="621">
        <f t="dataTable" ref="D550:F556" dt2D="0" dtr="0" r1="I35" ca="1"/>
        <v>2168.5505899191089</v>
      </c>
      <c r="E550" s="622">
        <v>141167103.16138074</v>
      </c>
      <c r="F550" s="622">
        <v>303.07430077798068</v>
      </c>
      <c r="G550" s="3"/>
      <c r="H550" s="603">
        <v>1</v>
      </c>
      <c r="I550" s="621">
        <f t="dataTable" ref="I550:K556" dt2D="0" dtr="0" r1="I36" ca="1"/>
        <v>1980.9147559571359</v>
      </c>
      <c r="J550" s="622">
        <v>115775987.73165511</v>
      </c>
      <c r="K550" s="622">
        <v>300.46909878944251</v>
      </c>
      <c r="L550" s="3"/>
      <c r="M550" s="3"/>
      <c r="N550" s="3"/>
      <c r="O550" s="3"/>
      <c r="P550" s="3"/>
      <c r="Q550" s="3"/>
      <c r="R550" s="3"/>
      <c r="S550" s="3"/>
      <c r="T550" s="3"/>
      <c r="U550" s="3"/>
      <c r="V550" s="3"/>
      <c r="W550" s="3"/>
      <c r="X550" s="3"/>
      <c r="Y550" s="3"/>
      <c r="Z550" s="3"/>
    </row>
    <row r="551" spans="1:26" ht="12.75" x14ac:dyDescent="0.2">
      <c r="A551" s="3"/>
      <c r="B551" s="3"/>
      <c r="C551" s="384">
        <v>0.13</v>
      </c>
      <c r="D551" s="615">
        <v>2019.3494335219011</v>
      </c>
      <c r="E551" s="616">
        <v>121386249.51885204</v>
      </c>
      <c r="F551" s="616">
        <v>278.42412831260776</v>
      </c>
      <c r="G551" s="3"/>
      <c r="H551" s="605">
        <v>2</v>
      </c>
      <c r="I551" s="615">
        <v>1923.1035690371657</v>
      </c>
      <c r="J551" s="616">
        <v>108443635.54866612</v>
      </c>
      <c r="K551" s="616">
        <v>300.46909878944251</v>
      </c>
      <c r="L551" s="3"/>
      <c r="M551" s="3"/>
      <c r="N551" s="3"/>
      <c r="O551" s="3"/>
      <c r="P551" s="3"/>
      <c r="Q551" s="3"/>
      <c r="R551" s="3"/>
      <c r="S551" s="3"/>
      <c r="T551" s="3"/>
      <c r="U551" s="3"/>
      <c r="V551" s="3"/>
      <c r="W551" s="3"/>
      <c r="X551" s="3"/>
      <c r="Y551" s="3"/>
      <c r="Z551" s="3"/>
    </row>
    <row r="552" spans="1:26" ht="12.75" x14ac:dyDescent="0.2">
      <c r="A552" s="3"/>
      <c r="B552" s="3"/>
      <c r="C552" s="602">
        <v>0.15</v>
      </c>
      <c r="D552" s="617">
        <v>1869.1395289748632</v>
      </c>
      <c r="E552" s="618">
        <v>101407461.51341608</v>
      </c>
      <c r="F552" s="618">
        <v>253.13919642105725</v>
      </c>
      <c r="G552" s="3"/>
      <c r="H552" s="606">
        <v>3</v>
      </c>
      <c r="I552" s="617">
        <v>1869.1395289748632</v>
      </c>
      <c r="J552" s="618">
        <v>101407461.51341608</v>
      </c>
      <c r="K552" s="618">
        <v>253.13919642105725</v>
      </c>
      <c r="L552" s="3"/>
      <c r="M552" s="3"/>
      <c r="N552" s="3"/>
      <c r="O552" s="3"/>
      <c r="P552" s="3"/>
      <c r="Q552" s="3"/>
      <c r="R552" s="3"/>
      <c r="S552" s="3"/>
      <c r="T552" s="3"/>
      <c r="U552" s="3"/>
      <c r="V552" s="3"/>
      <c r="W552" s="3"/>
      <c r="X552" s="3"/>
      <c r="Y552" s="3"/>
      <c r="Z552" s="3"/>
    </row>
    <row r="553" spans="1:26" ht="12.75" x14ac:dyDescent="0.2">
      <c r="A553" s="3"/>
      <c r="B553" s="3"/>
      <c r="C553" s="383">
        <v>0.17</v>
      </c>
      <c r="D553" s="613">
        <v>1720.5693046835268</v>
      </c>
      <c r="E553" s="614">
        <v>81747886.028375536</v>
      </c>
      <c r="F553" s="614">
        <v>227.85426452950705</v>
      </c>
      <c r="G553" s="3"/>
      <c r="H553" s="604">
        <v>4</v>
      </c>
      <c r="I553" s="613">
        <v>1819.2070661943496</v>
      </c>
      <c r="J553" s="614">
        <v>94748298.002628386</v>
      </c>
      <c r="K553" s="614">
        <v>229.47424523686499</v>
      </c>
      <c r="L553" s="3"/>
      <c r="M553" s="3"/>
      <c r="N553" s="3"/>
      <c r="O553" s="3"/>
      <c r="P553" s="3"/>
      <c r="Q553" s="3"/>
      <c r="R553" s="3"/>
      <c r="S553" s="3"/>
      <c r="T553" s="3"/>
      <c r="U553" s="3"/>
      <c r="V553" s="3"/>
      <c r="W553" s="3"/>
      <c r="X553" s="3"/>
      <c r="Y553" s="3"/>
      <c r="Z553" s="3"/>
    </row>
    <row r="554" spans="1:26" ht="12.75" x14ac:dyDescent="0.2">
      <c r="A554" s="3"/>
      <c r="B554" s="3"/>
      <c r="C554" s="383">
        <v>0.19</v>
      </c>
      <c r="D554" s="613">
        <v>1570.8246898734953</v>
      </c>
      <c r="E554" s="614">
        <v>61862463.288461871</v>
      </c>
      <c r="F554" s="614">
        <v>203.20409206413379</v>
      </c>
      <c r="G554" s="3"/>
      <c r="H554" s="604">
        <v>5</v>
      </c>
      <c r="I554" s="613">
        <v>1772.436220340637</v>
      </c>
      <c r="J554" s="614">
        <v>88339529.063475057</v>
      </c>
      <c r="K554" s="614">
        <v>215.52917829682025</v>
      </c>
      <c r="L554" s="3"/>
      <c r="M554" s="3"/>
      <c r="N554" s="3"/>
      <c r="O554" s="3"/>
      <c r="P554" s="3"/>
      <c r="Q554" s="3"/>
      <c r="R554" s="3"/>
      <c r="S554" s="3"/>
      <c r="T554" s="3"/>
      <c r="U554" s="3"/>
      <c r="V554" s="3"/>
      <c r="W554" s="3"/>
      <c r="X554" s="3"/>
      <c r="Y554" s="3"/>
      <c r="Z554" s="3"/>
    </row>
    <row r="555" spans="1:26" ht="12.75" x14ac:dyDescent="0.2">
      <c r="A555" s="3"/>
      <c r="B555" s="3"/>
      <c r="C555" s="383">
        <v>0.21</v>
      </c>
      <c r="D555" s="613">
        <v>1421.5566082401431</v>
      </c>
      <c r="E555" s="614">
        <v>42071606.224627145</v>
      </c>
      <c r="F555" s="614">
        <v>177.91916017258362</v>
      </c>
      <c r="G555" s="3"/>
      <c r="H555" s="604">
        <v>6</v>
      </c>
      <c r="I555" s="613">
        <v>1728.8744449759224</v>
      </c>
      <c r="J555" s="614">
        <v>82571472.978989288</v>
      </c>
      <c r="K555" s="614">
        <v>205.80929405267239</v>
      </c>
      <c r="L555" s="3"/>
      <c r="M555" s="3"/>
      <c r="N555" s="3"/>
      <c r="O555" s="3"/>
      <c r="P555" s="3"/>
      <c r="Q555" s="3"/>
      <c r="R555" s="3"/>
      <c r="S555" s="3"/>
      <c r="T555" s="3"/>
      <c r="U555" s="3"/>
      <c r="V555" s="3"/>
      <c r="W555" s="3"/>
      <c r="X555" s="3"/>
      <c r="Y555" s="3"/>
      <c r="Z555" s="3"/>
    </row>
    <row r="556" spans="1:26" ht="12.75" x14ac:dyDescent="0.2">
      <c r="A556" s="3"/>
      <c r="B556" s="3"/>
      <c r="C556" s="388">
        <v>0.23</v>
      </c>
      <c r="D556" s="619">
        <v>1272.2312276032412</v>
      </c>
      <c r="E556" s="620">
        <v>22271817.534626346</v>
      </c>
      <c r="F556" s="620">
        <v>152.63422828103307</v>
      </c>
      <c r="G556" s="3"/>
      <c r="H556" s="607">
        <v>7</v>
      </c>
      <c r="I556" s="619">
        <v>1689.711727956699</v>
      </c>
      <c r="J556" s="620">
        <v>77511606.405149728</v>
      </c>
      <c r="K556" s="620">
        <v>199.50127901874433</v>
      </c>
      <c r="L556" s="3"/>
      <c r="M556" s="3"/>
      <c r="N556" s="3"/>
      <c r="O556" s="3"/>
      <c r="P556" s="3"/>
      <c r="Q556" s="3"/>
      <c r="R556" s="3"/>
      <c r="S556" s="3"/>
      <c r="T556" s="3"/>
      <c r="U556" s="3"/>
      <c r="V556" s="3"/>
      <c r="W556" s="3"/>
      <c r="X556" s="3"/>
      <c r="Y556" s="3"/>
      <c r="Z556" s="3"/>
    </row>
    <row r="557" spans="1:26" ht="12.75"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25.5" x14ac:dyDescent="0.2">
      <c r="A558" s="3"/>
      <c r="B558" s="3"/>
      <c r="C558" s="359" t="s">
        <v>961</v>
      </c>
      <c r="D558" s="360" t="s">
        <v>812</v>
      </c>
      <c r="E558" s="361" t="s">
        <v>813</v>
      </c>
      <c r="F558" s="361" t="s">
        <v>814</v>
      </c>
      <c r="G558" s="3"/>
      <c r="H558" s="3"/>
      <c r="I558" s="3"/>
      <c r="J558" s="3"/>
      <c r="K558" s="3"/>
      <c r="L558" s="3"/>
      <c r="M558" s="3"/>
      <c r="N558" s="3"/>
      <c r="O558" s="3"/>
      <c r="P558" s="3"/>
      <c r="Q558" s="3"/>
      <c r="R558" s="3"/>
      <c r="S558" s="3"/>
      <c r="T558" s="3"/>
      <c r="U558" s="3"/>
      <c r="V558" s="3"/>
      <c r="W558" s="3"/>
      <c r="X558" s="3"/>
      <c r="Y558" s="3"/>
      <c r="Z558" s="3"/>
    </row>
    <row r="559" spans="1:26" ht="12.75" x14ac:dyDescent="0.2">
      <c r="A559" s="3"/>
      <c r="B559" s="3"/>
      <c r="C559" s="362"/>
      <c r="D559" s="363">
        <f>$F$377</f>
        <v>1869.1395289748632</v>
      </c>
      <c r="E559" s="364">
        <f>$F$492</f>
        <v>101407461.51341608</v>
      </c>
      <c r="F559" s="364">
        <f>$H$374*1000/$F$10</f>
        <v>253.13919642105725</v>
      </c>
      <c r="G559" s="3"/>
      <c r="H559" s="3"/>
      <c r="I559" s="3"/>
      <c r="J559" s="3"/>
      <c r="K559" s="3"/>
      <c r="L559" s="3"/>
      <c r="M559" s="3"/>
      <c r="N559" s="3"/>
      <c r="O559" s="3"/>
      <c r="P559" s="3"/>
      <c r="Q559" s="3"/>
      <c r="R559" s="3"/>
      <c r="S559" s="3"/>
      <c r="T559" s="3"/>
      <c r="U559" s="3"/>
      <c r="V559" s="3"/>
      <c r="W559" s="3"/>
      <c r="X559" s="3"/>
      <c r="Y559" s="3"/>
      <c r="Z559" s="3"/>
    </row>
    <row r="560" spans="1:26" ht="12.75" x14ac:dyDescent="0.2">
      <c r="A560" s="3"/>
      <c r="B560" s="3"/>
      <c r="C560" s="604">
        <v>3.5</v>
      </c>
      <c r="D560" s="613">
        <f t="dataTable" ref="D560:F565" dt2D="0" dtr="0" r1="I32" ca="1"/>
        <v>-1437.6673948299701</v>
      </c>
      <c r="E560" s="614">
        <v>-329643256.45005608</v>
      </c>
      <c r="F560" s="614">
        <v>-328.6010989740966</v>
      </c>
      <c r="G560" s="3"/>
      <c r="H560" s="3"/>
      <c r="I560" s="3"/>
      <c r="J560" s="3"/>
      <c r="K560" s="3"/>
      <c r="L560" s="3"/>
      <c r="M560" s="3"/>
      <c r="N560" s="3"/>
      <c r="O560" s="3"/>
      <c r="P560" s="3"/>
      <c r="Q560" s="3"/>
      <c r="R560" s="3"/>
      <c r="S560" s="3"/>
      <c r="T560" s="3"/>
      <c r="U560" s="3"/>
      <c r="V560" s="3"/>
      <c r="W560" s="3"/>
      <c r="X560" s="3"/>
      <c r="Y560" s="3"/>
      <c r="Z560" s="3"/>
    </row>
    <row r="561" spans="1:26" ht="12.75" x14ac:dyDescent="0.2">
      <c r="A561" s="3"/>
      <c r="B561" s="3"/>
      <c r="C561" s="604">
        <v>4</v>
      </c>
      <c r="D561" s="613">
        <v>-649.39674653973236</v>
      </c>
      <c r="E561" s="614">
        <v>-226833423.61650556</v>
      </c>
      <c r="F561" s="614">
        <v>-190.48445114383662</v>
      </c>
      <c r="G561" s="3"/>
      <c r="H561" s="3"/>
      <c r="I561" s="3"/>
      <c r="J561" s="3"/>
      <c r="K561" s="3"/>
      <c r="L561" s="3"/>
      <c r="M561" s="3"/>
      <c r="N561" s="3"/>
      <c r="O561" s="3"/>
      <c r="P561" s="3"/>
      <c r="Q561" s="3"/>
      <c r="R561" s="3"/>
      <c r="S561" s="3"/>
      <c r="T561" s="3"/>
      <c r="U561" s="3"/>
      <c r="V561" s="3"/>
      <c r="W561" s="3"/>
      <c r="X561" s="3"/>
      <c r="Y561" s="3"/>
      <c r="Z561" s="3"/>
    </row>
    <row r="562" spans="1:26" ht="12.75" x14ac:dyDescent="0.2">
      <c r="A562" s="3"/>
      <c r="B562" s="3"/>
      <c r="C562" s="605">
        <v>4.5</v>
      </c>
      <c r="D562" s="615">
        <v>137.64221222826171</v>
      </c>
      <c r="E562" s="616">
        <v>-124258369.66399422</v>
      </c>
      <c r="F562" s="616">
        <v>-51.733043887398615</v>
      </c>
      <c r="G562" s="3"/>
      <c r="H562" s="3"/>
      <c r="I562" s="3"/>
      <c r="J562" s="3"/>
      <c r="K562" s="3"/>
      <c r="L562" s="3"/>
      <c r="M562" s="3"/>
      <c r="N562" s="3"/>
      <c r="O562" s="3"/>
      <c r="P562" s="3"/>
      <c r="Q562" s="3"/>
      <c r="R562" s="3"/>
      <c r="S562" s="3"/>
      <c r="T562" s="3"/>
      <c r="U562" s="3"/>
      <c r="V562" s="3"/>
      <c r="W562" s="3"/>
      <c r="X562" s="3"/>
      <c r="Y562" s="3"/>
      <c r="Z562" s="3"/>
    </row>
    <row r="563" spans="1:26" ht="12.75" x14ac:dyDescent="0.2">
      <c r="A563" s="3"/>
      <c r="B563" s="3"/>
      <c r="C563" s="810">
        <v>5</v>
      </c>
      <c r="D563" s="613">
        <v>925.77739283913274</v>
      </c>
      <c r="E563" s="614">
        <v>-21468672.288472533</v>
      </c>
      <c r="F563" s="614">
        <v>87.018363369039008</v>
      </c>
      <c r="G563" s="3"/>
      <c r="H563" s="3"/>
      <c r="I563" s="3"/>
      <c r="J563" s="3"/>
      <c r="K563" s="3"/>
      <c r="L563" s="3"/>
      <c r="M563" s="3"/>
      <c r="N563" s="3"/>
      <c r="O563" s="3"/>
      <c r="P563" s="3"/>
      <c r="Q563" s="3"/>
      <c r="R563" s="3"/>
      <c r="S563" s="3"/>
      <c r="T563" s="3"/>
      <c r="U563" s="3"/>
      <c r="V563" s="3"/>
      <c r="W563" s="3"/>
      <c r="X563" s="3"/>
      <c r="Y563" s="3"/>
      <c r="Z563" s="3"/>
    </row>
    <row r="564" spans="1:26" ht="12.75" x14ac:dyDescent="0.2">
      <c r="A564" s="3"/>
      <c r="B564" s="3"/>
      <c r="C564" s="606">
        <v>5.6</v>
      </c>
      <c r="D564" s="617">
        <v>1869.1395289748632</v>
      </c>
      <c r="E564" s="618">
        <v>101407461.51341608</v>
      </c>
      <c r="F564" s="618">
        <v>253.13919642105725</v>
      </c>
      <c r="G564" s="3"/>
      <c r="H564" s="3"/>
      <c r="I564" s="3"/>
      <c r="J564" s="3"/>
      <c r="K564" s="3"/>
      <c r="L564" s="3"/>
      <c r="M564" s="3"/>
      <c r="N564" s="3"/>
      <c r="O564" s="3"/>
      <c r="P564" s="3"/>
      <c r="Q564" s="3"/>
      <c r="R564" s="3"/>
      <c r="S564" s="3"/>
      <c r="T564" s="3"/>
      <c r="U564" s="3"/>
      <c r="V564" s="3"/>
      <c r="W564" s="3"/>
      <c r="X564" s="3"/>
      <c r="Y564" s="3"/>
      <c r="Z564" s="3"/>
    </row>
    <row r="565" spans="1:26" ht="12.75" x14ac:dyDescent="0.2">
      <c r="A565" s="3"/>
      <c r="B565" s="3"/>
      <c r="C565" s="607">
        <v>5.8</v>
      </c>
      <c r="D565" s="619">
        <v>2185.3563441407514</v>
      </c>
      <c r="E565" s="620">
        <v>142709656.74111214</v>
      </c>
      <c r="F565" s="620">
        <v>308.51280743839675</v>
      </c>
      <c r="G565" s="3"/>
      <c r="H565" s="3"/>
      <c r="I565" s="3"/>
      <c r="J565" s="3"/>
      <c r="K565" s="3"/>
      <c r="L565" s="3"/>
      <c r="M565" s="3"/>
      <c r="N565" s="3"/>
      <c r="O565" s="3"/>
      <c r="P565" s="3"/>
      <c r="Q565" s="3"/>
      <c r="R565" s="3"/>
      <c r="S565" s="3"/>
      <c r="T565" s="3"/>
      <c r="U565" s="3"/>
      <c r="V565" s="3"/>
      <c r="W565" s="3"/>
      <c r="X565" s="3"/>
      <c r="Y565" s="3"/>
      <c r="Z565" s="3"/>
    </row>
    <row r="566" spans="1:26" ht="12.75"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51" x14ac:dyDescent="0.2">
      <c r="A567" s="3"/>
      <c r="B567" s="3"/>
      <c r="C567" s="359" t="s">
        <v>948</v>
      </c>
      <c r="D567" s="662" t="s">
        <v>812</v>
      </c>
      <c r="E567" s="361" t="s">
        <v>813</v>
      </c>
      <c r="F567" s="657" t="s">
        <v>814</v>
      </c>
      <c r="G567" s="3"/>
      <c r="H567" s="359" t="s">
        <v>171</v>
      </c>
      <c r="I567" s="662" t="s">
        <v>812</v>
      </c>
      <c r="J567" s="361" t="s">
        <v>813</v>
      </c>
      <c r="K567" s="657" t="s">
        <v>814</v>
      </c>
      <c r="L567" s="3"/>
      <c r="M567" s="3"/>
      <c r="N567" s="3"/>
      <c r="O567" s="3"/>
      <c r="P567" s="3"/>
      <c r="Q567" s="3"/>
      <c r="R567" s="3"/>
      <c r="S567" s="3"/>
      <c r="T567" s="3"/>
      <c r="U567" s="3"/>
      <c r="V567" s="3"/>
      <c r="W567" s="3"/>
      <c r="X567" s="3"/>
      <c r="Y567" s="3"/>
      <c r="Z567" s="3"/>
    </row>
    <row r="568" spans="1:26" ht="12.75" x14ac:dyDescent="0.2">
      <c r="A568" s="3"/>
      <c r="B568" s="3"/>
      <c r="C568" s="362"/>
      <c r="D568" s="669">
        <f>$F$377</f>
        <v>1869.1395289748632</v>
      </c>
      <c r="E568" s="670">
        <f>$F$492</f>
        <v>101407461.51341608</v>
      </c>
      <c r="F568" s="670">
        <f>$H$374*1000/$F$10</f>
        <v>253.13919642105725</v>
      </c>
      <c r="G568" s="3"/>
      <c r="H568" s="362"/>
      <c r="I568" s="669">
        <f>$F$377</f>
        <v>1869.1395289748632</v>
      </c>
      <c r="J568" s="670">
        <f>$F$492</f>
        <v>101407461.51341608</v>
      </c>
      <c r="K568" s="670">
        <f>$H$374*1000/$F$10</f>
        <v>253.13919642105725</v>
      </c>
      <c r="L568" s="3"/>
      <c r="M568" s="3"/>
      <c r="N568" s="3"/>
      <c r="O568" s="3"/>
      <c r="P568" s="3"/>
      <c r="Q568" s="3"/>
      <c r="R568" s="3"/>
      <c r="S568" s="3"/>
      <c r="T568" s="3"/>
      <c r="U568" s="3"/>
      <c r="V568" s="3"/>
      <c r="W568" s="3"/>
      <c r="X568" s="3"/>
      <c r="Y568" s="3"/>
      <c r="Z568" s="3"/>
    </row>
    <row r="569" spans="1:26" ht="12.75" x14ac:dyDescent="0.2">
      <c r="A569" s="3"/>
      <c r="B569" s="3"/>
      <c r="C569" s="383">
        <v>-0.3</v>
      </c>
      <c r="D569" s="663">
        <f t="dataTable" ref="D569:F574" dt2D="0" dtr="0" r1="I110" ca="1"/>
        <v>1869.1395289748632</v>
      </c>
      <c r="E569" s="614">
        <v>65645682.097052135</v>
      </c>
      <c r="F569" s="658">
        <v>253.13919642105725</v>
      </c>
      <c r="G569" s="3"/>
      <c r="H569" s="383">
        <v>0.5</v>
      </c>
      <c r="I569" s="663">
        <f t="dataTable" ref="I569:K574" dt2D="0" dtr="0" r1="I103" ca="1"/>
        <v>1869.1395289748632</v>
      </c>
      <c r="J569" s="614">
        <v>48427047.563247263</v>
      </c>
      <c r="K569" s="658">
        <v>253.13919642105725</v>
      </c>
      <c r="L569" s="3"/>
      <c r="M569" s="3"/>
      <c r="N569" s="3"/>
      <c r="O569" s="3"/>
      <c r="P569" s="3"/>
      <c r="Q569" s="3"/>
      <c r="R569" s="3"/>
      <c r="S569" s="3"/>
      <c r="T569" s="3"/>
      <c r="U569" s="3"/>
      <c r="V569" s="3"/>
      <c r="W569" s="3"/>
      <c r="X569" s="3"/>
      <c r="Y569" s="3"/>
      <c r="Z569" s="3"/>
    </row>
    <row r="570" spans="1:26" ht="12.75" x14ac:dyDescent="0.2">
      <c r="A570" s="3"/>
      <c r="B570" s="3"/>
      <c r="C570" s="383">
        <v>-0.2</v>
      </c>
      <c r="D570" s="663">
        <v>1869.1395289748632</v>
      </c>
      <c r="E570" s="614">
        <v>77566275.235840097</v>
      </c>
      <c r="F570" s="658">
        <v>253.13919642105725</v>
      </c>
      <c r="G570" s="3"/>
      <c r="H570" s="383">
        <v>0.6</v>
      </c>
      <c r="I570" s="663">
        <v>1869.1395289748632</v>
      </c>
      <c r="J570" s="614">
        <v>61672151.050789483</v>
      </c>
      <c r="K570" s="658">
        <v>253.13919642105725</v>
      </c>
      <c r="L570" s="3"/>
      <c r="M570" s="3"/>
      <c r="N570" s="3"/>
      <c r="O570" s="3"/>
      <c r="P570" s="3"/>
      <c r="Q570" s="3"/>
      <c r="R570" s="3"/>
      <c r="S570" s="3"/>
      <c r="T570" s="3"/>
      <c r="U570" s="3"/>
      <c r="V570" s="3"/>
      <c r="W570" s="3"/>
      <c r="X570" s="3"/>
      <c r="Y570" s="3"/>
      <c r="Z570" s="3"/>
    </row>
    <row r="571" spans="1:26" ht="12.75" x14ac:dyDescent="0.2">
      <c r="A571" s="3"/>
      <c r="B571" s="3"/>
      <c r="C571" s="384">
        <v>-0.1</v>
      </c>
      <c r="D571" s="664">
        <v>1869.1395289748632</v>
      </c>
      <c r="E571" s="616">
        <v>89486868.374628082</v>
      </c>
      <c r="F571" s="659">
        <v>253.13919642105725</v>
      </c>
      <c r="G571" s="3"/>
      <c r="H571" s="383">
        <v>0.7</v>
      </c>
      <c r="I571" s="664">
        <v>1869.1395289748632</v>
      </c>
      <c r="J571" s="616">
        <v>74917254.538331658</v>
      </c>
      <c r="K571" s="659">
        <v>253.13919642105725</v>
      </c>
      <c r="L571" s="3"/>
      <c r="M571" s="3"/>
      <c r="N571" s="3"/>
      <c r="O571" s="3"/>
      <c r="P571" s="3"/>
      <c r="Q571" s="3"/>
      <c r="R571" s="3"/>
      <c r="S571" s="3"/>
      <c r="T571" s="3"/>
      <c r="U571" s="3"/>
      <c r="V571" s="3"/>
      <c r="W571" s="3"/>
      <c r="X571" s="3"/>
      <c r="Y571" s="3"/>
      <c r="Z571" s="3"/>
    </row>
    <row r="572" spans="1:26" ht="12.75" x14ac:dyDescent="0.2">
      <c r="A572" s="3"/>
      <c r="B572" s="3"/>
      <c r="C572" s="608">
        <v>0</v>
      </c>
      <c r="D572" s="665">
        <v>1869.1395289748632</v>
      </c>
      <c r="E572" s="618">
        <v>101407461.51341608</v>
      </c>
      <c r="F572" s="660">
        <v>253.13919642105725</v>
      </c>
      <c r="G572" s="3"/>
      <c r="H572" s="871">
        <v>0.8</v>
      </c>
      <c r="I572" s="663">
        <v>1869.1395289748632</v>
      </c>
      <c r="J572" s="614">
        <v>88162358.02587387</v>
      </c>
      <c r="K572" s="658">
        <v>253.13919642105725</v>
      </c>
      <c r="L572" s="3"/>
      <c r="M572" s="3"/>
      <c r="N572" s="3"/>
      <c r="O572" s="3"/>
      <c r="P572" s="3"/>
      <c r="Q572" s="3"/>
      <c r="R572" s="3"/>
      <c r="S572" s="3"/>
      <c r="T572" s="3"/>
      <c r="U572" s="3"/>
      <c r="V572" s="3"/>
      <c r="W572" s="3"/>
      <c r="X572" s="3"/>
      <c r="Y572" s="3"/>
      <c r="Z572" s="3"/>
    </row>
    <row r="573" spans="1:26" ht="12.75" x14ac:dyDescent="0.2">
      <c r="A573" s="3"/>
      <c r="B573" s="3"/>
      <c r="C573" s="383">
        <v>0.05</v>
      </c>
      <c r="D573" s="663">
        <v>1869.1395289748632</v>
      </c>
      <c r="E573" s="614">
        <v>107367758.08281006</v>
      </c>
      <c r="F573" s="658">
        <v>253.13919642105725</v>
      </c>
      <c r="G573" s="3"/>
      <c r="H573" s="608">
        <v>0.9</v>
      </c>
      <c r="I573" s="665">
        <v>1869.1395289748632</v>
      </c>
      <c r="J573" s="618">
        <v>101407461.51341608</v>
      </c>
      <c r="K573" s="660">
        <v>253.13919642105725</v>
      </c>
      <c r="L573" s="3"/>
      <c r="M573" s="3"/>
      <c r="N573" s="3"/>
      <c r="O573" s="3"/>
      <c r="P573" s="3"/>
      <c r="Q573" s="3"/>
      <c r="R573" s="3"/>
      <c r="S573" s="3"/>
      <c r="T573" s="3"/>
      <c r="U573" s="3"/>
      <c r="V573" s="3"/>
      <c r="W573" s="3"/>
      <c r="X573" s="3"/>
      <c r="Y573" s="3"/>
      <c r="Z573" s="3"/>
    </row>
    <row r="574" spans="1:26" ht="12.75" x14ac:dyDescent="0.2">
      <c r="A574" s="3"/>
      <c r="B574" s="3"/>
      <c r="C574" s="388">
        <v>0.1</v>
      </c>
      <c r="D574" s="666">
        <v>1869.1395289748632</v>
      </c>
      <c r="E574" s="620">
        <v>113328054.65220407</v>
      </c>
      <c r="F574" s="661">
        <v>253.13919642105725</v>
      </c>
      <c r="G574" s="3"/>
      <c r="H574" s="609">
        <v>0.95</v>
      </c>
      <c r="I574" s="666">
        <v>1869.1395289748632</v>
      </c>
      <c r="J574" s="620">
        <v>108030013.25718717</v>
      </c>
      <c r="K574" s="661">
        <v>253.13919642105725</v>
      </c>
      <c r="L574" s="3"/>
      <c r="M574" s="3"/>
      <c r="N574" s="3"/>
      <c r="O574" s="3"/>
      <c r="P574" s="3"/>
      <c r="Q574" s="3"/>
      <c r="R574" s="3"/>
      <c r="S574" s="3"/>
      <c r="T574" s="3"/>
      <c r="U574" s="3"/>
      <c r="V574" s="3"/>
      <c r="W574" s="3"/>
      <c r="X574" s="3"/>
      <c r="Y574" s="3"/>
      <c r="Z574" s="3"/>
    </row>
    <row r="575" spans="1:26" ht="12.75"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38.25" x14ac:dyDescent="0.2">
      <c r="A576" s="3"/>
      <c r="B576" s="3"/>
      <c r="C576" s="359" t="s">
        <v>939</v>
      </c>
      <c r="D576" s="662" t="s">
        <v>812</v>
      </c>
      <c r="E576" s="361" t="s">
        <v>813</v>
      </c>
      <c r="F576" s="657" t="s">
        <v>814</v>
      </c>
      <c r="G576" s="3"/>
      <c r="H576" s="3"/>
      <c r="I576" s="3"/>
      <c r="J576" s="3"/>
      <c r="K576" s="3"/>
      <c r="L576" s="3"/>
      <c r="M576" s="3"/>
      <c r="N576" s="3"/>
      <c r="O576" s="3"/>
      <c r="P576" s="3"/>
      <c r="Q576" s="3"/>
      <c r="R576" s="3"/>
      <c r="S576" s="3"/>
      <c r="T576" s="3"/>
      <c r="U576" s="3"/>
      <c r="V576" s="3"/>
      <c r="W576" s="3"/>
      <c r="X576" s="3"/>
      <c r="Y576" s="3"/>
      <c r="Z576" s="3"/>
    </row>
    <row r="577" spans="1:26" ht="12.75" x14ac:dyDescent="0.2">
      <c r="A577" s="3"/>
      <c r="B577" s="3"/>
      <c r="C577" s="362"/>
      <c r="D577" s="669">
        <f>$F$377</f>
        <v>1869.1395289748632</v>
      </c>
      <c r="E577" s="670">
        <f>$F$492</f>
        <v>101407461.51341608</v>
      </c>
      <c r="F577" s="670">
        <f>$H$374*1000/$F$10</f>
        <v>253.13919642105725</v>
      </c>
      <c r="G577" s="3"/>
      <c r="H577" s="3"/>
      <c r="I577" s="3"/>
      <c r="J577" s="3"/>
      <c r="K577" s="3"/>
      <c r="L577" s="3"/>
      <c r="M577" s="3"/>
      <c r="N577" s="3"/>
      <c r="O577" s="3"/>
      <c r="P577" s="3"/>
      <c r="Q577" s="3"/>
      <c r="R577" s="3"/>
      <c r="S577" s="3"/>
      <c r="T577" s="3"/>
      <c r="U577" s="3"/>
      <c r="V577" s="3"/>
      <c r="W577" s="3"/>
      <c r="X577" s="3"/>
      <c r="Y577" s="3"/>
      <c r="Z577" s="3"/>
    </row>
    <row r="578" spans="1:26" ht="12.75" x14ac:dyDescent="0.2">
      <c r="A578" s="3"/>
      <c r="B578" s="3"/>
      <c r="C578" s="383">
        <v>-0.3</v>
      </c>
      <c r="D578" s="663">
        <f t="dataTable" ref="D578:F584" dt2D="0" dtr="0" r1="I107" ca="1"/>
        <v>1869.1395289748632</v>
      </c>
      <c r="E578" s="614">
        <v>106747002.47575517</v>
      </c>
      <c r="F578" s="658">
        <v>253.13919642105725</v>
      </c>
      <c r="G578" s="3"/>
      <c r="H578" s="3"/>
      <c r="I578" s="3"/>
      <c r="J578" s="3"/>
      <c r="K578" s="3"/>
      <c r="L578" s="3"/>
      <c r="M578" s="3"/>
      <c r="N578" s="3"/>
      <c r="O578" s="3"/>
      <c r="P578" s="3"/>
      <c r="Q578" s="3"/>
      <c r="R578" s="3"/>
      <c r="S578" s="3"/>
      <c r="T578" s="3"/>
      <c r="U578" s="3"/>
      <c r="V578" s="3"/>
      <c r="W578" s="3"/>
      <c r="X578" s="3"/>
      <c r="Y578" s="3"/>
      <c r="Z578" s="3"/>
    </row>
    <row r="579" spans="1:26" ht="12.75" x14ac:dyDescent="0.2">
      <c r="A579" s="3"/>
      <c r="B579" s="3"/>
      <c r="C579" s="383">
        <v>-0.2</v>
      </c>
      <c r="D579" s="663">
        <v>1869.1395289748632</v>
      </c>
      <c r="E579" s="614">
        <v>104967155.48830883</v>
      </c>
      <c r="F579" s="658">
        <v>253.13919642105725</v>
      </c>
      <c r="G579" s="3"/>
      <c r="H579" s="3"/>
      <c r="I579" s="3"/>
      <c r="J579" s="3"/>
      <c r="K579" s="3"/>
      <c r="L579" s="3"/>
      <c r="M579" s="3"/>
      <c r="N579" s="3"/>
      <c r="O579" s="3"/>
      <c r="P579" s="3"/>
      <c r="Q579" s="3"/>
      <c r="R579" s="3"/>
      <c r="S579" s="3"/>
      <c r="T579" s="3"/>
      <c r="U579" s="3"/>
      <c r="V579" s="3"/>
      <c r="W579" s="3"/>
      <c r="X579" s="3"/>
      <c r="Y579" s="3"/>
      <c r="Z579" s="3"/>
    </row>
    <row r="580" spans="1:26" ht="12.75" x14ac:dyDescent="0.2">
      <c r="A580" s="3"/>
      <c r="B580" s="3"/>
      <c r="C580" s="384">
        <v>-0.1</v>
      </c>
      <c r="D580" s="664">
        <v>1869.1395289748632</v>
      </c>
      <c r="E580" s="616">
        <v>103187308.50086243</v>
      </c>
      <c r="F580" s="659">
        <v>253.13919642105725</v>
      </c>
      <c r="G580" s="3"/>
      <c r="H580" s="3"/>
      <c r="I580" s="3"/>
      <c r="J580" s="3"/>
      <c r="K580" s="3"/>
      <c r="L580" s="3"/>
      <c r="M580" s="3"/>
      <c r="N580" s="3"/>
      <c r="O580" s="3"/>
      <c r="P580" s="3"/>
      <c r="Q580" s="3"/>
      <c r="R580" s="3"/>
      <c r="S580" s="3"/>
      <c r="T580" s="3"/>
      <c r="U580" s="3"/>
      <c r="V580" s="3"/>
      <c r="W580" s="3"/>
      <c r="X580" s="3"/>
      <c r="Y580" s="3"/>
      <c r="Z580" s="3"/>
    </row>
    <row r="581" spans="1:26" ht="12.75" x14ac:dyDescent="0.2">
      <c r="A581" s="3"/>
      <c r="B581" s="3"/>
      <c r="C581" s="608">
        <v>0</v>
      </c>
      <c r="D581" s="665">
        <v>1869.1395289748632</v>
      </c>
      <c r="E581" s="618">
        <v>101407461.51341608</v>
      </c>
      <c r="F581" s="660">
        <v>253.13919642105725</v>
      </c>
      <c r="G581" s="3"/>
      <c r="H581" s="3"/>
      <c r="I581" s="3"/>
      <c r="J581" s="3"/>
      <c r="K581" s="3"/>
      <c r="L581" s="3"/>
      <c r="M581" s="3"/>
      <c r="N581" s="3"/>
      <c r="O581" s="3"/>
      <c r="P581" s="3"/>
      <c r="Q581" s="3"/>
      <c r="R581" s="3"/>
      <c r="S581" s="3"/>
      <c r="T581" s="3"/>
      <c r="U581" s="3"/>
      <c r="V581" s="3"/>
      <c r="W581" s="3"/>
      <c r="X581" s="3"/>
      <c r="Y581" s="3"/>
      <c r="Z581" s="3"/>
    </row>
    <row r="582" spans="1:26" ht="12.75" x14ac:dyDescent="0.2">
      <c r="A582" s="3"/>
      <c r="B582" s="3"/>
      <c r="C582" s="383">
        <v>0.05</v>
      </c>
      <c r="D582" s="663">
        <v>1869.1395289748632</v>
      </c>
      <c r="E582" s="614">
        <v>100517538.01969288</v>
      </c>
      <c r="F582" s="658">
        <v>253.13919642105725</v>
      </c>
      <c r="G582" s="3"/>
      <c r="H582" s="3"/>
      <c r="I582" s="3"/>
      <c r="J582" s="3"/>
      <c r="K582" s="3"/>
      <c r="L582" s="3"/>
      <c r="M582" s="3"/>
      <c r="N582" s="3"/>
      <c r="O582" s="3"/>
      <c r="P582" s="3"/>
      <c r="Q582" s="3"/>
      <c r="R582" s="3"/>
      <c r="S582" s="3"/>
      <c r="T582" s="3"/>
      <c r="U582" s="3"/>
      <c r="V582" s="3"/>
      <c r="W582" s="3"/>
      <c r="X582" s="3"/>
      <c r="Y582" s="3"/>
      <c r="Z582" s="3"/>
    </row>
    <row r="583" spans="1:26" ht="12.75" x14ac:dyDescent="0.2">
      <c r="A583" s="3"/>
      <c r="B583" s="3"/>
      <c r="C583" s="383">
        <v>0.1</v>
      </c>
      <c r="D583" s="663">
        <v>1869.1395289748632</v>
      </c>
      <c r="E583" s="614">
        <v>99627614.525969714</v>
      </c>
      <c r="F583" s="658">
        <v>253.13919642105725</v>
      </c>
      <c r="G583" s="3"/>
      <c r="H583" s="3"/>
      <c r="I583" s="3"/>
      <c r="J583" s="3"/>
      <c r="K583" s="3"/>
      <c r="L583" s="3"/>
      <c r="M583" s="3"/>
      <c r="N583" s="3"/>
      <c r="O583" s="3"/>
      <c r="P583" s="3"/>
      <c r="Q583" s="3"/>
      <c r="R583" s="3"/>
      <c r="S583" s="3"/>
      <c r="T583" s="3"/>
      <c r="U583" s="3"/>
      <c r="V583" s="3"/>
      <c r="W583" s="3"/>
      <c r="X583" s="3"/>
      <c r="Y583" s="3"/>
      <c r="Z583" s="3"/>
    </row>
    <row r="584" spans="1:26" ht="12.75" x14ac:dyDescent="0.2">
      <c r="A584" s="3"/>
      <c r="B584" s="3"/>
      <c r="C584" s="388">
        <v>0.15</v>
      </c>
      <c r="D584" s="666">
        <v>1869.1395289748632</v>
      </c>
      <c r="E584" s="620">
        <v>98737691.032246515</v>
      </c>
      <c r="F584" s="661">
        <v>253.13919642105725</v>
      </c>
      <c r="G584" s="3"/>
      <c r="H584" s="3"/>
      <c r="I584" s="3"/>
      <c r="J584" s="3"/>
      <c r="K584" s="3"/>
      <c r="L584" s="3"/>
      <c r="M584" s="3"/>
      <c r="N584" s="3"/>
      <c r="O584" s="3"/>
      <c r="P584" s="3"/>
      <c r="Q584" s="3"/>
      <c r="R584" s="3"/>
      <c r="S584" s="3"/>
      <c r="T584" s="3"/>
      <c r="U584" s="3"/>
      <c r="V584" s="3"/>
      <c r="W584" s="3"/>
      <c r="X584" s="3"/>
      <c r="Y584" s="3"/>
      <c r="Z584" s="3"/>
    </row>
    <row r="585" spans="1:26" ht="12.75"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x14ac:dyDescent="0.2">
      <c r="A586" s="3"/>
      <c r="B586" s="611" t="s">
        <v>943</v>
      </c>
      <c r="C586" s="610"/>
      <c r="D586" s="610"/>
      <c r="E586" s="610"/>
      <c r="F586" s="610"/>
      <c r="G586" s="610"/>
      <c r="H586" s="610"/>
      <c r="I586" s="610"/>
      <c r="J586" s="610"/>
      <c r="K586" s="610"/>
      <c r="L586" s="610"/>
      <c r="M586" s="610"/>
      <c r="N586" s="3"/>
      <c r="O586" s="3"/>
      <c r="P586" s="3"/>
      <c r="Q586" s="3"/>
      <c r="R586" s="3"/>
      <c r="S586" s="3"/>
      <c r="T586" s="3"/>
      <c r="U586" s="3"/>
      <c r="V586" s="3"/>
      <c r="W586" s="3"/>
      <c r="X586" s="3"/>
      <c r="Y586" s="3"/>
      <c r="Z586" s="3"/>
    </row>
    <row r="587" spans="1:26" ht="12.75"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25.5" x14ac:dyDescent="0.2">
      <c r="A588" s="3"/>
      <c r="B588" s="3"/>
      <c r="C588" s="359"/>
      <c r="D588" s="359" t="s">
        <v>812</v>
      </c>
      <c r="E588" s="644" t="s">
        <v>947</v>
      </c>
      <c r="F588" s="639"/>
      <c r="G588" s="640"/>
      <c r="H588" s="643"/>
      <c r="I588" s="639"/>
      <c r="J588" s="639"/>
      <c r="K588" s="639"/>
      <c r="L588" s="639"/>
      <c r="M588" s="641"/>
      <c r="N588" s="3"/>
      <c r="O588" s="3"/>
      <c r="P588" s="3"/>
      <c r="Q588" s="3"/>
      <c r="R588" s="3"/>
      <c r="S588" s="3"/>
      <c r="T588" s="3"/>
      <c r="U588" s="3"/>
      <c r="V588" s="3"/>
      <c r="W588" s="3"/>
      <c r="X588" s="3"/>
      <c r="Y588" s="3"/>
      <c r="Z588" s="3"/>
    </row>
    <row r="589" spans="1:26" ht="12.75" x14ac:dyDescent="0.2">
      <c r="A589" s="3"/>
      <c r="B589" s="3"/>
      <c r="C589" s="364"/>
      <c r="D589" s="363">
        <f>$F$377</f>
        <v>1869.1395289748632</v>
      </c>
      <c r="E589" s="623">
        <v>-0.03</v>
      </c>
      <c r="F589" s="624">
        <v>-0.02</v>
      </c>
      <c r="G589" s="624">
        <v>-0.01</v>
      </c>
      <c r="H589" s="626">
        <v>0</v>
      </c>
      <c r="I589" s="624">
        <v>0.01</v>
      </c>
      <c r="J589" s="624">
        <v>0.02</v>
      </c>
      <c r="K589" s="624">
        <v>0.03</v>
      </c>
      <c r="L589" s="624">
        <v>0.04</v>
      </c>
      <c r="M589" s="625">
        <v>0.05</v>
      </c>
      <c r="N589" s="3"/>
      <c r="O589" s="3"/>
      <c r="P589" s="3"/>
      <c r="Q589" s="3"/>
      <c r="R589" s="3"/>
      <c r="S589" s="3"/>
      <c r="T589" s="3"/>
      <c r="U589" s="3"/>
      <c r="V589" s="3"/>
      <c r="W589" s="3"/>
      <c r="X589" s="3"/>
      <c r="Y589" s="3"/>
      <c r="Z589" s="3"/>
    </row>
    <row r="590" spans="1:26" ht="12.75" x14ac:dyDescent="0.2">
      <c r="A590" s="3"/>
      <c r="B590" s="3"/>
      <c r="C590" s="801"/>
      <c r="D590" s="382">
        <v>-0.03</v>
      </c>
      <c r="E590" s="627">
        <f t="dataTable" ref="E590:M598" dt2D="1" dtr="1" r1="F77" r2="F54" ca="1"/>
        <v>1978.3793255380165</v>
      </c>
      <c r="F590" s="628">
        <v>1966.6737354292354</v>
      </c>
      <c r="G590" s="628">
        <v>1954.9681453204544</v>
      </c>
      <c r="H590" s="629">
        <v>1943.2625552116726</v>
      </c>
      <c r="I590" s="628">
        <v>1931.5569651028904</v>
      </c>
      <c r="J590" s="628">
        <v>1919.8513749941096</v>
      </c>
      <c r="K590" s="628">
        <v>1908.1457848853279</v>
      </c>
      <c r="L590" s="628">
        <v>1896.4401947765475</v>
      </c>
      <c r="M590" s="621">
        <v>1884.7346046677651</v>
      </c>
      <c r="N590" s="3"/>
      <c r="O590" s="3"/>
      <c r="P590" s="3"/>
      <c r="Q590" s="3"/>
      <c r="R590" s="3"/>
      <c r="S590" s="3"/>
      <c r="T590" s="3"/>
      <c r="U590" s="3"/>
      <c r="V590" s="3"/>
      <c r="W590" s="3"/>
      <c r="X590" s="3"/>
      <c r="Y590" s="3"/>
      <c r="Z590" s="3"/>
    </row>
    <row r="591" spans="1:26" ht="12.75" x14ac:dyDescent="0.2">
      <c r="A591" s="3"/>
      <c r="B591" s="3"/>
      <c r="C591" s="802"/>
      <c r="D591" s="383">
        <v>-0.02</v>
      </c>
      <c r="E591" s="630">
        <v>1954.6496100679431</v>
      </c>
      <c r="F591" s="631">
        <v>1942.9440199591616</v>
      </c>
      <c r="G591" s="631">
        <v>1931.23842985038</v>
      </c>
      <c r="H591" s="632">
        <v>1919.5328397415981</v>
      </c>
      <c r="I591" s="631">
        <v>1907.8272496328175</v>
      </c>
      <c r="J591" s="631">
        <v>1896.1216595240353</v>
      </c>
      <c r="K591" s="631">
        <v>1884.4160694152547</v>
      </c>
      <c r="L591" s="631">
        <v>1872.710479306473</v>
      </c>
      <c r="M591" s="613">
        <v>1861.0048891976905</v>
      </c>
      <c r="N591" s="3"/>
      <c r="O591" s="3"/>
      <c r="P591" s="3"/>
      <c r="Q591" s="3"/>
      <c r="R591" s="3"/>
      <c r="S591" s="3"/>
      <c r="T591" s="3"/>
      <c r="U591" s="3"/>
      <c r="V591" s="3"/>
      <c r="W591" s="3"/>
      <c r="X591" s="3"/>
      <c r="Y591" s="3"/>
      <c r="Z591" s="3"/>
    </row>
    <row r="592" spans="1:26" ht="12.75" x14ac:dyDescent="0.2">
      <c r="A592" s="3"/>
      <c r="B592" s="3"/>
      <c r="C592" s="802"/>
      <c r="D592" s="384">
        <v>-0.01</v>
      </c>
      <c r="E592" s="633">
        <v>1929.9569329382869</v>
      </c>
      <c r="F592" s="634">
        <v>1918.2513428295063</v>
      </c>
      <c r="G592" s="634">
        <v>1906.5457527207245</v>
      </c>
      <c r="H592" s="632">
        <v>1894.8401626119426</v>
      </c>
      <c r="I592" s="634">
        <v>1883.134572503162</v>
      </c>
      <c r="J592" s="634">
        <v>1871.42898239438</v>
      </c>
      <c r="K592" s="634">
        <v>1859.7233922855994</v>
      </c>
      <c r="L592" s="634">
        <v>1848.0178021768172</v>
      </c>
      <c r="M592" s="615">
        <v>1836.312212068035</v>
      </c>
      <c r="N592" s="3"/>
      <c r="O592" s="3"/>
      <c r="P592" s="3"/>
      <c r="Q592" s="3"/>
      <c r="R592" s="3"/>
      <c r="S592" s="3"/>
      <c r="T592" s="3"/>
      <c r="U592" s="3"/>
      <c r="V592" s="3"/>
      <c r="W592" s="3"/>
      <c r="X592" s="3"/>
      <c r="Y592" s="3"/>
      <c r="Z592" s="3"/>
    </row>
    <row r="593" spans="1:26" ht="12.75" x14ac:dyDescent="0.2">
      <c r="A593" s="3"/>
      <c r="B593" s="3"/>
      <c r="C593" s="802"/>
      <c r="D593" s="608">
        <v>0</v>
      </c>
      <c r="E593" s="635">
        <v>1904.2562993012079</v>
      </c>
      <c r="F593" s="632">
        <v>1892.5507091924264</v>
      </c>
      <c r="G593" s="632">
        <v>1880.8451190836452</v>
      </c>
      <c r="H593" s="632">
        <v>1869.1395289748632</v>
      </c>
      <c r="I593" s="632">
        <v>1857.4339388660833</v>
      </c>
      <c r="J593" s="632">
        <v>1845.7283487573002</v>
      </c>
      <c r="K593" s="632">
        <v>1834.0227586485196</v>
      </c>
      <c r="L593" s="632">
        <v>1822.3171685397374</v>
      </c>
      <c r="M593" s="617">
        <v>1810.6115784309561</v>
      </c>
      <c r="N593" s="3"/>
      <c r="O593" s="3"/>
      <c r="P593" s="3"/>
      <c r="Q593" s="3"/>
      <c r="R593" s="3"/>
      <c r="S593" s="3"/>
      <c r="T593" s="3"/>
      <c r="U593" s="3"/>
      <c r="V593" s="3"/>
      <c r="W593" s="3"/>
      <c r="X593" s="3"/>
      <c r="Y593" s="3"/>
      <c r="Z593" s="3"/>
    </row>
    <row r="594" spans="1:26" ht="25.5" x14ac:dyDescent="0.2">
      <c r="A594" s="3"/>
      <c r="B594" s="3"/>
      <c r="C594" s="803" t="s">
        <v>945</v>
      </c>
      <c r="D594" s="383">
        <v>0.01</v>
      </c>
      <c r="E594" s="630">
        <v>1877.5006506115476</v>
      </c>
      <c r="F594" s="631">
        <v>1865.7950605027668</v>
      </c>
      <c r="G594" s="631">
        <v>1854.0894703939853</v>
      </c>
      <c r="H594" s="632">
        <v>1842.3838802852038</v>
      </c>
      <c r="I594" s="631">
        <v>1830.6782901764218</v>
      </c>
      <c r="J594" s="631">
        <v>1818.9727000676398</v>
      </c>
      <c r="K594" s="631">
        <v>1807.2671099588597</v>
      </c>
      <c r="L594" s="631">
        <v>1795.5615198500777</v>
      </c>
      <c r="M594" s="613">
        <v>1783.8559297412962</v>
      </c>
      <c r="N594" s="3"/>
      <c r="O594" s="3"/>
      <c r="P594" s="3"/>
      <c r="Q594" s="3"/>
      <c r="R594" s="3"/>
      <c r="S594" s="3"/>
      <c r="T594" s="3"/>
      <c r="U594" s="3"/>
      <c r="V594" s="3"/>
      <c r="W594" s="3"/>
      <c r="X594" s="3"/>
      <c r="Y594" s="3"/>
      <c r="Z594" s="3"/>
    </row>
    <row r="595" spans="1:26" ht="12.75" x14ac:dyDescent="0.2">
      <c r="A595" s="3"/>
      <c r="B595" s="3"/>
      <c r="C595" s="804" t="s">
        <v>944</v>
      </c>
      <c r="D595" s="383">
        <v>0.02</v>
      </c>
      <c r="E595" s="630">
        <v>1849.6407805625249</v>
      </c>
      <c r="F595" s="631">
        <v>1837.9351904537443</v>
      </c>
      <c r="G595" s="631">
        <v>1826.2296003449628</v>
      </c>
      <c r="H595" s="632">
        <v>1814.5240102361811</v>
      </c>
      <c r="I595" s="631">
        <v>1802.8184201273996</v>
      </c>
      <c r="J595" s="631">
        <v>1791.1128300186174</v>
      </c>
      <c r="K595" s="631">
        <v>1779.4072399098368</v>
      </c>
      <c r="L595" s="631">
        <v>1767.7016498010548</v>
      </c>
      <c r="M595" s="613">
        <v>1755.9960596922733</v>
      </c>
      <c r="N595" s="3"/>
      <c r="O595" s="3"/>
      <c r="P595" s="3"/>
      <c r="Q595" s="3"/>
      <c r="R595" s="3"/>
      <c r="S595" s="3"/>
      <c r="T595" s="3"/>
      <c r="U595" s="3"/>
      <c r="V595" s="3"/>
      <c r="W595" s="3"/>
      <c r="X595" s="3"/>
      <c r="Y595" s="3"/>
      <c r="Z595" s="3"/>
    </row>
    <row r="596" spans="1:26" ht="12.75" x14ac:dyDescent="0.2">
      <c r="A596" s="3"/>
      <c r="B596" s="3"/>
      <c r="C596" s="802"/>
      <c r="D596" s="383">
        <v>0.03</v>
      </c>
      <c r="E596" s="630">
        <v>1820.6252481892122</v>
      </c>
      <c r="F596" s="631">
        <v>1808.9196580804316</v>
      </c>
      <c r="G596" s="631">
        <v>1797.2140679716499</v>
      </c>
      <c r="H596" s="632">
        <v>1785.5084778628679</v>
      </c>
      <c r="I596" s="631">
        <v>1773.8028877540869</v>
      </c>
      <c r="J596" s="631">
        <v>1762.0972976453049</v>
      </c>
      <c r="K596" s="631">
        <v>1750.3917075365239</v>
      </c>
      <c r="L596" s="631">
        <v>1738.6861174277421</v>
      </c>
      <c r="M596" s="613">
        <v>1726.9805273189604</v>
      </c>
      <c r="N596" s="3"/>
      <c r="O596" s="3"/>
      <c r="P596" s="3"/>
      <c r="Q596" s="3"/>
      <c r="R596" s="3"/>
      <c r="S596" s="3"/>
      <c r="T596" s="3"/>
      <c r="U596" s="3"/>
      <c r="V596" s="3"/>
      <c r="W596" s="3"/>
      <c r="X596" s="3"/>
      <c r="Y596" s="3"/>
      <c r="Z596" s="3"/>
    </row>
    <row r="597" spans="1:26" ht="12.75" x14ac:dyDescent="0.2">
      <c r="A597" s="3"/>
      <c r="B597" s="3"/>
      <c r="C597" s="802"/>
      <c r="D597" s="383">
        <v>0.04</v>
      </c>
      <c r="E597" s="630">
        <v>1790.4002880667631</v>
      </c>
      <c r="F597" s="631">
        <v>1778.694697957982</v>
      </c>
      <c r="G597" s="631">
        <v>1766.9891078492003</v>
      </c>
      <c r="H597" s="632">
        <v>1755.2835177404186</v>
      </c>
      <c r="I597" s="631">
        <v>1743.5779276316373</v>
      </c>
      <c r="J597" s="631">
        <v>1731.8723375228556</v>
      </c>
      <c r="K597" s="631">
        <v>1720.1667474140752</v>
      </c>
      <c r="L597" s="631">
        <v>1708.461157305293</v>
      </c>
      <c r="M597" s="613">
        <v>1696.755567196511</v>
      </c>
      <c r="N597" s="3"/>
      <c r="O597" s="3"/>
      <c r="P597" s="3"/>
      <c r="Q597" s="3"/>
      <c r="R597" s="3"/>
      <c r="S597" s="3"/>
      <c r="T597" s="3"/>
      <c r="U597" s="3"/>
      <c r="V597" s="3"/>
      <c r="W597" s="3"/>
      <c r="X597" s="3"/>
      <c r="Y597" s="3"/>
      <c r="Z597" s="3"/>
    </row>
    <row r="598" spans="1:26" ht="12.75" x14ac:dyDescent="0.2">
      <c r="A598" s="3"/>
      <c r="B598" s="3"/>
      <c r="C598" s="805"/>
      <c r="D598" s="388">
        <v>0.05</v>
      </c>
      <c r="E598" s="636">
        <v>1758.9097175290528</v>
      </c>
      <c r="F598" s="637">
        <v>1747.2041274202718</v>
      </c>
      <c r="G598" s="637">
        <v>1735.4985373114898</v>
      </c>
      <c r="H598" s="638">
        <v>1723.7929472027085</v>
      </c>
      <c r="I598" s="637">
        <v>1712.0873570939277</v>
      </c>
      <c r="J598" s="637">
        <v>1700.381766985146</v>
      </c>
      <c r="K598" s="637">
        <v>1688.6761768763649</v>
      </c>
      <c r="L598" s="637">
        <v>1676.9705867675823</v>
      </c>
      <c r="M598" s="619">
        <v>1665.2649966588008</v>
      </c>
      <c r="N598" s="3"/>
      <c r="O598" s="3"/>
      <c r="P598" s="3"/>
      <c r="Q598" s="3"/>
      <c r="R598" s="3"/>
      <c r="S598" s="3"/>
      <c r="T598" s="3"/>
      <c r="U598" s="3"/>
      <c r="V598" s="3"/>
      <c r="W598" s="3"/>
      <c r="X598" s="3"/>
      <c r="Y598" s="3"/>
      <c r="Z598" s="3"/>
    </row>
    <row r="599" spans="1:26" ht="12.75"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25.5" x14ac:dyDescent="0.2">
      <c r="A600" s="3"/>
      <c r="B600" s="3"/>
      <c r="C600" s="359"/>
      <c r="D600" s="359" t="s">
        <v>812</v>
      </c>
      <c r="E600" s="644" t="s">
        <v>947</v>
      </c>
      <c r="F600" s="639"/>
      <c r="G600" s="640"/>
      <c r="H600" s="643"/>
      <c r="I600" s="639"/>
      <c r="J600" s="639"/>
      <c r="K600" s="639"/>
      <c r="L600" s="639"/>
      <c r="M600" s="641"/>
      <c r="N600" s="3"/>
      <c r="O600" s="3"/>
      <c r="P600" s="3"/>
      <c r="Q600" s="3"/>
      <c r="R600" s="3"/>
      <c r="S600" s="3"/>
      <c r="T600" s="3"/>
      <c r="U600" s="3"/>
      <c r="V600" s="3"/>
      <c r="W600" s="3"/>
      <c r="X600" s="3"/>
      <c r="Y600" s="3"/>
      <c r="Z600" s="3"/>
    </row>
    <row r="601" spans="1:26" ht="12.75" x14ac:dyDescent="0.2">
      <c r="A601" s="3"/>
      <c r="B601" s="3"/>
      <c r="C601" s="364"/>
      <c r="D601" s="363">
        <f>$F$377</f>
        <v>1869.1395289748632</v>
      </c>
      <c r="E601" s="623">
        <v>-0.03</v>
      </c>
      <c r="F601" s="624">
        <v>-0.02</v>
      </c>
      <c r="G601" s="624">
        <v>-0.01</v>
      </c>
      <c r="H601" s="626">
        <v>0</v>
      </c>
      <c r="I601" s="624">
        <v>0.01</v>
      </c>
      <c r="J601" s="624">
        <v>0.02</v>
      </c>
      <c r="K601" s="624">
        <v>0.03</v>
      </c>
      <c r="L601" s="624">
        <v>0.04</v>
      </c>
      <c r="M601" s="625">
        <v>0.05</v>
      </c>
      <c r="N601" s="3"/>
      <c r="O601" s="3"/>
      <c r="P601" s="3"/>
      <c r="Q601" s="3"/>
      <c r="R601" s="3"/>
      <c r="S601" s="3"/>
      <c r="T601" s="3"/>
      <c r="U601" s="3"/>
      <c r="V601" s="3"/>
      <c r="W601" s="3"/>
      <c r="X601" s="3"/>
      <c r="Y601" s="3"/>
      <c r="Z601" s="3"/>
    </row>
    <row r="602" spans="1:26" ht="12.75" x14ac:dyDescent="0.2">
      <c r="A602" s="3"/>
      <c r="B602" s="3"/>
      <c r="C602" s="801"/>
      <c r="D602" s="382">
        <v>-0.03</v>
      </c>
      <c r="E602" s="627">
        <f t="dataTable" ref="E602:M610" dt2D="1" dtr="1" r1="F77" r2="F87" ca="1"/>
        <v>1760.0779539090252</v>
      </c>
      <c r="F602" s="628">
        <v>1748.3219382553166</v>
      </c>
      <c r="G602" s="628">
        <v>1736.565922601608</v>
      </c>
      <c r="H602" s="629">
        <v>1724.8099069478994</v>
      </c>
      <c r="I602" s="628">
        <v>1713.0538912941913</v>
      </c>
      <c r="J602" s="628">
        <v>1701.2978756404818</v>
      </c>
      <c r="K602" s="628">
        <v>1689.5418599867744</v>
      </c>
      <c r="L602" s="628">
        <v>1677.7858443330654</v>
      </c>
      <c r="M602" s="621">
        <v>1666.0298286793568</v>
      </c>
      <c r="N602" s="3"/>
      <c r="O602" s="3"/>
      <c r="P602" s="3"/>
      <c r="Q602" s="3"/>
      <c r="R602" s="3"/>
      <c r="S602" s="3"/>
      <c r="T602" s="3"/>
      <c r="U602" s="3"/>
      <c r="V602" s="3"/>
      <c r="W602" s="3"/>
      <c r="X602" s="3"/>
      <c r="Y602" s="3"/>
      <c r="Z602" s="3"/>
    </row>
    <row r="603" spans="1:26" ht="12.75" x14ac:dyDescent="0.2">
      <c r="A603" s="3"/>
      <c r="B603" s="3"/>
      <c r="C603" s="802"/>
      <c r="D603" s="383">
        <v>-0.02</v>
      </c>
      <c r="E603" s="630">
        <v>1808.1374023730866</v>
      </c>
      <c r="F603" s="631">
        <v>1796.3981952343536</v>
      </c>
      <c r="G603" s="631">
        <v>1784.6589880956205</v>
      </c>
      <c r="H603" s="632">
        <v>1772.9197809568875</v>
      </c>
      <c r="I603" s="631">
        <v>1761.1805738181552</v>
      </c>
      <c r="J603" s="631">
        <v>1749.4413666794214</v>
      </c>
      <c r="K603" s="631">
        <v>1737.7021595406891</v>
      </c>
      <c r="L603" s="631">
        <v>1725.9629524019563</v>
      </c>
      <c r="M603" s="613">
        <v>1714.2237452632232</v>
      </c>
      <c r="N603" s="3"/>
      <c r="O603" s="3"/>
      <c r="P603" s="3"/>
      <c r="Q603" s="3"/>
      <c r="R603" s="3"/>
      <c r="S603" s="3"/>
      <c r="T603" s="3"/>
      <c r="U603" s="3"/>
      <c r="V603" s="3"/>
      <c r="W603" s="3"/>
      <c r="X603" s="3"/>
      <c r="Y603" s="3"/>
      <c r="Z603" s="3"/>
    </row>
    <row r="604" spans="1:26" ht="12.75" x14ac:dyDescent="0.2">
      <c r="A604" s="3"/>
      <c r="B604" s="3"/>
      <c r="C604" s="802"/>
      <c r="D604" s="384">
        <v>-0.01</v>
      </c>
      <c r="E604" s="633">
        <v>1856.1968508371472</v>
      </c>
      <c r="F604" s="634">
        <v>1844.4744522133901</v>
      </c>
      <c r="G604" s="634">
        <v>1832.7520535896329</v>
      </c>
      <c r="H604" s="632">
        <v>1821.0296549658758</v>
      </c>
      <c r="I604" s="634">
        <v>1809.3072563421183</v>
      </c>
      <c r="J604" s="634">
        <v>1797.5848577183608</v>
      </c>
      <c r="K604" s="634">
        <v>1785.8624590946042</v>
      </c>
      <c r="L604" s="634">
        <v>1774.1400604708467</v>
      </c>
      <c r="M604" s="615">
        <v>1762.4176618470892</v>
      </c>
      <c r="N604" s="3"/>
      <c r="O604" s="3"/>
      <c r="P604" s="3"/>
      <c r="Q604" s="3"/>
      <c r="R604" s="3"/>
      <c r="S604" s="3"/>
      <c r="T604" s="3"/>
      <c r="U604" s="3"/>
      <c r="V604" s="3"/>
      <c r="W604" s="3"/>
      <c r="X604" s="3"/>
      <c r="Y604" s="3"/>
      <c r="Z604" s="3"/>
    </row>
    <row r="605" spans="1:26" ht="12.75" x14ac:dyDescent="0.2">
      <c r="A605" s="3"/>
      <c r="B605" s="3"/>
      <c r="C605" s="802"/>
      <c r="D605" s="608">
        <v>0</v>
      </c>
      <c r="E605" s="635">
        <v>1904.2562993012079</v>
      </c>
      <c r="F605" s="632">
        <v>1892.5507091924264</v>
      </c>
      <c r="G605" s="632">
        <v>1880.8451190836452</v>
      </c>
      <c r="H605" s="632">
        <v>1869.1395289748632</v>
      </c>
      <c r="I605" s="632">
        <v>1857.4339388660833</v>
      </c>
      <c r="J605" s="632">
        <v>1845.7283487573002</v>
      </c>
      <c r="K605" s="632">
        <v>1834.0227586485196</v>
      </c>
      <c r="L605" s="632">
        <v>1822.3171685397374</v>
      </c>
      <c r="M605" s="617">
        <v>1810.6115784309561</v>
      </c>
      <c r="N605" s="3"/>
      <c r="O605" s="3"/>
      <c r="P605" s="3"/>
      <c r="Q605" s="3"/>
      <c r="R605" s="3"/>
      <c r="S605" s="3"/>
      <c r="T605" s="3"/>
      <c r="U605" s="3"/>
      <c r="V605" s="3"/>
      <c r="W605" s="3"/>
      <c r="X605" s="3"/>
      <c r="Y605" s="3"/>
      <c r="Z605" s="3"/>
    </row>
    <row r="606" spans="1:26" ht="12.75" x14ac:dyDescent="0.2">
      <c r="A606" s="3"/>
      <c r="B606" s="3"/>
      <c r="C606" s="803" t="s">
        <v>954</v>
      </c>
      <c r="D606" s="383">
        <v>0.01</v>
      </c>
      <c r="E606" s="630">
        <v>1952.3157477652692</v>
      </c>
      <c r="F606" s="631">
        <v>1940.6269661714637</v>
      </c>
      <c r="G606" s="631">
        <v>1928.9381845776579</v>
      </c>
      <c r="H606" s="632">
        <v>1917.2494029838513</v>
      </c>
      <c r="I606" s="631">
        <v>1905.5606213900462</v>
      </c>
      <c r="J606" s="631">
        <v>1893.8718397962398</v>
      </c>
      <c r="K606" s="631">
        <v>1882.1830582024352</v>
      </c>
      <c r="L606" s="631">
        <v>1870.4942766086288</v>
      </c>
      <c r="M606" s="613">
        <v>1858.8054950148226</v>
      </c>
      <c r="N606" s="3"/>
      <c r="O606" s="3"/>
      <c r="P606" s="3"/>
      <c r="Q606" s="3"/>
      <c r="R606" s="3"/>
      <c r="S606" s="3"/>
      <c r="T606" s="3"/>
      <c r="U606" s="3"/>
      <c r="V606" s="3"/>
      <c r="W606" s="3"/>
      <c r="X606" s="3"/>
      <c r="Y606" s="3"/>
      <c r="Z606" s="3"/>
    </row>
    <row r="607" spans="1:26" ht="12.75" x14ac:dyDescent="0.2">
      <c r="A607" s="3"/>
      <c r="B607" s="3"/>
      <c r="C607" s="804" t="s">
        <v>944</v>
      </c>
      <c r="D607" s="383">
        <v>0.02</v>
      </c>
      <c r="E607" s="630">
        <v>2000.3751962293293</v>
      </c>
      <c r="F607" s="631">
        <v>1988.7032231505002</v>
      </c>
      <c r="G607" s="631">
        <v>1977.0312500716698</v>
      </c>
      <c r="H607" s="632">
        <v>1965.3592769928393</v>
      </c>
      <c r="I607" s="631">
        <v>1953.6873039140103</v>
      </c>
      <c r="J607" s="631">
        <v>1942.0153308351792</v>
      </c>
      <c r="K607" s="631">
        <v>1930.3433577563501</v>
      </c>
      <c r="L607" s="631">
        <v>1918.6713846775192</v>
      </c>
      <c r="M607" s="613">
        <v>1906.9994115986885</v>
      </c>
      <c r="N607" s="3"/>
      <c r="O607" s="3"/>
      <c r="P607" s="3"/>
      <c r="Q607" s="3"/>
      <c r="R607" s="3"/>
      <c r="S607" s="3"/>
      <c r="T607" s="3"/>
      <c r="U607" s="3"/>
      <c r="V607" s="3"/>
      <c r="W607" s="3"/>
      <c r="X607" s="3"/>
      <c r="Y607" s="3"/>
      <c r="Z607" s="3"/>
    </row>
    <row r="608" spans="1:26" ht="12.75" x14ac:dyDescent="0.2">
      <c r="A608" s="3"/>
      <c r="B608" s="3"/>
      <c r="C608" s="802"/>
      <c r="D608" s="383">
        <v>0.03</v>
      </c>
      <c r="E608" s="630">
        <v>2048.4346446933905</v>
      </c>
      <c r="F608" s="631">
        <v>2036.7794801295372</v>
      </c>
      <c r="G608" s="631">
        <v>2025.1243155656819</v>
      </c>
      <c r="H608" s="632">
        <v>2013.4691510018272</v>
      </c>
      <c r="I608" s="631">
        <v>2001.8139864379734</v>
      </c>
      <c r="J608" s="631">
        <v>1990.1588218741188</v>
      </c>
      <c r="K608" s="631">
        <v>1978.5036573102655</v>
      </c>
      <c r="L608" s="631">
        <v>1966.8484927464101</v>
      </c>
      <c r="M608" s="613">
        <v>1955.193328182555</v>
      </c>
      <c r="N608" s="3"/>
      <c r="O608" s="3"/>
      <c r="P608" s="3"/>
      <c r="Q608" s="3"/>
      <c r="R608" s="3"/>
      <c r="S608" s="3"/>
      <c r="T608" s="3"/>
      <c r="U608" s="3"/>
      <c r="V608" s="3"/>
      <c r="W608" s="3"/>
      <c r="X608" s="3"/>
      <c r="Y608" s="3"/>
      <c r="Z608" s="3"/>
    </row>
    <row r="609" spans="1:26" ht="12.75" x14ac:dyDescent="0.2">
      <c r="A609" s="3"/>
      <c r="B609" s="3"/>
      <c r="C609" s="802"/>
      <c r="D609" s="383">
        <v>0.04</v>
      </c>
      <c r="E609" s="630">
        <v>2096.494093157452</v>
      </c>
      <c r="F609" s="631">
        <v>2084.855737108574</v>
      </c>
      <c r="G609" s="631">
        <v>2073.2173810596946</v>
      </c>
      <c r="H609" s="632">
        <v>2061.5790250108157</v>
      </c>
      <c r="I609" s="631">
        <v>2049.9406689619373</v>
      </c>
      <c r="J609" s="631">
        <v>2038.3023129130579</v>
      </c>
      <c r="K609" s="631">
        <v>2026.6639568641804</v>
      </c>
      <c r="L609" s="631">
        <v>2015.0256008153008</v>
      </c>
      <c r="M609" s="613">
        <v>2003.3872447664219</v>
      </c>
      <c r="N609" s="3"/>
      <c r="O609" s="3"/>
      <c r="P609" s="3"/>
      <c r="Q609" s="3"/>
      <c r="R609" s="3"/>
      <c r="S609" s="3"/>
      <c r="T609" s="3"/>
      <c r="U609" s="3"/>
      <c r="V609" s="3"/>
      <c r="W609" s="3"/>
      <c r="X609" s="3"/>
      <c r="Y609" s="3"/>
      <c r="Z609" s="3"/>
    </row>
    <row r="610" spans="1:26" ht="12.75" x14ac:dyDescent="0.2">
      <c r="A610" s="3"/>
      <c r="B610" s="3"/>
      <c r="C610" s="805"/>
      <c r="D610" s="388">
        <v>0.05</v>
      </c>
      <c r="E610" s="636">
        <v>2144.5535416215116</v>
      </c>
      <c r="F610" s="637">
        <v>2132.9319940876094</v>
      </c>
      <c r="G610" s="637">
        <v>2121.3104465537058</v>
      </c>
      <c r="H610" s="638">
        <v>2109.6888990198026</v>
      </c>
      <c r="I610" s="637">
        <v>2098.0673514859009</v>
      </c>
      <c r="J610" s="637">
        <v>2086.4458039519964</v>
      </c>
      <c r="K610" s="637">
        <v>2074.8242564180941</v>
      </c>
      <c r="L610" s="637">
        <v>2063.202708884191</v>
      </c>
      <c r="M610" s="619">
        <v>2051.5811613502874</v>
      </c>
      <c r="N610" s="3"/>
      <c r="O610" s="3"/>
      <c r="P610" s="3"/>
      <c r="Q610" s="3"/>
      <c r="R610" s="3"/>
      <c r="S610" s="3"/>
      <c r="T610" s="3"/>
      <c r="U610" s="3"/>
      <c r="V610" s="3"/>
      <c r="W610" s="3"/>
      <c r="X610" s="3"/>
      <c r="Y610" s="3"/>
      <c r="Z610" s="3"/>
    </row>
    <row r="611" spans="1:26" ht="12.75"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25.5" x14ac:dyDescent="0.2">
      <c r="A612" s="3"/>
      <c r="B612" s="3"/>
      <c r="C612" s="359"/>
      <c r="D612" s="359" t="s">
        <v>812</v>
      </c>
      <c r="E612" s="673" t="s">
        <v>960</v>
      </c>
      <c r="F612" s="639"/>
      <c r="G612" s="640"/>
      <c r="H612" s="643"/>
      <c r="I612" s="639"/>
      <c r="J612" s="639"/>
      <c r="K612" s="674"/>
      <c r="L612" s="675"/>
      <c r="M612" s="675"/>
      <c r="N612" s="642"/>
      <c r="O612" s="642"/>
      <c r="P612" s="642"/>
      <c r="Q612" s="642"/>
      <c r="R612" s="642"/>
      <c r="S612" s="642"/>
      <c r="T612" s="642"/>
      <c r="U612" s="642"/>
      <c r="V612" s="642"/>
      <c r="W612" s="3"/>
      <c r="X612" s="3"/>
      <c r="Y612" s="3"/>
      <c r="Z612" s="3"/>
    </row>
    <row r="613" spans="1:26" ht="12.75" x14ac:dyDescent="0.2">
      <c r="A613" s="3"/>
      <c r="B613" s="3"/>
      <c r="C613" s="364"/>
      <c r="D613" s="363">
        <f>$F$377</f>
        <v>1869.1395289748632</v>
      </c>
      <c r="E613" s="655">
        <v>3.5</v>
      </c>
      <c r="F613" s="652">
        <v>4</v>
      </c>
      <c r="G613" s="851">
        <v>4.5</v>
      </c>
      <c r="H613" s="652">
        <v>5</v>
      </c>
      <c r="I613" s="654">
        <v>5.6</v>
      </c>
      <c r="J613" s="652">
        <v>5.8</v>
      </c>
      <c r="K613" s="671"/>
      <c r="L613" s="672"/>
      <c r="M613" s="672"/>
      <c r="N613" s="3"/>
      <c r="O613" s="3"/>
      <c r="P613" s="3"/>
      <c r="Q613" s="3"/>
      <c r="R613" s="3"/>
      <c r="S613" s="3"/>
      <c r="T613" s="3"/>
      <c r="U613" s="3"/>
      <c r="V613" s="3"/>
      <c r="W613" s="3"/>
      <c r="X613" s="3"/>
      <c r="Y613" s="3"/>
      <c r="Z613" s="3"/>
    </row>
    <row r="614" spans="1:26" ht="12.75" x14ac:dyDescent="0.2">
      <c r="A614" s="3"/>
      <c r="B614" s="3"/>
      <c r="C614" s="801"/>
      <c r="D614" s="382">
        <v>-0.03</v>
      </c>
      <c r="E614" s="627">
        <f t="dataTable" ref="E614:J622" dt2D="1" dtr="1" r1="I32" r2="F87" ca="1"/>
        <v>-1478.8351262331314</v>
      </c>
      <c r="F614" s="628">
        <v>-715.12683285332275</v>
      </c>
      <c r="G614" s="628">
        <v>47.349771004241731</v>
      </c>
      <c r="H614" s="628">
        <v>810.92259670468366</v>
      </c>
      <c r="I614" s="629">
        <v>1724.8099069478994</v>
      </c>
      <c r="J614" s="628">
        <v>2031.2017801496168</v>
      </c>
      <c r="K614" s="630"/>
      <c r="L614" s="631"/>
      <c r="M614" s="631"/>
      <c r="N614" s="3"/>
      <c r="O614" s="3"/>
      <c r="P614" s="3"/>
      <c r="Q614" s="3"/>
      <c r="R614" s="3"/>
      <c r="S614" s="3"/>
      <c r="T614" s="3"/>
      <c r="U614" s="3"/>
      <c r="V614" s="3"/>
      <c r="W614" s="3"/>
      <c r="X614" s="3"/>
      <c r="Y614" s="3"/>
      <c r="Z614" s="3"/>
    </row>
    <row r="615" spans="1:26" ht="12.75" x14ac:dyDescent="0.2">
      <c r="A615" s="3"/>
      <c r="B615" s="3"/>
      <c r="C615" s="802"/>
      <c r="D615" s="383">
        <v>-0.02</v>
      </c>
      <c r="E615" s="630">
        <v>-1465.112549098744</v>
      </c>
      <c r="F615" s="631">
        <v>-693.21680408212603</v>
      </c>
      <c r="G615" s="631">
        <v>77.447251412248505</v>
      </c>
      <c r="H615" s="631">
        <v>849.20752874950063</v>
      </c>
      <c r="I615" s="632">
        <v>1772.9197809568875</v>
      </c>
      <c r="J615" s="631">
        <v>2082.5866348133291</v>
      </c>
      <c r="K615" s="797"/>
      <c r="L615" s="798"/>
      <c r="M615" s="798"/>
      <c r="N615" s="3"/>
      <c r="O615" s="3"/>
      <c r="P615" s="3"/>
      <c r="Q615" s="3"/>
      <c r="R615" s="3"/>
      <c r="S615" s="3"/>
      <c r="T615" s="3"/>
      <c r="U615" s="3"/>
      <c r="V615" s="3"/>
      <c r="W615" s="3"/>
      <c r="X615" s="3"/>
      <c r="Y615" s="3"/>
      <c r="Z615" s="3"/>
    </row>
    <row r="616" spans="1:26" ht="12.75" x14ac:dyDescent="0.2">
      <c r="A616" s="3"/>
      <c r="B616" s="3"/>
      <c r="C616" s="802"/>
      <c r="D616" s="384">
        <v>-0.01</v>
      </c>
      <c r="E616" s="633">
        <v>-1451.3899719643566</v>
      </c>
      <c r="F616" s="634">
        <v>-671.3067753109292</v>
      </c>
      <c r="G616" s="634">
        <v>107.54473182025565</v>
      </c>
      <c r="H616" s="631">
        <v>887.49246079431771</v>
      </c>
      <c r="I616" s="632">
        <v>1821.0296549658758</v>
      </c>
      <c r="J616" s="634">
        <v>2133.97148947704</v>
      </c>
      <c r="K616" s="797"/>
      <c r="L616" s="798"/>
      <c r="M616" s="798"/>
      <c r="N616" s="3"/>
      <c r="O616" s="3"/>
      <c r="P616" s="3"/>
      <c r="Q616" s="3"/>
      <c r="R616" s="3"/>
      <c r="S616" s="3"/>
      <c r="T616" s="3"/>
      <c r="U616" s="3"/>
      <c r="V616" s="3"/>
      <c r="W616" s="3"/>
      <c r="X616" s="3"/>
      <c r="Y616" s="3"/>
      <c r="Z616" s="3"/>
    </row>
    <row r="617" spans="1:26" ht="12.75" x14ac:dyDescent="0.2">
      <c r="A617" s="3"/>
      <c r="B617" s="3"/>
      <c r="C617" s="802"/>
      <c r="D617" s="608">
        <v>0</v>
      </c>
      <c r="E617" s="635">
        <v>-1437.6673948299701</v>
      </c>
      <c r="F617" s="632">
        <v>-649.39674653973236</v>
      </c>
      <c r="G617" s="632">
        <v>137.64221222826171</v>
      </c>
      <c r="H617" s="632">
        <v>925.77739283913274</v>
      </c>
      <c r="I617" s="632">
        <v>1869.1395289748632</v>
      </c>
      <c r="J617" s="632">
        <v>2185.3563441407514</v>
      </c>
      <c r="K617" s="797"/>
      <c r="L617" s="798"/>
      <c r="M617" s="798"/>
      <c r="N617" s="3"/>
      <c r="O617" s="3"/>
      <c r="P617" s="3"/>
      <c r="Q617" s="3"/>
      <c r="R617" s="3"/>
      <c r="S617" s="3"/>
      <c r="T617" s="3"/>
      <c r="U617" s="3"/>
      <c r="V617" s="3"/>
      <c r="W617" s="3"/>
      <c r="X617" s="3"/>
      <c r="Y617" s="3"/>
      <c r="Z617" s="3"/>
    </row>
    <row r="618" spans="1:26" ht="12.75" x14ac:dyDescent="0.2">
      <c r="A618" s="3"/>
      <c r="B618" s="3"/>
      <c r="C618" s="803" t="s">
        <v>954</v>
      </c>
      <c r="D618" s="383">
        <v>0.01</v>
      </c>
      <c r="E618" s="630">
        <v>-1423.9448176955834</v>
      </c>
      <c r="F618" s="631">
        <v>-627.4867177685361</v>
      </c>
      <c r="G618" s="631">
        <v>167.7396926362677</v>
      </c>
      <c r="H618" s="631">
        <v>964.06232488394869</v>
      </c>
      <c r="I618" s="632">
        <v>1917.2494029838513</v>
      </c>
      <c r="J618" s="631">
        <v>2236.7411988044632</v>
      </c>
      <c r="K618" s="797"/>
      <c r="L618" s="798"/>
      <c r="M618" s="798"/>
      <c r="N618" s="3"/>
      <c r="O618" s="3"/>
      <c r="P618" s="3"/>
      <c r="Q618" s="3"/>
      <c r="R618" s="3"/>
      <c r="S618" s="3"/>
      <c r="T618" s="3"/>
      <c r="U618" s="3"/>
      <c r="V618" s="3"/>
      <c r="W618" s="3"/>
      <c r="X618" s="3"/>
      <c r="Y618" s="3"/>
      <c r="Z618" s="3"/>
    </row>
    <row r="619" spans="1:26" ht="12.75" x14ac:dyDescent="0.2">
      <c r="A619" s="3"/>
      <c r="B619" s="3"/>
      <c r="C619" s="804" t="s">
        <v>944</v>
      </c>
      <c r="D619" s="383">
        <v>0.02</v>
      </c>
      <c r="E619" s="630">
        <v>-1410.222240561196</v>
      </c>
      <c r="F619" s="631">
        <v>-605.57668899733858</v>
      </c>
      <c r="G619" s="631">
        <v>197.83717304427512</v>
      </c>
      <c r="H619" s="631">
        <v>1002.3472569287654</v>
      </c>
      <c r="I619" s="632">
        <v>1965.3592769928393</v>
      </c>
      <c r="J619" s="631">
        <v>2288.1260534681751</v>
      </c>
      <c r="K619" s="797"/>
      <c r="L619" s="798"/>
      <c r="M619" s="798"/>
      <c r="N619" s="3"/>
      <c r="O619" s="3"/>
      <c r="P619" s="3"/>
      <c r="Q619" s="3"/>
      <c r="R619" s="3"/>
      <c r="S619" s="3"/>
      <c r="T619" s="3"/>
      <c r="U619" s="3"/>
      <c r="V619" s="3"/>
      <c r="W619" s="3"/>
      <c r="X619" s="3"/>
      <c r="Y619" s="3"/>
      <c r="Z619" s="3"/>
    </row>
    <row r="620" spans="1:26" ht="12.75" x14ac:dyDescent="0.2">
      <c r="A620" s="3"/>
      <c r="B620" s="3"/>
      <c r="C620" s="802"/>
      <c r="D620" s="383">
        <v>0.03</v>
      </c>
      <c r="E620" s="630">
        <v>-1396.4996634268084</v>
      </c>
      <c r="F620" s="631">
        <v>-583.6666602261414</v>
      </c>
      <c r="G620" s="631">
        <v>227.9346534522814</v>
      </c>
      <c r="H620" s="631">
        <v>1040.6321889735818</v>
      </c>
      <c r="I620" s="632">
        <v>2013.4691510018272</v>
      </c>
      <c r="J620" s="631">
        <v>2339.5109081318874</v>
      </c>
      <c r="K620" s="630"/>
      <c r="L620" s="631"/>
      <c r="M620" s="631"/>
      <c r="N620" s="3"/>
      <c r="O620" s="3"/>
      <c r="P620" s="3"/>
      <c r="Q620" s="3"/>
      <c r="R620" s="3"/>
      <c r="S620" s="3"/>
      <c r="T620" s="3"/>
      <c r="U620" s="3"/>
      <c r="V620" s="3"/>
      <c r="W620" s="3"/>
      <c r="X620" s="3"/>
      <c r="Y620" s="3"/>
      <c r="Z620" s="3"/>
    </row>
    <row r="621" spans="1:26" ht="12.75" x14ac:dyDescent="0.2">
      <c r="A621" s="3"/>
      <c r="B621" s="3"/>
      <c r="C621" s="802"/>
      <c r="D621" s="383">
        <v>0.04</v>
      </c>
      <c r="E621" s="630">
        <v>-1382.7770862924208</v>
      </c>
      <c r="F621" s="631">
        <v>-561.75663145494445</v>
      </c>
      <c r="G621" s="631">
        <v>258.03213386028807</v>
      </c>
      <c r="H621" s="631">
        <v>1078.9171210183977</v>
      </c>
      <c r="I621" s="632">
        <v>2061.5790250108157</v>
      </c>
      <c r="J621" s="631">
        <v>2390.8957627955988</v>
      </c>
      <c r="K621" s="630"/>
      <c r="L621" s="631"/>
      <c r="M621" s="631"/>
      <c r="N621" s="3"/>
      <c r="O621" s="3"/>
      <c r="P621" s="3"/>
      <c r="Q621" s="3"/>
      <c r="R621" s="3"/>
      <c r="S621" s="3"/>
      <c r="T621" s="3"/>
      <c r="U621" s="3"/>
      <c r="V621" s="3"/>
      <c r="W621" s="3"/>
      <c r="X621" s="3"/>
      <c r="Y621" s="3"/>
      <c r="Z621" s="3"/>
    </row>
    <row r="622" spans="1:26" ht="12.75" x14ac:dyDescent="0.2">
      <c r="A622" s="3"/>
      <c r="B622" s="3"/>
      <c r="C622" s="805"/>
      <c r="D622" s="388">
        <v>0.05</v>
      </c>
      <c r="E622" s="636">
        <v>-1369.0545091580341</v>
      </c>
      <c r="F622" s="637">
        <v>-539.84660268374739</v>
      </c>
      <c r="G622" s="637">
        <v>288.12961426829474</v>
      </c>
      <c r="H622" s="637">
        <v>1117.2020530632144</v>
      </c>
      <c r="I622" s="638">
        <v>2109.6888990198026</v>
      </c>
      <c r="J622" s="637">
        <v>2442.2806174593106</v>
      </c>
      <c r="K622" s="630"/>
      <c r="L622" s="631"/>
      <c r="M622" s="631"/>
      <c r="N622" s="3"/>
      <c r="O622" s="3"/>
      <c r="P622" s="3"/>
      <c r="Q622" s="3"/>
      <c r="R622" s="3"/>
      <c r="S622" s="3"/>
      <c r="T622" s="3"/>
      <c r="U622" s="3"/>
      <c r="V622" s="3"/>
      <c r="W622" s="3"/>
      <c r="X622" s="3"/>
      <c r="Y622" s="3"/>
      <c r="Z622" s="3"/>
    </row>
    <row r="623" spans="1:26" ht="12.75"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s="226" customFormat="1" ht="12.75" x14ac:dyDescent="0.2">
      <c r="A624" s="355" t="s">
        <v>919</v>
      </c>
      <c r="B624" s="353"/>
      <c r="C624" s="353"/>
      <c r="D624" s="356"/>
      <c r="E624" s="356"/>
      <c r="F624" s="357"/>
      <c r="G624" s="357"/>
      <c r="H624" s="357"/>
      <c r="I624" s="357"/>
      <c r="J624" s="357"/>
      <c r="K624" s="357"/>
      <c r="L624" s="357"/>
      <c r="M624" s="357"/>
      <c r="N624" s="357"/>
      <c r="O624" s="357"/>
      <c r="P624" s="357"/>
      <c r="Q624" s="357"/>
      <c r="R624" s="357"/>
      <c r="S624" s="357"/>
      <c r="T624" s="353"/>
      <c r="U624" s="353"/>
      <c r="V624" s="353"/>
      <c r="W624" s="353"/>
      <c r="X624" s="353"/>
      <c r="Y624" s="353"/>
      <c r="Z624" s="353"/>
    </row>
    <row r="625" spans="1:26" ht="12.75"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x14ac:dyDescent="0.2">
      <c r="A626" s="3"/>
      <c r="B626" s="479" t="s">
        <v>920</v>
      </c>
      <c r="C626" s="43"/>
      <c r="D626" s="43"/>
      <c r="E626" s="43"/>
      <c r="F626" s="51">
        <v>0</v>
      </c>
      <c r="G626" s="51">
        <v>1</v>
      </c>
      <c r="H626" s="51">
        <v>2</v>
      </c>
      <c r="I626" s="51">
        <v>3</v>
      </c>
      <c r="J626" s="51">
        <v>4</v>
      </c>
      <c r="K626" s="51">
        <v>5</v>
      </c>
      <c r="L626" s="51">
        <v>6</v>
      </c>
      <c r="M626" s="51">
        <v>7</v>
      </c>
      <c r="N626" s="51">
        <v>8</v>
      </c>
      <c r="O626" s="51">
        <v>9</v>
      </c>
      <c r="P626" s="51">
        <v>10</v>
      </c>
      <c r="Q626" s="51">
        <v>11</v>
      </c>
      <c r="R626" s="51">
        <v>12</v>
      </c>
      <c r="S626" s="51">
        <v>13</v>
      </c>
      <c r="T626" s="3"/>
      <c r="U626" s="3"/>
      <c r="V626" s="3"/>
      <c r="W626" s="3"/>
      <c r="X626" s="3"/>
      <c r="Y626" s="3"/>
      <c r="Z626" s="3"/>
    </row>
    <row r="627" spans="1:26" ht="12.75" x14ac:dyDescent="0.2">
      <c r="A627" s="3"/>
      <c r="B627" s="43"/>
      <c r="C627" s="480" t="s">
        <v>916</v>
      </c>
      <c r="D627" s="43"/>
      <c r="E627" s="43"/>
      <c r="F627" s="593">
        <f>(($I$63*$I$25*(F$474*F$473))/1000+E627)*IF(F$626=$I$105,(1-$I$104),1)</f>
        <v>1305</v>
      </c>
      <c r="G627" s="593">
        <f>(($I$63*$I$25*(G$474*G$473))/1000+F627)*IF(G$626=$I$105,(1-$I$104),1)</f>
        <v>3363.0749999999998</v>
      </c>
      <c r="H627" s="593">
        <f>(($I$63*$I$25*(H$474*H$473))/1000+G627)*IF(H$626=$I$105,(1-$I$104),1)</f>
        <v>6040.5749999999998</v>
      </c>
      <c r="I627" s="593">
        <f>(($I$63*$I$25*(I$474*I$473))/1000+H627)*IF(I$626=$I$105,(1-$I$104),1)</f>
        <v>8875.5750000000007</v>
      </c>
      <c r="J627" s="593">
        <f>(($I$63*$I$25*(J$474*J$473))/1000+I627)*IF(J$626=$I$105,(1-$I$104),1)</f>
        <v>11913.075000000001</v>
      </c>
      <c r="K627" s="593">
        <f>(($I$63*$I$25*(K$474*K$473))/1000+J627)*IF(K$626=$I$105,(1-$I$104),1)</f>
        <v>9530.4600000000009</v>
      </c>
      <c r="L627" s="593">
        <f>(($I$63*$I$25*(L$474*L$473))/1000+K627)*IF(L$626=$I$105,(1-$I$104),1)</f>
        <v>9530.4600000000009</v>
      </c>
      <c r="M627" s="593">
        <f>(($I$63*$I$25*(M$474*M$473))/1000+L627)*IF(M$626=$I$105,(1-$I$104),1)</f>
        <v>9530.4600000000009</v>
      </c>
      <c r="N627" s="593">
        <f>(($I$63*$I$25*(N$474*N$473))/1000+M627)*IF(N$626=$I$105,(1-$I$104),1)</f>
        <v>9530.4600000000009</v>
      </c>
      <c r="O627" s="593">
        <f>(($I$63*$I$25*(O$474*O$473))/1000+N627)*IF(O$626=$I$105,(1-$I$104),1)</f>
        <v>9530.4600000000009</v>
      </c>
      <c r="P627" s="593">
        <f>(($I$63*$I$25*(P$474*P$473))/1000+O627)*IF(P$626=$I$105,(1-$I$104),1)</f>
        <v>9530.4600000000009</v>
      </c>
      <c r="Q627" s="593">
        <f>(($I$63*$I$25*(Q$474*Q$473))/1000+P627)*IF(Q$626=$I$105,(1-$I$104),1)</f>
        <v>9530.4600000000009</v>
      </c>
      <c r="R627" s="593">
        <f>(($I$63*$I$25*(R$474*R$473))/1000+Q627)*IF(R$626=$I$105,(1-$I$104),1)</f>
        <v>9530.4600000000009</v>
      </c>
      <c r="S627" s="593">
        <f>(($I$63*$I$25*(S$474*S$473))/1000+R627)*IF(S$626=$I$105,(1-$I$104),1)</f>
        <v>9530.4600000000009</v>
      </c>
      <c r="T627" s="3"/>
      <c r="U627" s="3"/>
      <c r="V627" s="3"/>
      <c r="W627" s="3"/>
      <c r="X627" s="3"/>
      <c r="Y627" s="3"/>
      <c r="Z627" s="3"/>
    </row>
    <row r="628" spans="1:26" ht="12.75" x14ac:dyDescent="0.2">
      <c r="A628" s="3"/>
      <c r="B628" s="43"/>
      <c r="C628" s="480" t="s">
        <v>917</v>
      </c>
      <c r="D628" s="43"/>
      <c r="E628" s="43"/>
      <c r="F628" s="593">
        <f>(($I64*$I$25*(F$474*F$473))/1000+E628)*IF(F$626=$I$105,(1-$I$104),1)</f>
        <v>2610</v>
      </c>
      <c r="G628" s="593">
        <f>(($I64*$I$25*(G$474*G$473))/1000+F628)*IF(G$626=$I$105,(1-$I$104),1)</f>
        <v>6726.15</v>
      </c>
      <c r="H628" s="593">
        <f>(($I64*$I$25*(H$474*H$473))/1000+G628)*IF(H$626=$I$105,(1-$I$104),1)</f>
        <v>12081.15</v>
      </c>
      <c r="I628" s="593">
        <f>(($I64*$I$25*(I$474*I$473))/1000+H628)*IF(I$626=$I$105,(1-$I$104),1)</f>
        <v>17751.150000000001</v>
      </c>
      <c r="J628" s="593">
        <f>(($I64*$I$25*(J$474*J$473))/1000+I628)*IF(J$626=$I$105,(1-$I$104),1)</f>
        <v>23826.15</v>
      </c>
      <c r="K628" s="593">
        <f>(($I64*$I$25*(K$474*K$473))/1000+J628)*IF(K$626=$I$105,(1-$I$104),1)</f>
        <v>19060.920000000002</v>
      </c>
      <c r="L628" s="593">
        <f>(($I64*$I$25*(L$474*L$473))/1000+K628)*IF(L$626=$I$105,(1-$I$104),1)</f>
        <v>19060.920000000002</v>
      </c>
      <c r="M628" s="593">
        <f>(($I64*$I$25*(M$474*M$473))/1000+L628)*IF(M$626=$I$105,(1-$I$104),1)</f>
        <v>19060.920000000002</v>
      </c>
      <c r="N628" s="593">
        <f>(($I64*$I$25*(N$474*N$473))/1000+M628)*IF(N$626=$I$105,(1-$I$104),1)</f>
        <v>19060.920000000002</v>
      </c>
      <c r="O628" s="593">
        <f>(($I64*$I$25*(O$474*O$473))/1000+N628)*IF(O$626=$I$105,(1-$I$104),1)</f>
        <v>19060.920000000002</v>
      </c>
      <c r="P628" s="593">
        <f>(($I64*$I$25*(P$474*P$473))/1000+O628)*IF(P$626=$I$105,(1-$I$104),1)</f>
        <v>19060.920000000002</v>
      </c>
      <c r="Q628" s="593">
        <f>(($I64*$I$25*(Q$474*Q$473))/1000+P628)*IF(Q$626=$I$105,(1-$I$104),1)</f>
        <v>19060.920000000002</v>
      </c>
      <c r="R628" s="593">
        <f>(($I64*$I$25*(R$474*R$473))/1000+Q628)*IF(R$626=$I$105,(1-$I$104),1)</f>
        <v>19060.920000000002</v>
      </c>
      <c r="S628" s="593">
        <f>(($I64*$I$25*(S$474*S$473))/1000+R628)*IF(S$626=$I$105,(1-$I$104),1)</f>
        <v>19060.920000000002</v>
      </c>
      <c r="T628" s="3"/>
      <c r="U628" s="3"/>
      <c r="V628" s="3"/>
      <c r="W628" s="3"/>
      <c r="X628" s="3"/>
      <c r="Y628" s="3"/>
      <c r="Z628" s="3"/>
    </row>
    <row r="629" spans="1:26" ht="12.75" x14ac:dyDescent="0.2">
      <c r="A629" s="3"/>
      <c r="B629" s="43"/>
      <c r="C629" s="480" t="s">
        <v>918</v>
      </c>
      <c r="D629" s="43"/>
      <c r="E629" s="43"/>
      <c r="F629" s="593">
        <f>(($I65*$I$25*(F$474*F$473))/1000+E629)*IF(F$626=$I$105,(1-$I$104),1)</f>
        <v>5220</v>
      </c>
      <c r="G629" s="593">
        <f>(($I65*$I$25*(G$474*G$473))/1000+F629)*IF(G$626=$I$105,(1-$I$104),1)</f>
        <v>13452.3</v>
      </c>
      <c r="H629" s="593">
        <f>(($I65*$I$25*(H$474*H$473))/1000+G629)*IF(H$626=$I$105,(1-$I$104),1)</f>
        <v>24162.3</v>
      </c>
      <c r="I629" s="593">
        <f>(($I65*$I$25*(I$474*I$473))/1000+H629)*IF(I$626=$I$105,(1-$I$104),1)</f>
        <v>35502.300000000003</v>
      </c>
      <c r="J629" s="593">
        <f>(($I65*$I$25*(J$474*J$473))/1000+I629)*IF(J$626=$I$105,(1-$I$104),1)</f>
        <v>47652.3</v>
      </c>
      <c r="K629" s="593">
        <f>(($I65*$I$25*(K$474*K$473))/1000+J629)*IF(K$626=$I$105,(1-$I$104),1)</f>
        <v>38121.840000000004</v>
      </c>
      <c r="L629" s="593">
        <f>(($I65*$I$25*(L$474*L$473))/1000+K629)*IF(L$626=$I$105,(1-$I$104),1)</f>
        <v>38121.840000000004</v>
      </c>
      <c r="M629" s="593">
        <f>(($I65*$I$25*(M$474*M$473))/1000+L629)*IF(M$626=$I$105,(1-$I$104),1)</f>
        <v>38121.840000000004</v>
      </c>
      <c r="N629" s="593">
        <f>(($I65*$I$25*(N$474*N$473))/1000+M629)*IF(N$626=$I$105,(1-$I$104),1)</f>
        <v>38121.840000000004</v>
      </c>
      <c r="O629" s="593">
        <f>(($I65*$I$25*(O$474*O$473))/1000+N629)*IF(O$626=$I$105,(1-$I$104),1)</f>
        <v>38121.840000000004</v>
      </c>
      <c r="P629" s="593">
        <f>(($I65*$I$25*(P$474*P$473))/1000+O629)*IF(P$626=$I$105,(1-$I$104),1)</f>
        <v>38121.840000000004</v>
      </c>
      <c r="Q629" s="593">
        <f>(($I65*$I$25*(Q$474*Q$473))/1000+P629)*IF(Q$626=$I$105,(1-$I$104),1)</f>
        <v>38121.840000000004</v>
      </c>
      <c r="R629" s="593">
        <f>(($I65*$I$25*(R$474*R$473))/1000+Q629)*IF(R$626=$I$105,(1-$I$104),1)</f>
        <v>38121.840000000004</v>
      </c>
      <c r="S629" s="593">
        <f>(($I65*$I$25*(S$474*S$473))/1000+R629)*IF(S$626=$I$105,(1-$I$104),1)</f>
        <v>38121.840000000004</v>
      </c>
      <c r="T629" s="3"/>
      <c r="U629" s="3"/>
      <c r="V629" s="3"/>
      <c r="W629" s="3"/>
      <c r="X629" s="3"/>
      <c r="Y629" s="3"/>
      <c r="Z629" s="3"/>
    </row>
    <row r="630" spans="1:26" ht="12.75" x14ac:dyDescent="0.2">
      <c r="A630" s="3"/>
      <c r="B630" s="43"/>
      <c r="C630" s="480" t="s">
        <v>915</v>
      </c>
      <c r="D630" s="43"/>
      <c r="E630" s="43"/>
      <c r="F630" s="593">
        <f>(($I66*$I$25*(F$474*F$473))+E630)*IF(F$626=$I$105,(1-$I$104),1)</f>
        <v>159210</v>
      </c>
      <c r="G630" s="593">
        <f>(($I66*$I$25*(G$474*G$473))+F630)*IF(G$626=$I$105,(1-$I$104),1)</f>
        <v>410295.15</v>
      </c>
      <c r="H630" s="593">
        <f>(($I66*$I$25*(H$474*H$473))+G630)*IF(H$626=$I$105,(1-$I$104),1)</f>
        <v>736950.15</v>
      </c>
      <c r="I630" s="593">
        <f>(($I66*$I$25*(I$474*I$473))+H630)*IF(I$626=$I$105,(1-$I$104),1)</f>
        <v>1082820.1499999999</v>
      </c>
      <c r="J630" s="593">
        <f>(($I66*$I$25*(J$474*J$473))+I630)*IF(J$626=$I$105,(1-$I$104),1)</f>
        <v>1453395.15</v>
      </c>
      <c r="K630" s="593">
        <f>(($I66*$I$25*(K$474*K$473))+J630)*IF(K$626=$I$105,(1-$I$104),1)</f>
        <v>1162716.1199999999</v>
      </c>
      <c r="L630" s="593">
        <f>(($I66*$I$25*(L$474*L$473))+K630)*IF(L$626=$I$105,(1-$I$104),1)</f>
        <v>1162716.1199999999</v>
      </c>
      <c r="M630" s="593">
        <f>(($I66*$I$25*(M$474*M$473))+L630)*IF(M$626=$I$105,(1-$I$104),1)</f>
        <v>1162716.1199999999</v>
      </c>
      <c r="N630" s="593">
        <f>(($I66*$I$25*(N$474*N$473))+M630)*IF(N$626=$I$105,(1-$I$104),1)</f>
        <v>1162716.1199999999</v>
      </c>
      <c r="O630" s="593">
        <f>(($I66*$I$25*(O$474*O$473))+N630)*IF(O$626=$I$105,(1-$I$104),1)</f>
        <v>1162716.1199999999</v>
      </c>
      <c r="P630" s="593">
        <f>(($I66*$I$25*(P$474*P$473))+O630)*IF(P$626=$I$105,(1-$I$104),1)</f>
        <v>1162716.1199999999</v>
      </c>
      <c r="Q630" s="593">
        <f>(($I66*$I$25*(Q$474*Q$473))+P630)*IF(Q$626=$I$105,(1-$I$104),1)</f>
        <v>1162716.1199999999</v>
      </c>
      <c r="R630" s="593">
        <f>(($I66*$I$25*(R$474*R$473))+Q630)*IF(R$626=$I$105,(1-$I$104),1)</f>
        <v>1162716.1199999999</v>
      </c>
      <c r="S630" s="593">
        <f>(($I66*$I$25*(S$474*S$473))+R630)*IF(S$626=$I$105,(1-$I$104),1)</f>
        <v>1162716.1199999999</v>
      </c>
      <c r="T630" s="3"/>
      <c r="U630" s="3"/>
      <c r="V630" s="3"/>
      <c r="W630" s="3"/>
      <c r="X630" s="3"/>
      <c r="Y630" s="3"/>
      <c r="Z630" s="3"/>
    </row>
    <row r="631" spans="1:26" ht="12.75"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x14ac:dyDescent="0.2">
      <c r="A632" s="3"/>
      <c r="B632" s="479" t="s">
        <v>924</v>
      </c>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x14ac:dyDescent="0.2">
      <c r="A633" s="3"/>
      <c r="B633" s="43"/>
      <c r="C633" s="480" t="s">
        <v>926</v>
      </c>
      <c r="D633" s="43"/>
      <c r="E633" s="43"/>
      <c r="F633" s="806">
        <f>F151*(F474*$F473)*(1-F475)</f>
        <v>86704.2</v>
      </c>
      <c r="G633" s="806">
        <f>G151*(G474*$F473)*(1-G475)</f>
        <v>94304.52</v>
      </c>
      <c r="H633" s="806">
        <f>H151*(H474*$F473)*(1-H475)</f>
        <v>102438.32400000001</v>
      </c>
      <c r="I633" s="806">
        <f>I151*(I474*$F473)*(1-I475)</f>
        <v>111139.9596</v>
      </c>
      <c r="J633" s="806">
        <f>J151*(J474*$F473)*(1-J475)</f>
        <v>116892.70758</v>
      </c>
      <c r="K633" s="806">
        <f>K151*(K474*$F473)*(1-K475)</f>
        <v>96256.799999999988</v>
      </c>
      <c r="L633" s="806">
        <f>L151*(L474*$F473)*(1-L475)</f>
        <v>96256.799999999988</v>
      </c>
      <c r="M633" s="806">
        <f>M151*(M474*$F473)*(1-M475)</f>
        <v>96256.799999999988</v>
      </c>
      <c r="N633" s="806">
        <f>N151*(N474*$F473)*(1-N475)</f>
        <v>96256.799999999988</v>
      </c>
      <c r="O633" s="806">
        <f>O151*(O474*$F473)*(1-O475)</f>
        <v>96256.799999999988</v>
      </c>
      <c r="P633" s="806">
        <f>P151*(P474*$F473)*(1-P475)</f>
        <v>0</v>
      </c>
      <c r="Q633" s="806">
        <f>Q151*(Q474*$F473)*(1-Q475)</f>
        <v>0</v>
      </c>
      <c r="R633" s="806">
        <f>R151*(R474*$F473)*(1-R475)</f>
        <v>0</v>
      </c>
      <c r="S633" s="806">
        <f>S151*(S474*$F473)*(1-S475)</f>
        <v>0</v>
      </c>
      <c r="T633" s="3"/>
      <c r="U633" s="3"/>
      <c r="V633" s="3"/>
      <c r="W633" s="3"/>
      <c r="X633" s="3"/>
      <c r="Y633" s="3"/>
      <c r="Z633" s="3"/>
    </row>
    <row r="634" spans="1:26" ht="12.75" x14ac:dyDescent="0.2">
      <c r="A634" s="3"/>
      <c r="B634" s="43"/>
      <c r="C634" s="480" t="s">
        <v>927</v>
      </c>
      <c r="D634" s="43"/>
      <c r="E634" s="43"/>
      <c r="F634" s="806"/>
      <c r="G634" s="806">
        <f>F151*(F474*$G473)*(1-F475)</f>
        <v>136738.503</v>
      </c>
      <c r="H634" s="806">
        <f>G151*(G474*$G473)*(1-G475)</f>
        <v>148724.73180000001</v>
      </c>
      <c r="I634" s="806">
        <f>H151*(H474*$G473)*(1-H475)</f>
        <v>161552.30166</v>
      </c>
      <c r="J634" s="806">
        <f>I151*(I474*$G473)*(1-I475)</f>
        <v>175275.38111400002</v>
      </c>
      <c r="K634" s="806">
        <f>J151*(J474*$G473)*(1-J475)</f>
        <v>184347.8614197</v>
      </c>
      <c r="L634" s="806">
        <f>K151*(K474*$G473)*(1-K475)</f>
        <v>151803.61199999999</v>
      </c>
      <c r="M634" s="806">
        <f>L151*(L474*$G473)*(1-L475)</f>
        <v>151803.61199999999</v>
      </c>
      <c r="N634" s="806">
        <f>M151*(M474*$G473)*(1-M475)</f>
        <v>151803.61199999999</v>
      </c>
      <c r="O634" s="806">
        <f>N151*(N474*$G473)*(1-N475)</f>
        <v>151803.61199999999</v>
      </c>
      <c r="P634" s="806">
        <f>O151*(O474*$G473)*(1-O475)</f>
        <v>151803.61199999999</v>
      </c>
      <c r="Q634" s="806">
        <f>P151*(P474*$G473)*(1-P475)</f>
        <v>0</v>
      </c>
      <c r="R634" s="806">
        <f>Q151*(Q474*$G473)*(1-Q475)</f>
        <v>0</v>
      </c>
      <c r="S634" s="806">
        <f>R151*(R474*$G473)*(1-R475)</f>
        <v>0</v>
      </c>
      <c r="T634" s="3"/>
      <c r="U634" s="3"/>
      <c r="V634" s="3"/>
      <c r="W634" s="3"/>
      <c r="X634" s="3"/>
      <c r="Y634" s="3"/>
      <c r="Z634" s="3"/>
    </row>
    <row r="635" spans="1:26" ht="12.75" x14ac:dyDescent="0.2">
      <c r="A635" s="3"/>
      <c r="B635" s="43"/>
      <c r="C635" s="480" t="s">
        <v>928</v>
      </c>
      <c r="D635" s="43"/>
      <c r="E635" s="43"/>
      <c r="F635" s="806"/>
      <c r="G635" s="806"/>
      <c r="H635" s="806">
        <f>F151*(F474*$H473)*(1-F475)</f>
        <v>177893.09999999998</v>
      </c>
      <c r="I635" s="806">
        <f>G151*(G474*$H473)*(1-G475)</f>
        <v>193486.86</v>
      </c>
      <c r="J635" s="806">
        <f>H151*(H474*$H473)*(1-H475)</f>
        <v>210175.182</v>
      </c>
      <c r="K635" s="806">
        <f>I151*(I474*$H473)*(1-I475)</f>
        <v>228028.53780000002</v>
      </c>
      <c r="L635" s="806">
        <f>J151*(J474*$H473)*(1-J475)</f>
        <v>239831.58968999999</v>
      </c>
      <c r="M635" s="806">
        <f>K151*(K474*$H473)*(1-K475)</f>
        <v>197492.4</v>
      </c>
      <c r="N635" s="806">
        <f>L151*(L474*$H473)*(1-L475)</f>
        <v>197492.4</v>
      </c>
      <c r="O635" s="806">
        <f>M151*(M474*$H473)*(1-M475)</f>
        <v>197492.4</v>
      </c>
      <c r="P635" s="806">
        <f>N151*(N474*$H473)*(1-N475)</f>
        <v>197492.4</v>
      </c>
      <c r="Q635" s="806">
        <f>O151*(O474*$H473)*(1-O475)</f>
        <v>197492.4</v>
      </c>
      <c r="R635" s="806">
        <f>P151*(P474*$H473)*(1-P475)</f>
        <v>0</v>
      </c>
      <c r="S635" s="806">
        <f>Q151*(Q474*$H473)*(1-Q475)</f>
        <v>0</v>
      </c>
      <c r="T635" s="3"/>
      <c r="U635" s="3"/>
      <c r="V635" s="3"/>
      <c r="W635" s="3"/>
      <c r="X635" s="3"/>
      <c r="Y635" s="3"/>
      <c r="Z635" s="3"/>
    </row>
    <row r="636" spans="1:26" ht="12.75" x14ac:dyDescent="0.2">
      <c r="A636" s="3"/>
      <c r="B636" s="43"/>
      <c r="C636" s="480" t="s">
        <v>929</v>
      </c>
      <c r="D636" s="43"/>
      <c r="E636" s="43"/>
      <c r="F636" s="806"/>
      <c r="G636" s="806"/>
      <c r="H636" s="806"/>
      <c r="I636" s="806">
        <f>F151*(F474*$I473)*(1-F475)</f>
        <v>188357.39999999997</v>
      </c>
      <c r="J636" s="806">
        <f>G151*(G474*$I473)*(1-G475)</f>
        <v>204868.44</v>
      </c>
      <c r="K636" s="806">
        <f>H151*(H474*$I473)*(1-H475)</f>
        <v>222538.42800000001</v>
      </c>
      <c r="L636" s="806">
        <f>I151*(I474*$I473)*(1-I475)</f>
        <v>241441.98120000001</v>
      </c>
      <c r="M636" s="806">
        <f>J151*(J474*$I473)*(1-J475)</f>
        <v>253939.33026000002</v>
      </c>
      <c r="N636" s="806">
        <f>K151*(K474*$I473)*(1-K475)</f>
        <v>209109.59999999998</v>
      </c>
      <c r="O636" s="806">
        <f>L151*(L474*$I473)*(1-L475)</f>
        <v>209109.59999999998</v>
      </c>
      <c r="P636" s="806">
        <f>M151*(M474*$I473)*(1-M475)</f>
        <v>209109.59999999998</v>
      </c>
      <c r="Q636" s="806">
        <f>N151*(N474*$I473)*(1-N475)</f>
        <v>209109.59999999998</v>
      </c>
      <c r="R636" s="806">
        <f>O151*(O474*$I473)*(1-O475)</f>
        <v>209109.59999999998</v>
      </c>
      <c r="S636" s="806">
        <f>P151*(P474*$I473)*(1-P475)</f>
        <v>0</v>
      </c>
      <c r="T636" s="3"/>
      <c r="U636" s="3"/>
      <c r="V636" s="3"/>
      <c r="W636" s="3"/>
      <c r="X636" s="3"/>
      <c r="Y636" s="3"/>
      <c r="Z636" s="3"/>
    </row>
    <row r="637" spans="1:26" ht="12.75" x14ac:dyDescent="0.2">
      <c r="A637" s="3"/>
      <c r="B637" s="43"/>
      <c r="C637" s="480" t="s">
        <v>930</v>
      </c>
      <c r="D637" s="43"/>
      <c r="E637" s="43"/>
      <c r="F637" s="806"/>
      <c r="G637" s="806"/>
      <c r="H637" s="806"/>
      <c r="I637" s="806"/>
      <c r="J637" s="806">
        <f>F151*(F474*$J473)*(1-F475)</f>
        <v>201811.49999999997</v>
      </c>
      <c r="K637" s="806">
        <f>G151*(G474*$J473)*(1-G475)</f>
        <v>219501.9</v>
      </c>
      <c r="L637" s="806">
        <f>H151*(H474*$J473)*(1-H475)</f>
        <v>238434.03</v>
      </c>
      <c r="M637" s="806">
        <f>I151*(I474*$J473)*(1-I475)</f>
        <v>258687.837</v>
      </c>
      <c r="N637" s="806">
        <f>J151*(J474*$J473)*(1-J475)</f>
        <v>272077.85385000001</v>
      </c>
      <c r="O637" s="806">
        <f>K151*(K474*$J473)*(1-K475)</f>
        <v>224045.99999999997</v>
      </c>
      <c r="P637" s="806">
        <f>L151*(L474*$J473)*(1-L475)</f>
        <v>224045.99999999997</v>
      </c>
      <c r="Q637" s="806">
        <f>M151*(M474*$J473)*(1-M475)</f>
        <v>224045.99999999997</v>
      </c>
      <c r="R637" s="806">
        <f>N151*(N474*$J473)*(1-N475)</f>
        <v>224045.99999999997</v>
      </c>
      <c r="S637" s="806">
        <f>O151*(O474*$J473)*(1-O475)</f>
        <v>224045.99999999997</v>
      </c>
      <c r="T637" s="3"/>
      <c r="U637" s="3"/>
      <c r="V637" s="3"/>
      <c r="W637" s="3"/>
      <c r="X637" s="3"/>
      <c r="Y637" s="3"/>
      <c r="Z637" s="3"/>
    </row>
    <row r="638" spans="1:26" ht="12.75" x14ac:dyDescent="0.2">
      <c r="A638" s="3"/>
      <c r="B638" s="43"/>
      <c r="C638" s="594" t="s">
        <v>925</v>
      </c>
      <c r="D638" s="68"/>
      <c r="E638" s="68"/>
      <c r="F638" s="82">
        <f>SUM(F633:F637)</f>
        <v>86704.2</v>
      </c>
      <c r="G638" s="82">
        <f t="shared" ref="G638:S638" si="130">SUM(G633:G637)</f>
        <v>231043.02299999999</v>
      </c>
      <c r="H638" s="82">
        <f t="shared" si="130"/>
        <v>429056.15580000001</v>
      </c>
      <c r="I638" s="82">
        <f t="shared" si="130"/>
        <v>654536.52125999995</v>
      </c>
      <c r="J638" s="82">
        <f t="shared" si="130"/>
        <v>909023.21069400012</v>
      </c>
      <c r="K638" s="82">
        <f t="shared" si="130"/>
        <v>950673.52721970004</v>
      </c>
      <c r="L638" s="82">
        <f t="shared" si="130"/>
        <v>967768.01289000001</v>
      </c>
      <c r="M638" s="82">
        <f t="shared" si="130"/>
        <v>958179.97925999993</v>
      </c>
      <c r="N638" s="82">
        <f t="shared" si="130"/>
        <v>926740.26585000008</v>
      </c>
      <c r="O638" s="82">
        <f t="shared" si="130"/>
        <v>878708.41200000001</v>
      </c>
      <c r="P638" s="82">
        <f t="shared" si="130"/>
        <v>782451.61199999996</v>
      </c>
      <c r="Q638" s="82">
        <f t="shared" si="130"/>
        <v>630648</v>
      </c>
      <c r="R638" s="82">
        <f t="shared" si="130"/>
        <v>433155.6</v>
      </c>
      <c r="S638" s="82">
        <f t="shared" si="130"/>
        <v>224045.99999999997</v>
      </c>
      <c r="T638" s="3"/>
      <c r="U638" s="3"/>
      <c r="V638" s="3"/>
      <c r="W638" s="3"/>
      <c r="X638" s="3"/>
      <c r="Y638" s="3"/>
      <c r="Z638" s="3"/>
    </row>
    <row r="639" spans="1:26" ht="12.75"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x14ac:dyDescent="0.2">
      <c r="A640" s="3"/>
      <c r="B640" s="43"/>
      <c r="C640" s="782" t="s">
        <v>922</v>
      </c>
      <c r="D640" s="43"/>
      <c r="E640" s="43"/>
      <c r="F640" s="807">
        <v>4400000</v>
      </c>
      <c r="G640" s="3"/>
      <c r="H640" s="3"/>
      <c r="I640" s="3"/>
      <c r="J640" s="3"/>
      <c r="K640" s="3"/>
      <c r="L640" s="3"/>
      <c r="M640" s="3"/>
      <c r="N640" s="3"/>
      <c r="O640" s="3"/>
      <c r="P640" s="3"/>
      <c r="Q640" s="3"/>
      <c r="R640" s="3"/>
      <c r="S640" s="3"/>
      <c r="T640" s="3"/>
      <c r="U640" s="3"/>
      <c r="V640" s="3"/>
      <c r="W640" s="3"/>
      <c r="X640" s="3"/>
      <c r="Y640" s="3"/>
      <c r="Z640" s="3"/>
    </row>
    <row r="641" spans="1:26" ht="12.75" x14ac:dyDescent="0.2">
      <c r="A641" s="3"/>
      <c r="B641" s="3"/>
      <c r="C641" s="3"/>
      <c r="D641" s="3"/>
      <c r="E641" s="3"/>
      <c r="F641" s="3"/>
      <c r="G641" s="3"/>
      <c r="H641" s="3"/>
      <c r="I641" s="3"/>
      <c r="J641" s="3"/>
      <c r="K641" s="3"/>
      <c r="L641" s="3"/>
      <c r="M641" s="3"/>
      <c r="N641" s="3"/>
      <c r="O641" s="3"/>
      <c r="P641" s="28"/>
      <c r="Q641" s="3"/>
      <c r="R641" s="3"/>
      <c r="S641" s="3"/>
      <c r="T641" s="3"/>
      <c r="U641" s="3"/>
      <c r="V641" s="3"/>
      <c r="W641" s="3"/>
      <c r="X641" s="3"/>
      <c r="Y641" s="3"/>
      <c r="Z641" s="3"/>
    </row>
    <row r="642" spans="1:26" ht="12.75" x14ac:dyDescent="0.2">
      <c r="A642" s="3"/>
      <c r="B642" s="783" t="s">
        <v>923</v>
      </c>
      <c r="C642" s="783"/>
      <c r="D642" s="43"/>
      <c r="E642" s="43"/>
      <c r="F642" s="784"/>
      <c r="G642" s="43"/>
      <c r="H642" s="43"/>
      <c r="I642" s="43"/>
      <c r="J642" s="43"/>
      <c r="K642" s="43"/>
      <c r="L642" s="43"/>
      <c r="M642" s="43"/>
      <c r="N642" s="43"/>
      <c r="O642" s="43"/>
      <c r="P642" s="43"/>
      <c r="Q642" s="43"/>
      <c r="R642" s="43"/>
      <c r="S642" s="43"/>
      <c r="T642" s="3"/>
      <c r="U642" s="3"/>
      <c r="V642" s="3"/>
      <c r="W642" s="3"/>
      <c r="X642" s="3"/>
      <c r="Y642" s="3"/>
      <c r="Z642" s="3"/>
    </row>
    <row r="643" spans="1:26" ht="12.75" x14ac:dyDescent="0.2">
      <c r="A643" s="3"/>
      <c r="B643" s="43"/>
      <c r="C643" s="43"/>
      <c r="D643" s="43"/>
      <c r="E643" s="782" t="s">
        <v>921</v>
      </c>
      <c r="F643" s="80">
        <f>(F638+$F$640)/$F$640-1</f>
        <v>1.9705499999999931E-2</v>
      </c>
      <c r="G643" s="80">
        <f t="shared" ref="G643:S643" si="131">(G638+$F$640)/$F$640-1</f>
        <v>5.2509777954545367E-2</v>
      </c>
      <c r="H643" s="80">
        <f t="shared" si="131"/>
        <v>9.7512762681818188E-2</v>
      </c>
      <c r="I643" s="80">
        <f t="shared" si="131"/>
        <v>0.1487583002863635</v>
      </c>
      <c r="J643" s="80">
        <f t="shared" si="131"/>
        <v>0.20659618424863635</v>
      </c>
      <c r="K643" s="80">
        <f t="shared" si="131"/>
        <v>0.21606216527720457</v>
      </c>
      <c r="L643" s="80">
        <f t="shared" si="131"/>
        <v>0.21994727565681815</v>
      </c>
      <c r="M643" s="80">
        <f t="shared" si="131"/>
        <v>0.21776817710454544</v>
      </c>
      <c r="N643" s="80">
        <f t="shared" si="131"/>
        <v>0.21062278769318188</v>
      </c>
      <c r="O643" s="80">
        <f t="shared" si="131"/>
        <v>0.1997064572727274</v>
      </c>
      <c r="P643" s="80">
        <f t="shared" si="131"/>
        <v>0.17782991181818186</v>
      </c>
      <c r="Q643" s="80">
        <f t="shared" si="131"/>
        <v>0.14332909090909096</v>
      </c>
      <c r="R643" s="80">
        <f t="shared" si="131"/>
        <v>9.8444454545454363E-2</v>
      </c>
      <c r="S643" s="80">
        <f t="shared" si="131"/>
        <v>5.0919545454545467E-2</v>
      </c>
      <c r="T643" s="3"/>
      <c r="U643" s="3"/>
      <c r="V643" s="3"/>
      <c r="W643" s="3"/>
      <c r="X643" s="3"/>
      <c r="Y643" s="3"/>
      <c r="Z643" s="3"/>
    </row>
    <row r="644" spans="1:26" ht="12.75"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75"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75"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75"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75"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75"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75"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75"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75"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75"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75"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75"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75"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2.75"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2.75"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row r="1003" spans="1:26" ht="12.75" x14ac:dyDescent="0.2">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row>
    <row r="1004" spans="1:26" ht="12.75" x14ac:dyDescent="0.2">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row>
    <row r="1005" spans="1:26" ht="12.75" x14ac:dyDescent="0.2">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row>
    <row r="1006" spans="1:26" ht="12.75" x14ac:dyDescent="0.2">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row>
    <row r="1007" spans="1:26" ht="12.75" x14ac:dyDescent="0.2">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row>
    <row r="1008" spans="1:26" ht="12.75" x14ac:dyDescent="0.2">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row>
    <row r="1009" spans="1:26" ht="12.75" x14ac:dyDescent="0.2">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c r="Z1009" s="3"/>
    </row>
    <row r="1010" spans="1:26" ht="12.75" x14ac:dyDescent="0.2">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row>
    <row r="1011" spans="1:26" ht="12.75" x14ac:dyDescent="0.2">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c r="Z1011" s="3"/>
    </row>
    <row r="1012" spans="1:26" ht="12.75" x14ac:dyDescent="0.2">
      <c r="A1012" s="3"/>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row>
    <row r="1013" spans="1:26" ht="12.75" x14ac:dyDescent="0.2">
      <c r="A1013" s="3"/>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row>
    <row r="1014" spans="1:26" ht="12.75" x14ac:dyDescent="0.2">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c r="Z1014" s="3"/>
    </row>
    <row r="1015" spans="1:26" ht="12.75" x14ac:dyDescent="0.2">
      <c r="A1015" s="3"/>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row>
    <row r="1016" spans="1:26" ht="12.75" x14ac:dyDescent="0.2">
      <c r="A1016" s="3"/>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row>
    <row r="1017" spans="1:26" ht="12.75" x14ac:dyDescent="0.2">
      <c r="A1017" s="3"/>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c r="Z1017" s="3"/>
    </row>
    <row r="1018" spans="1:26" ht="12.75" x14ac:dyDescent="0.2">
      <c r="A1018" s="3"/>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c r="Z1018" s="3"/>
    </row>
    <row r="1019" spans="1:26" ht="12.75" x14ac:dyDescent="0.2">
      <c r="A1019" s="3"/>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c r="Z1019" s="3"/>
    </row>
    <row r="1020" spans="1:26" ht="12.75" x14ac:dyDescent="0.2">
      <c r="A1020" s="3"/>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row>
    <row r="1021" spans="1:26" ht="12.75" x14ac:dyDescent="0.2">
      <c r="A1021" s="3"/>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c r="Z1021" s="3"/>
    </row>
    <row r="1022" spans="1:26" ht="12.75" x14ac:dyDescent="0.2">
      <c r="A1022" s="3"/>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c r="Z1022" s="3"/>
    </row>
    <row r="1023" spans="1:26" ht="12.75" x14ac:dyDescent="0.2">
      <c r="A1023" s="3"/>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c r="Z1023" s="3"/>
    </row>
    <row r="1024" spans="1:26" ht="12.75" x14ac:dyDescent="0.2">
      <c r="A1024" s="3"/>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c r="Z1024" s="3"/>
    </row>
    <row r="1025" spans="1:26" ht="12.75" x14ac:dyDescent="0.2">
      <c r="A1025" s="3"/>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c r="Z1025" s="3"/>
    </row>
    <row r="1026" spans="1:26" ht="12.75" x14ac:dyDescent="0.2">
      <c r="A1026" s="3"/>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c r="Z1026" s="3"/>
    </row>
    <row r="1027" spans="1:26" ht="12.75" x14ac:dyDescent="0.2">
      <c r="A1027" s="3"/>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c r="Z1027" s="3"/>
    </row>
    <row r="1028" spans="1:26" ht="12.75" x14ac:dyDescent="0.2">
      <c r="A1028" s="3"/>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c r="Z1028" s="3"/>
    </row>
    <row r="1029" spans="1:26" ht="12.75" x14ac:dyDescent="0.2">
      <c r="A1029" s="3"/>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c r="Z1029" s="3"/>
    </row>
    <row r="1030" spans="1:26" ht="12.75" x14ac:dyDescent="0.2">
      <c r="A1030" s="3"/>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c r="Z1030" s="3"/>
    </row>
    <row r="1031" spans="1:26" ht="12.75" x14ac:dyDescent="0.2">
      <c r="A1031" s="3"/>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c r="Z1031" s="3"/>
    </row>
    <row r="1032" spans="1:26" ht="12.75" x14ac:dyDescent="0.2">
      <c r="A1032" s="3"/>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c r="Z1032" s="3"/>
    </row>
    <row r="1033" spans="1:26" ht="12.75" x14ac:dyDescent="0.2">
      <c r="A1033" s="3"/>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c r="Z1033" s="3"/>
    </row>
    <row r="1034" spans="1:26" ht="12.75" x14ac:dyDescent="0.2">
      <c r="A1034" s="3"/>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c r="Z1034" s="3"/>
    </row>
    <row r="1035" spans="1:26" ht="12.75" x14ac:dyDescent="0.2">
      <c r="A1035" s="3"/>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c r="Z1035" s="3"/>
    </row>
    <row r="1036" spans="1:26" ht="12.75" x14ac:dyDescent="0.2">
      <c r="A1036" s="3"/>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c r="Z1036" s="3"/>
    </row>
    <row r="1037" spans="1:26" ht="12.75" x14ac:dyDescent="0.2">
      <c r="A1037" s="3"/>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c r="Z1037" s="3"/>
    </row>
    <row r="1038" spans="1:26" ht="12.75" x14ac:dyDescent="0.2">
      <c r="A1038" s="3"/>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c r="Z1038" s="3"/>
    </row>
    <row r="1039" spans="1:26" ht="12.75" x14ac:dyDescent="0.2">
      <c r="A1039" s="3"/>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c r="Z1039" s="3"/>
    </row>
    <row r="1040" spans="1:26" ht="12.75" x14ac:dyDescent="0.2">
      <c r="A1040" s="3"/>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c r="Z1040" s="3"/>
    </row>
    <row r="1041" spans="1:26" ht="12.75" x14ac:dyDescent="0.2">
      <c r="A1041" s="3"/>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c r="Z1041" s="3"/>
    </row>
    <row r="1042" spans="1:26" ht="12.75" x14ac:dyDescent="0.2">
      <c r="A1042" s="3"/>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c r="Z1042" s="3"/>
    </row>
    <row r="1043" spans="1:26" ht="12.75" x14ac:dyDescent="0.2">
      <c r="A1043" s="3"/>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c r="Z1043" s="3"/>
    </row>
    <row r="1044" spans="1:26" ht="12.75" x14ac:dyDescent="0.2">
      <c r="A1044" s="3"/>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c r="Z1044" s="3"/>
    </row>
    <row r="1045" spans="1:26" ht="12.75" x14ac:dyDescent="0.2">
      <c r="A1045" s="3"/>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c r="Z1045" s="3"/>
    </row>
    <row r="1046" spans="1:26" ht="12.75" x14ac:dyDescent="0.2">
      <c r="A1046" s="3"/>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c r="Z1046" s="3"/>
    </row>
    <row r="1047" spans="1:26" ht="12.75" x14ac:dyDescent="0.2">
      <c r="A1047" s="3"/>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c r="Z1047" s="3"/>
    </row>
    <row r="1048" spans="1:26" ht="12.75" x14ac:dyDescent="0.2">
      <c r="A1048" s="3"/>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c r="Z1048" s="3"/>
    </row>
    <row r="1049" spans="1:26" ht="12.75" x14ac:dyDescent="0.2">
      <c r="A1049" s="3"/>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c r="Z1049" s="3"/>
    </row>
    <row r="1050" spans="1:26" ht="12.75" x14ac:dyDescent="0.2">
      <c r="A1050" s="3"/>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c r="Z1050" s="3"/>
    </row>
    <row r="1051" spans="1:26" ht="12.75" x14ac:dyDescent="0.2">
      <c r="A1051" s="3"/>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c r="Z1051" s="3"/>
    </row>
    <row r="1052" spans="1:26" ht="12.75" x14ac:dyDescent="0.2">
      <c r="A1052" s="3"/>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c r="Z1052" s="3"/>
    </row>
    <row r="1053" spans="1:26" ht="12.75" x14ac:dyDescent="0.2">
      <c r="A1053" s="3"/>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c r="Z1053" s="3"/>
    </row>
    <row r="1054" spans="1:26" ht="12.75" x14ac:dyDescent="0.2">
      <c r="A1054" s="3"/>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c r="Z1054" s="3"/>
    </row>
    <row r="1055" spans="1:26" ht="12.75" x14ac:dyDescent="0.2">
      <c r="A1055" s="3"/>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c r="Z1055" s="3"/>
    </row>
    <row r="1056" spans="1:26" ht="12.75" x14ac:dyDescent="0.2">
      <c r="A1056" s="3"/>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c r="Z1056" s="3"/>
    </row>
    <row r="1057" spans="1:26" ht="12.75" x14ac:dyDescent="0.2">
      <c r="A1057" s="3"/>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c r="Z1057" s="3"/>
    </row>
    <row r="1058" spans="1:26" ht="12.75" x14ac:dyDescent="0.2">
      <c r="A1058" s="3"/>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c r="Z1058" s="3"/>
    </row>
    <row r="1059" spans="1:26" ht="12.75" x14ac:dyDescent="0.2">
      <c r="A1059" s="3"/>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c r="Z1059" s="3"/>
    </row>
    <row r="1060" spans="1:26" ht="12.75" x14ac:dyDescent="0.2">
      <c r="A1060" s="3"/>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c r="Z1060" s="3"/>
    </row>
    <row r="1061" spans="1:26" ht="12.75" x14ac:dyDescent="0.2">
      <c r="A1061" s="3"/>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c r="Z1061" s="3"/>
    </row>
    <row r="1062" spans="1:26" ht="12.75" x14ac:dyDescent="0.2">
      <c r="A1062" s="3"/>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c r="Z1062" s="3"/>
    </row>
    <row r="1063" spans="1:26" ht="12.75" x14ac:dyDescent="0.2">
      <c r="A1063" s="3"/>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c r="Z1063" s="3"/>
    </row>
    <row r="1064" spans="1:26" ht="12.75" x14ac:dyDescent="0.2">
      <c r="A1064" s="3"/>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c r="Z1064" s="3"/>
    </row>
    <row r="1065" spans="1:26" ht="12.75" x14ac:dyDescent="0.2">
      <c r="A1065" s="3"/>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c r="Z1065" s="3"/>
    </row>
    <row r="1066" spans="1:26" ht="12.75" x14ac:dyDescent="0.2">
      <c r="A1066" s="3"/>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c r="Z1066" s="3"/>
    </row>
    <row r="1067" spans="1:26" ht="12.75" x14ac:dyDescent="0.2">
      <c r="A1067" s="3"/>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c r="Z1067" s="3"/>
    </row>
    <row r="1068" spans="1:26" ht="12.75" x14ac:dyDescent="0.2">
      <c r="A1068" s="3"/>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c r="Z1068" s="3"/>
    </row>
    <row r="1069" spans="1:26" ht="12.75" x14ac:dyDescent="0.2">
      <c r="A1069" s="3"/>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c r="Z1069" s="3"/>
    </row>
    <row r="1070" spans="1:26" ht="12.75" x14ac:dyDescent="0.2">
      <c r="A1070" s="3"/>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c r="Z1070" s="3"/>
    </row>
    <row r="1071" spans="1:26" ht="12.75" x14ac:dyDescent="0.2">
      <c r="A1071" s="3"/>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c r="Z1071" s="3"/>
    </row>
    <row r="1072" spans="1:26" ht="12.75" x14ac:dyDescent="0.2">
      <c r="A1072" s="3"/>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c r="Z1072" s="3"/>
    </row>
    <row r="1073" spans="1:26" ht="12.75" x14ac:dyDescent="0.2">
      <c r="A1073" s="3"/>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c r="Z1073" s="3"/>
    </row>
    <row r="1074" spans="1:26" ht="12.75" x14ac:dyDescent="0.2">
      <c r="A1074" s="3"/>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c r="Z1074" s="3"/>
    </row>
    <row r="1075" spans="1:26" ht="12.75" x14ac:dyDescent="0.2">
      <c r="A1075" s="3"/>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c r="Z1075" s="3"/>
    </row>
    <row r="1076" spans="1:26" ht="12.75" x14ac:dyDescent="0.2">
      <c r="A1076" s="3"/>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c r="Z1076" s="3"/>
    </row>
    <row r="1077" spans="1:26" ht="12.75" x14ac:dyDescent="0.2">
      <c r="A1077" s="3"/>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c r="Z1077" s="3"/>
    </row>
    <row r="1078" spans="1:26" ht="12.75" x14ac:dyDescent="0.2">
      <c r="A1078" s="3"/>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c r="Z1078" s="3"/>
    </row>
    <row r="1079" spans="1:26" ht="12.75" x14ac:dyDescent="0.2">
      <c r="A1079" s="3"/>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c r="Z1079" s="3"/>
    </row>
    <row r="1080" spans="1:26" ht="12.75" x14ac:dyDescent="0.2">
      <c r="A1080" s="3"/>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c r="Z1080" s="3"/>
    </row>
    <row r="1081" spans="1:26" ht="12.75" x14ac:dyDescent="0.2">
      <c r="A1081" s="3"/>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c r="Z1081" s="3"/>
    </row>
    <row r="1082" spans="1:26" ht="12.75" x14ac:dyDescent="0.2">
      <c r="A1082" s="3"/>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c r="Z1082" s="3"/>
    </row>
    <row r="1083" spans="1:26" ht="12.75" x14ac:dyDescent="0.2">
      <c r="A1083" s="3"/>
      <c r="B1083" s="3"/>
      <c r="C1083" s="3"/>
      <c r="D1083" s="3"/>
      <c r="E1083" s="3"/>
      <c r="F1083" s="3"/>
      <c r="G1083" s="3"/>
      <c r="H1083" s="3"/>
      <c r="I1083" s="3"/>
      <c r="J1083" s="3"/>
      <c r="K1083" s="3"/>
      <c r="L1083" s="3"/>
      <c r="M1083" s="3"/>
      <c r="N1083" s="3"/>
      <c r="O1083" s="3"/>
      <c r="P1083" s="3"/>
      <c r="Q1083" s="3"/>
      <c r="R1083" s="3"/>
      <c r="S1083" s="3"/>
      <c r="T1083" s="3"/>
      <c r="U1083" s="3"/>
      <c r="V1083" s="3"/>
      <c r="W1083" s="3"/>
      <c r="X1083" s="3"/>
      <c r="Y1083" s="3"/>
      <c r="Z1083" s="3"/>
    </row>
    <row r="1084" spans="1:26" ht="12.75" x14ac:dyDescent="0.2">
      <c r="A1084" s="3"/>
      <c r="B1084" s="3"/>
      <c r="C1084" s="3"/>
      <c r="D1084" s="3"/>
      <c r="E1084" s="3"/>
      <c r="F1084" s="3"/>
      <c r="G1084" s="3"/>
      <c r="H1084" s="3"/>
      <c r="I1084" s="3"/>
      <c r="J1084" s="3"/>
      <c r="K1084" s="3"/>
      <c r="L1084" s="3"/>
      <c r="M1084" s="3"/>
      <c r="N1084" s="3"/>
      <c r="O1084" s="3"/>
      <c r="P1084" s="3"/>
      <c r="Q1084" s="3"/>
      <c r="R1084" s="3"/>
      <c r="S1084" s="3"/>
      <c r="T1084" s="3"/>
      <c r="U1084" s="3"/>
      <c r="V1084" s="3"/>
      <c r="W1084" s="3"/>
      <c r="X1084" s="3"/>
      <c r="Y1084" s="3"/>
      <c r="Z1084" s="3"/>
    </row>
    <row r="1085" spans="1:26" ht="12.75" x14ac:dyDescent="0.2">
      <c r="A1085" s="3"/>
      <c r="B1085" s="3"/>
      <c r="C1085" s="3"/>
      <c r="D1085" s="3"/>
      <c r="E1085" s="3"/>
      <c r="F1085" s="3"/>
      <c r="G1085" s="3"/>
      <c r="H1085" s="3"/>
      <c r="I1085" s="3"/>
      <c r="J1085" s="3"/>
      <c r="K1085" s="3"/>
      <c r="L1085" s="3"/>
      <c r="M1085" s="3"/>
      <c r="N1085" s="3"/>
      <c r="O1085" s="3"/>
      <c r="P1085" s="3"/>
      <c r="Q1085" s="3"/>
      <c r="R1085" s="3"/>
      <c r="S1085" s="3"/>
      <c r="T1085" s="3"/>
      <c r="U1085" s="3"/>
      <c r="V1085" s="3"/>
      <c r="W1085" s="3"/>
      <c r="X1085" s="3"/>
      <c r="Y1085" s="3"/>
      <c r="Z1085" s="3"/>
    </row>
    <row r="1086" spans="1:26" ht="12.75" x14ac:dyDescent="0.2">
      <c r="A1086" s="3"/>
      <c r="B1086" s="3"/>
      <c r="C1086" s="3"/>
      <c r="D1086" s="3"/>
      <c r="E1086" s="3"/>
      <c r="F1086" s="3"/>
      <c r="G1086" s="3"/>
      <c r="H1086" s="3"/>
      <c r="I1086" s="3"/>
      <c r="J1086" s="3"/>
      <c r="K1086" s="3"/>
      <c r="L1086" s="3"/>
      <c r="M1086" s="3"/>
      <c r="N1086" s="3"/>
      <c r="O1086" s="3"/>
      <c r="P1086" s="3"/>
      <c r="Q1086" s="3"/>
      <c r="R1086" s="3"/>
      <c r="S1086" s="3"/>
      <c r="T1086" s="3"/>
      <c r="U1086" s="3"/>
      <c r="V1086" s="3"/>
      <c r="W1086" s="3"/>
      <c r="X1086" s="3"/>
      <c r="Y1086" s="3"/>
      <c r="Z1086" s="3"/>
    </row>
    <row r="1087" spans="1:26" ht="12.75" x14ac:dyDescent="0.2">
      <c r="A1087" s="3"/>
      <c r="B1087" s="3"/>
      <c r="C1087" s="3"/>
      <c r="D1087" s="3"/>
      <c r="E1087" s="3"/>
      <c r="F1087" s="3"/>
      <c r="G1087" s="3"/>
      <c r="H1087" s="3"/>
      <c r="I1087" s="3"/>
      <c r="J1087" s="3"/>
      <c r="K1087" s="3"/>
      <c r="L1087" s="3"/>
      <c r="M1087" s="3"/>
      <c r="N1087" s="3"/>
      <c r="O1087" s="3"/>
      <c r="P1087" s="3"/>
      <c r="Q1087" s="3"/>
      <c r="R1087" s="3"/>
      <c r="S1087" s="3"/>
      <c r="T1087" s="3"/>
      <c r="U1087" s="3"/>
      <c r="V1087" s="3"/>
      <c r="W1087" s="3"/>
      <c r="X1087" s="3"/>
      <c r="Y1087" s="3"/>
      <c r="Z1087" s="3"/>
    </row>
    <row r="1088" spans="1:26" ht="12.75" x14ac:dyDescent="0.2">
      <c r="A1088" s="3"/>
      <c r="B1088" s="3"/>
      <c r="C1088" s="3"/>
      <c r="D1088" s="3"/>
      <c r="E1088" s="3"/>
      <c r="F1088" s="3"/>
      <c r="G1088" s="3"/>
      <c r="H1088" s="3"/>
      <c r="I1088" s="3"/>
      <c r="J1088" s="3"/>
      <c r="K1088" s="3"/>
      <c r="L1088" s="3"/>
      <c r="M1088" s="3"/>
      <c r="N1088" s="3"/>
      <c r="O1088" s="3"/>
      <c r="P1088" s="3"/>
      <c r="Q1088" s="3"/>
      <c r="R1088" s="3"/>
      <c r="S1088" s="3"/>
      <c r="T1088" s="3"/>
      <c r="U1088" s="3"/>
      <c r="V1088" s="3"/>
      <c r="W1088" s="3"/>
      <c r="X1088" s="3"/>
      <c r="Y1088" s="3"/>
      <c r="Z1088" s="3"/>
    </row>
    <row r="1089" spans="1:26" ht="12.75" x14ac:dyDescent="0.2">
      <c r="A1089" s="3"/>
      <c r="B1089" s="3"/>
      <c r="C1089" s="3"/>
      <c r="D1089" s="3"/>
      <c r="E1089" s="3"/>
      <c r="F1089" s="3"/>
      <c r="G1089" s="3"/>
      <c r="H1089" s="3"/>
      <c r="I1089" s="3"/>
      <c r="J1089" s="3"/>
      <c r="K1089" s="3"/>
      <c r="L1089" s="3"/>
      <c r="M1089" s="3"/>
      <c r="N1089" s="3"/>
      <c r="O1089" s="3"/>
      <c r="P1089" s="3"/>
      <c r="Q1089" s="3"/>
      <c r="R1089" s="3"/>
      <c r="S1089" s="3"/>
      <c r="T1089" s="3"/>
      <c r="U1089" s="3"/>
      <c r="V1089" s="3"/>
      <c r="W1089" s="3"/>
      <c r="X1089" s="3"/>
      <c r="Y1089" s="3"/>
      <c r="Z1089" s="3"/>
    </row>
    <row r="1090" spans="1:26" ht="12.75" x14ac:dyDescent="0.2">
      <c r="A1090" s="3"/>
      <c r="B1090" s="3"/>
      <c r="C1090" s="3"/>
      <c r="D1090" s="3"/>
      <c r="E1090" s="3"/>
      <c r="F1090" s="3"/>
      <c r="G1090" s="3"/>
      <c r="H1090" s="3"/>
      <c r="I1090" s="3"/>
      <c r="J1090" s="3"/>
      <c r="K1090" s="3"/>
      <c r="L1090" s="3"/>
      <c r="M1090" s="3"/>
      <c r="N1090" s="3"/>
      <c r="O1090" s="3"/>
      <c r="P1090" s="3"/>
      <c r="Q1090" s="3"/>
      <c r="R1090" s="3"/>
      <c r="S1090" s="3"/>
      <c r="T1090" s="3"/>
      <c r="U1090" s="3"/>
      <c r="V1090" s="3"/>
      <c r="W1090" s="3"/>
      <c r="X1090" s="3"/>
      <c r="Y1090" s="3"/>
      <c r="Z1090" s="3"/>
    </row>
    <row r="1091" spans="1:26" ht="12.75" x14ac:dyDescent="0.2">
      <c r="A1091" s="3"/>
      <c r="B1091" s="3"/>
      <c r="C1091" s="3"/>
      <c r="D1091" s="3"/>
      <c r="E1091" s="3"/>
      <c r="F1091" s="3"/>
      <c r="G1091" s="3"/>
      <c r="H1091" s="3"/>
      <c r="I1091" s="3"/>
      <c r="J1091" s="3"/>
      <c r="K1091" s="3"/>
      <c r="L1091" s="3"/>
      <c r="M1091" s="3"/>
      <c r="N1091" s="3"/>
      <c r="O1091" s="3"/>
      <c r="P1091" s="3"/>
      <c r="Q1091" s="3"/>
      <c r="R1091" s="3"/>
      <c r="S1091" s="3"/>
      <c r="T1091" s="3"/>
      <c r="U1091" s="3"/>
      <c r="V1091" s="3"/>
      <c r="W1091" s="3"/>
      <c r="X1091" s="3"/>
      <c r="Y1091" s="3"/>
      <c r="Z1091" s="3"/>
    </row>
    <row r="1092" spans="1:26" ht="12.75" x14ac:dyDescent="0.2">
      <c r="A1092" s="3"/>
      <c r="B1092" s="3"/>
      <c r="C1092" s="3"/>
      <c r="D1092" s="3"/>
      <c r="E1092" s="3"/>
      <c r="F1092" s="3"/>
      <c r="G1092" s="3"/>
      <c r="H1092" s="3"/>
      <c r="I1092" s="3"/>
      <c r="J1092" s="3"/>
      <c r="K1092" s="3"/>
      <c r="L1092" s="3"/>
      <c r="M1092" s="3"/>
      <c r="N1092" s="3"/>
      <c r="O1092" s="3"/>
      <c r="P1092" s="3"/>
      <c r="Q1092" s="3"/>
      <c r="R1092" s="3"/>
      <c r="S1092" s="3"/>
      <c r="T1092" s="3"/>
      <c r="U1092" s="3"/>
      <c r="V1092" s="3"/>
      <c r="W1092" s="3"/>
      <c r="X1092" s="3"/>
      <c r="Y1092" s="3"/>
      <c r="Z1092" s="3"/>
    </row>
    <row r="1093" spans="1:26" ht="12.75" x14ac:dyDescent="0.2">
      <c r="A1093" s="3"/>
      <c r="B1093" s="3"/>
      <c r="C1093" s="3"/>
      <c r="D1093" s="3"/>
      <c r="E1093" s="3"/>
      <c r="F1093" s="3"/>
      <c r="G1093" s="3"/>
      <c r="H1093" s="3"/>
      <c r="I1093" s="3"/>
      <c r="J1093" s="3"/>
      <c r="K1093" s="3"/>
      <c r="L1093" s="3"/>
      <c r="M1093" s="3"/>
      <c r="N1093" s="3"/>
      <c r="O1093" s="3"/>
      <c r="P1093" s="3"/>
      <c r="Q1093" s="3"/>
      <c r="R1093" s="3"/>
      <c r="S1093" s="3"/>
      <c r="T1093" s="3"/>
      <c r="U1093" s="3"/>
      <c r="V1093" s="3"/>
      <c r="W1093" s="3"/>
      <c r="X1093" s="3"/>
      <c r="Y1093" s="3"/>
      <c r="Z1093" s="3"/>
    </row>
    <row r="1094" spans="1:26" ht="12.75" x14ac:dyDescent="0.2">
      <c r="A1094" s="3"/>
      <c r="B1094" s="3"/>
      <c r="C1094" s="3"/>
      <c r="D1094" s="3"/>
      <c r="E1094" s="3"/>
      <c r="F1094" s="3"/>
      <c r="G1094" s="3"/>
      <c r="H1094" s="3"/>
      <c r="I1094" s="3"/>
      <c r="J1094" s="3"/>
      <c r="K1094" s="3"/>
      <c r="L1094" s="3"/>
      <c r="M1094" s="3"/>
      <c r="N1094" s="3"/>
      <c r="O1094" s="3"/>
      <c r="P1094" s="3"/>
      <c r="Q1094" s="3"/>
      <c r="R1094" s="3"/>
      <c r="S1094" s="3"/>
      <c r="T1094" s="3"/>
      <c r="U1094" s="3"/>
      <c r="V1094" s="3"/>
      <c r="W1094" s="3"/>
      <c r="X1094" s="3"/>
      <c r="Y1094" s="3"/>
      <c r="Z1094" s="3"/>
    </row>
    <row r="1095" spans="1:26" ht="12.75" x14ac:dyDescent="0.2">
      <c r="A1095" s="3"/>
      <c r="B1095" s="3"/>
      <c r="C1095" s="3"/>
      <c r="D1095" s="3"/>
      <c r="E1095" s="3"/>
      <c r="F1095" s="3"/>
      <c r="G1095" s="3"/>
      <c r="H1095" s="3"/>
      <c r="I1095" s="3"/>
      <c r="J1095" s="3"/>
      <c r="K1095" s="3"/>
      <c r="L1095" s="3"/>
      <c r="M1095" s="3"/>
      <c r="N1095" s="3"/>
      <c r="O1095" s="3"/>
      <c r="P1095" s="3"/>
      <c r="Q1095" s="3"/>
      <c r="R1095" s="3"/>
      <c r="S1095" s="3"/>
      <c r="T1095" s="3"/>
      <c r="U1095" s="3"/>
      <c r="V1095" s="3"/>
      <c r="W1095" s="3"/>
      <c r="X1095" s="3"/>
      <c r="Y1095" s="3"/>
      <c r="Z1095" s="3"/>
    </row>
    <row r="1096" spans="1:26" ht="12.75" x14ac:dyDescent="0.2">
      <c r="A1096" s="3"/>
      <c r="B1096" s="3"/>
      <c r="C1096" s="3"/>
      <c r="D1096" s="3"/>
      <c r="E1096" s="3"/>
      <c r="F1096" s="3"/>
      <c r="G1096" s="3"/>
      <c r="H1096" s="3"/>
      <c r="I1096" s="3"/>
      <c r="J1096" s="3"/>
      <c r="K1096" s="3"/>
      <c r="L1096" s="3"/>
      <c r="M1096" s="3"/>
      <c r="N1096" s="3"/>
      <c r="O1096" s="3"/>
      <c r="P1096" s="3"/>
      <c r="Q1096" s="3"/>
      <c r="R1096" s="3"/>
      <c r="S1096" s="3"/>
      <c r="T1096" s="3"/>
      <c r="U1096" s="3"/>
      <c r="V1096" s="3"/>
      <c r="W1096" s="3"/>
      <c r="X1096" s="3"/>
      <c r="Y1096" s="3"/>
      <c r="Z1096" s="3"/>
    </row>
    <row r="1097" spans="1:26" ht="12.75" x14ac:dyDescent="0.2">
      <c r="A1097" s="3"/>
      <c r="B1097" s="3"/>
      <c r="C1097" s="3"/>
      <c r="D1097" s="3"/>
      <c r="E1097" s="3"/>
      <c r="F1097" s="3"/>
      <c r="G1097" s="3"/>
      <c r="H1097" s="3"/>
      <c r="I1097" s="3"/>
      <c r="J1097" s="3"/>
      <c r="K1097" s="3"/>
      <c r="L1097" s="3"/>
      <c r="M1097" s="3"/>
      <c r="N1097" s="3"/>
      <c r="O1097" s="3"/>
      <c r="P1097" s="3"/>
      <c r="Q1097" s="3"/>
      <c r="R1097" s="3"/>
      <c r="S1097" s="3"/>
      <c r="T1097" s="3"/>
      <c r="U1097" s="3"/>
      <c r="V1097" s="3"/>
      <c r="W1097" s="3"/>
      <c r="X1097" s="3"/>
      <c r="Y1097" s="3"/>
      <c r="Z1097" s="3"/>
    </row>
    <row r="1098" spans="1:26" ht="12.75" x14ac:dyDescent="0.2">
      <c r="A1098" s="3"/>
      <c r="B1098" s="3"/>
      <c r="C1098" s="3"/>
      <c r="D1098" s="3"/>
      <c r="E1098" s="3"/>
      <c r="F1098" s="3"/>
      <c r="G1098" s="3"/>
      <c r="H1098" s="3"/>
      <c r="I1098" s="3"/>
      <c r="J1098" s="3"/>
      <c r="K1098" s="3"/>
      <c r="L1098" s="3"/>
      <c r="M1098" s="3"/>
      <c r="N1098" s="3"/>
      <c r="O1098" s="3"/>
      <c r="P1098" s="3"/>
      <c r="Q1098" s="3"/>
      <c r="R1098" s="3"/>
      <c r="S1098" s="3"/>
      <c r="T1098" s="3"/>
      <c r="U1098" s="3"/>
      <c r="V1098" s="3"/>
      <c r="W1098" s="3"/>
      <c r="X1098" s="3"/>
      <c r="Y1098" s="3"/>
      <c r="Z1098" s="3"/>
    </row>
    <row r="1099" spans="1:26" ht="12.75" x14ac:dyDescent="0.2">
      <c r="A1099" s="3"/>
      <c r="B1099" s="3"/>
      <c r="C1099" s="3"/>
      <c r="D1099" s="3"/>
      <c r="E1099" s="3"/>
      <c r="F1099" s="3"/>
      <c r="G1099" s="3"/>
      <c r="H1099" s="3"/>
      <c r="I1099" s="3"/>
      <c r="J1099" s="3"/>
      <c r="K1099" s="3"/>
      <c r="L1099" s="3"/>
      <c r="M1099" s="3"/>
      <c r="N1099" s="3"/>
      <c r="O1099" s="3"/>
      <c r="P1099" s="3"/>
      <c r="Q1099" s="3"/>
      <c r="R1099" s="3"/>
      <c r="S1099" s="3"/>
      <c r="T1099" s="3"/>
      <c r="U1099" s="3"/>
      <c r="V1099" s="3"/>
      <c r="W1099" s="3"/>
      <c r="X1099" s="3"/>
      <c r="Y1099" s="3"/>
      <c r="Z1099" s="3"/>
    </row>
    <row r="1100" spans="1:26" ht="12.75" x14ac:dyDescent="0.2">
      <c r="A1100" s="3"/>
      <c r="B1100" s="3"/>
      <c r="C1100" s="3"/>
      <c r="D1100" s="3"/>
      <c r="E1100" s="3"/>
      <c r="F1100" s="3"/>
      <c r="G1100" s="3"/>
      <c r="H1100" s="3"/>
      <c r="I1100" s="3"/>
      <c r="J1100" s="3"/>
      <c r="K1100" s="3"/>
      <c r="L1100" s="3"/>
      <c r="M1100" s="3"/>
      <c r="N1100" s="3"/>
      <c r="O1100" s="3"/>
      <c r="P1100" s="3"/>
      <c r="Q1100" s="3"/>
      <c r="R1100" s="3"/>
      <c r="S1100" s="3"/>
      <c r="T1100" s="3"/>
      <c r="U1100" s="3"/>
      <c r="V1100" s="3"/>
      <c r="W1100" s="3"/>
      <c r="X1100" s="3"/>
      <c r="Y1100" s="3"/>
      <c r="Z1100" s="3"/>
    </row>
    <row r="1101" spans="1:26" ht="12.75" x14ac:dyDescent="0.2">
      <c r="A1101" s="3"/>
      <c r="B1101" s="3"/>
      <c r="C1101" s="3"/>
      <c r="D1101" s="3"/>
      <c r="E1101" s="3"/>
      <c r="F1101" s="3"/>
      <c r="G1101" s="3"/>
      <c r="H1101" s="3"/>
      <c r="I1101" s="3"/>
      <c r="J1101" s="3"/>
      <c r="K1101" s="3"/>
      <c r="L1101" s="3"/>
      <c r="M1101" s="3"/>
      <c r="N1101" s="3"/>
      <c r="O1101" s="3"/>
      <c r="P1101" s="3"/>
      <c r="Q1101" s="3"/>
      <c r="R1101" s="3"/>
      <c r="S1101" s="3"/>
      <c r="T1101" s="3"/>
      <c r="U1101" s="3"/>
      <c r="V1101" s="3"/>
      <c r="W1101" s="3"/>
      <c r="X1101" s="3"/>
      <c r="Y1101" s="3"/>
      <c r="Z1101" s="3"/>
    </row>
  </sheetData>
  <customSheetViews>
    <customSheetView guid="{1474D8E2-8801-474F-99A3-0D3DFA4B5FB3}" scale="115" fitToPage="1" hiddenRows="1" topLeftCell="A83">
      <pane ySplit="24.1" topLeftCell="A536"/>
      <selection activeCell="I104" sqref="I104:I105"/>
      <pageMargins left="0.7" right="0.7" top="0.75" bottom="0.75" header="0.3" footer="0.3"/>
      <pageSetup scale="65" fitToHeight="0" orientation="portrait" r:id="rId1"/>
    </customSheetView>
    <customSheetView guid="{0270675F-18D5-4C83-B813-43237B4A5065}" scale="85" fitToPage="1" hiddenRows="1">
      <selection activeCell="F613" sqref="F613"/>
      <pageMargins left="0.7" right="0.7" top="0.75" bottom="0.75" header="0.3" footer="0.3"/>
      <pageSetup scale="65" fitToHeight="0" orientation="portrait" r:id="rId2"/>
    </customSheetView>
    <customSheetView guid="{68E4D3DD-37C5-4451-9CB1-FD36A6953DAF}" scale="115" showPageBreaks="1" fitToPage="1" printArea="1" hiddenRows="1">
      <pane ySplit="18" topLeftCell="A536" activePane="bottomLeft"/>
      <selection pane="bottomLeft" activeCell="E544" sqref="E544"/>
      <pageMargins left="0.7" right="0.7" top="0.75" bottom="0.75" header="0.3" footer="0.3"/>
      <pageSetup scale="65" fitToHeight="0" orientation="portrait" r:id="rId3"/>
    </customSheetView>
  </customSheetViews>
  <pageMargins left="0.7" right="0.7" top="0.75" bottom="0.75" header="0.3" footer="0.3"/>
  <pageSetup scale="65" fitToHeight="0" orientation="portrait"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111"/>
  <sheetViews>
    <sheetView zoomScale="85" zoomScaleNormal="85" workbookViewId="0">
      <selection activeCell="K38" sqref="K38"/>
    </sheetView>
  </sheetViews>
  <sheetFormatPr defaultColWidth="14.42578125" defaultRowHeight="15.75" customHeight="1" x14ac:dyDescent="0.2"/>
  <cols>
    <col min="1" max="1" width="3.85546875" customWidth="1"/>
    <col min="2" max="2" width="4.7109375" customWidth="1"/>
    <col min="3" max="3" width="15.28515625" customWidth="1"/>
    <col min="6" max="6" width="16.7109375" bestFit="1" customWidth="1"/>
  </cols>
  <sheetData>
    <row r="1" spans="1:26" ht="45" customHeight="1" x14ac:dyDescent="0.3">
      <c r="A1" s="1"/>
      <c r="B1" s="2"/>
      <c r="C1" s="2"/>
      <c r="D1" s="2"/>
      <c r="E1" s="2"/>
      <c r="F1" s="2"/>
      <c r="G1" s="2"/>
      <c r="H1" s="2"/>
      <c r="I1" s="2"/>
      <c r="J1" s="2"/>
      <c r="K1" s="2"/>
      <c r="L1" s="2"/>
      <c r="M1" s="2"/>
      <c r="N1" s="2"/>
      <c r="O1" s="2"/>
      <c r="P1" s="2"/>
      <c r="Q1" s="2"/>
      <c r="R1" s="2"/>
      <c r="S1" s="2"/>
      <c r="T1" s="2"/>
      <c r="U1" s="2"/>
      <c r="V1" s="2"/>
      <c r="W1" s="2"/>
      <c r="X1" s="2"/>
      <c r="Y1" s="2"/>
      <c r="Z1" s="2"/>
    </row>
    <row r="2" spans="1:26" ht="28.5" customHeight="1" x14ac:dyDescent="0.2">
      <c r="A2" s="225" t="s">
        <v>1049</v>
      </c>
      <c r="B2" s="2"/>
      <c r="C2" s="2"/>
      <c r="D2" s="2"/>
      <c r="E2" s="2"/>
      <c r="F2" s="2"/>
      <c r="G2" s="2"/>
      <c r="H2" s="2"/>
      <c r="I2" s="2"/>
      <c r="J2" s="2"/>
      <c r="K2" s="2"/>
      <c r="L2" s="2"/>
      <c r="M2" s="2"/>
      <c r="N2" s="2"/>
      <c r="O2" s="2"/>
      <c r="P2" s="2"/>
      <c r="Q2" s="2"/>
      <c r="R2" s="2"/>
      <c r="S2" s="2"/>
      <c r="T2" s="2"/>
      <c r="U2" s="2"/>
      <c r="V2" s="2"/>
      <c r="W2" s="2"/>
      <c r="X2" s="2"/>
      <c r="Y2" s="2"/>
      <c r="Z2" s="2"/>
    </row>
    <row r="3" spans="1:26" ht="15.75" customHeight="1" x14ac:dyDescent="0.2">
      <c r="A3" s="3"/>
      <c r="B3" s="3"/>
      <c r="C3" s="3"/>
      <c r="D3" s="3"/>
      <c r="E3" s="3"/>
      <c r="F3" s="3"/>
      <c r="G3" s="3"/>
      <c r="H3" s="3"/>
      <c r="I3" s="3"/>
      <c r="J3" s="3"/>
      <c r="K3" s="3"/>
      <c r="L3" s="3"/>
      <c r="M3" s="3"/>
      <c r="N3" s="3"/>
      <c r="O3" s="3"/>
      <c r="P3" s="3"/>
      <c r="Q3" s="3"/>
      <c r="R3" s="3"/>
      <c r="S3" s="3"/>
      <c r="T3" s="3"/>
      <c r="U3" s="3"/>
      <c r="V3" s="3"/>
      <c r="W3" s="3"/>
      <c r="X3" s="3"/>
      <c r="Y3" s="3"/>
      <c r="Z3" s="3"/>
    </row>
    <row r="4" spans="1:26" ht="15.75" customHeight="1" x14ac:dyDescent="0.2">
      <c r="A4" s="29" t="s">
        <v>503</v>
      </c>
      <c r="B4" s="2"/>
      <c r="C4" s="2"/>
      <c r="D4" s="2"/>
      <c r="F4" s="781" t="s">
        <v>1019</v>
      </c>
      <c r="G4" s="5"/>
      <c r="H4" s="5"/>
      <c r="I4" s="5"/>
      <c r="J4" s="5"/>
      <c r="K4" s="2"/>
      <c r="L4" s="2"/>
      <c r="M4" s="2"/>
      <c r="N4" s="2"/>
      <c r="O4" s="2"/>
      <c r="P4" s="2"/>
      <c r="Q4" s="2"/>
      <c r="R4" s="2"/>
      <c r="S4" s="2"/>
      <c r="T4" s="2"/>
      <c r="U4" s="2"/>
      <c r="V4" s="2"/>
      <c r="W4" s="2"/>
      <c r="X4" s="2"/>
      <c r="Y4" s="2"/>
      <c r="Z4" s="2"/>
    </row>
    <row r="5" spans="1:26" ht="15.75" customHeight="1" x14ac:dyDescent="0.2">
      <c r="A5" s="11"/>
      <c r="B5" s="3"/>
      <c r="C5" s="3"/>
      <c r="D5" s="3"/>
      <c r="E5" s="3"/>
      <c r="F5" s="13"/>
      <c r="G5" s="13"/>
      <c r="H5" s="13"/>
      <c r="I5" s="13"/>
      <c r="J5" s="13"/>
      <c r="K5" s="3"/>
      <c r="L5" s="3"/>
      <c r="M5" s="3"/>
      <c r="N5" s="3"/>
      <c r="O5" s="3"/>
      <c r="P5" s="3"/>
      <c r="Q5" s="3"/>
      <c r="R5" s="3"/>
      <c r="S5" s="3"/>
      <c r="T5" s="3"/>
      <c r="U5" s="3"/>
      <c r="V5" s="3"/>
      <c r="W5" s="3"/>
      <c r="X5" s="3"/>
      <c r="Y5" s="3"/>
      <c r="Z5" s="3"/>
    </row>
    <row r="6" spans="1:26" ht="15.75" customHeight="1" x14ac:dyDescent="0.2">
      <c r="A6" s="4" t="s">
        <v>25</v>
      </c>
      <c r="B6" s="2"/>
      <c r="C6" s="2"/>
      <c r="D6" s="2"/>
      <c r="E6" s="2"/>
      <c r="F6" s="5" t="s">
        <v>0</v>
      </c>
      <c r="G6" s="5" t="s">
        <v>1</v>
      </c>
      <c r="H6" s="5" t="s">
        <v>2</v>
      </c>
      <c r="I6" s="5"/>
      <c r="J6" s="5"/>
      <c r="L6" s="2"/>
      <c r="M6" s="2"/>
      <c r="N6" s="2"/>
      <c r="O6" s="2"/>
      <c r="P6" s="2"/>
      <c r="Q6" s="2"/>
      <c r="R6" s="2"/>
      <c r="S6" s="2"/>
      <c r="T6" s="2"/>
      <c r="U6" s="2"/>
      <c r="V6" s="2"/>
      <c r="W6" s="2"/>
      <c r="X6" s="2"/>
      <c r="Y6" s="2"/>
      <c r="Z6" s="2"/>
    </row>
    <row r="7" spans="1:26" ht="15.75" customHeight="1" x14ac:dyDescent="0.2">
      <c r="A7" s="3"/>
      <c r="B7" s="392" t="s">
        <v>3</v>
      </c>
      <c r="C7" s="2"/>
      <c r="D7" s="2"/>
      <c r="E7" s="2"/>
      <c r="F7" s="2"/>
      <c r="G7" s="2"/>
      <c r="H7" s="2"/>
      <c r="I7" s="447"/>
      <c r="J7" s="447"/>
      <c r="K7" s="447"/>
      <c r="L7" s="3"/>
      <c r="M7" s="3"/>
      <c r="N7" s="3"/>
      <c r="O7" s="3"/>
      <c r="P7" s="3"/>
      <c r="Q7" s="3"/>
      <c r="R7" s="3"/>
      <c r="S7" s="3"/>
      <c r="T7" s="3"/>
      <c r="U7" s="3"/>
      <c r="V7" s="3"/>
      <c r="W7" s="3"/>
      <c r="X7" s="3"/>
      <c r="Y7" s="3"/>
      <c r="Z7" s="3"/>
    </row>
    <row r="8" spans="1:26" ht="15.75" customHeight="1" x14ac:dyDescent="0.2">
      <c r="A8" s="3"/>
      <c r="B8" s="2"/>
      <c r="C8" s="393" t="s">
        <v>4</v>
      </c>
      <c r="D8" s="2"/>
      <c r="E8" s="2"/>
      <c r="F8" s="448">
        <v>7.9000000000000001E-2</v>
      </c>
      <c r="G8" s="2" t="s">
        <v>5</v>
      </c>
      <c r="H8" s="2" t="s">
        <v>6</v>
      </c>
      <c r="I8" s="447"/>
      <c r="J8" s="447"/>
      <c r="K8" s="447"/>
      <c r="L8" s="3"/>
      <c r="M8" s="3"/>
      <c r="N8" s="3"/>
      <c r="O8" s="3"/>
      <c r="P8" s="3"/>
      <c r="Q8" s="3"/>
      <c r="R8" s="3"/>
      <c r="S8" s="3"/>
      <c r="T8" s="3"/>
      <c r="U8" s="3"/>
      <c r="V8" s="3"/>
      <c r="W8" s="3"/>
      <c r="X8" s="3"/>
      <c r="Y8" s="3"/>
      <c r="Z8" s="3"/>
    </row>
    <row r="9" spans="1:26" ht="15.75" customHeight="1" x14ac:dyDescent="0.2">
      <c r="A9" s="3"/>
      <c r="B9" s="2"/>
      <c r="C9" s="393" t="s">
        <v>7</v>
      </c>
      <c r="D9" s="2"/>
      <c r="E9" s="2"/>
      <c r="F9" s="448">
        <v>2.5000000000000001E-2</v>
      </c>
      <c r="G9" s="2" t="s">
        <v>5</v>
      </c>
      <c r="H9" s="2"/>
      <c r="I9" s="447"/>
      <c r="J9" s="447"/>
      <c r="K9" s="447"/>
      <c r="L9" s="3"/>
      <c r="M9" s="3"/>
      <c r="N9" s="3"/>
      <c r="O9" s="3"/>
      <c r="P9" s="3"/>
      <c r="Q9" s="3"/>
      <c r="R9" s="3"/>
      <c r="S9" s="3"/>
      <c r="T9" s="3"/>
      <c r="U9" s="3"/>
      <c r="V9" s="3"/>
      <c r="W9" s="3"/>
      <c r="X9" s="3"/>
      <c r="Y9" s="3"/>
      <c r="Z9" s="3"/>
    </row>
    <row r="10" spans="1:26" ht="15.75" customHeight="1" x14ac:dyDescent="0.2">
      <c r="A10" s="3"/>
      <c r="B10" s="2"/>
      <c r="C10" s="393" t="s">
        <v>8</v>
      </c>
      <c r="D10" s="2"/>
      <c r="E10" s="2"/>
      <c r="F10" s="531">
        <v>157.54</v>
      </c>
      <c r="G10" s="2" t="s">
        <v>9</v>
      </c>
      <c r="H10" s="2" t="s">
        <v>10</v>
      </c>
      <c r="I10" s="447"/>
      <c r="J10" s="447"/>
      <c r="K10" s="447"/>
      <c r="L10" s="3"/>
      <c r="M10" s="3"/>
      <c r="N10" s="3"/>
      <c r="O10" s="3"/>
      <c r="P10" s="3"/>
      <c r="Q10" s="3"/>
      <c r="R10" s="3"/>
      <c r="S10" s="3"/>
      <c r="T10" s="3"/>
      <c r="U10" s="3"/>
      <c r="V10" s="3"/>
      <c r="W10" s="3"/>
      <c r="X10" s="3"/>
      <c r="Y10" s="3"/>
      <c r="Z10" s="3"/>
    </row>
    <row r="11" spans="1:26" ht="15.75" customHeight="1" x14ac:dyDescent="0.2">
      <c r="A11" s="3"/>
      <c r="B11" s="2"/>
      <c r="C11" s="393" t="s">
        <v>11</v>
      </c>
      <c r="D11" s="2"/>
      <c r="E11" s="2"/>
      <c r="F11" s="450">
        <v>0</v>
      </c>
      <c r="G11" s="2" t="s">
        <v>5</v>
      </c>
      <c r="H11" s="2" t="s">
        <v>12</v>
      </c>
      <c r="I11" s="447"/>
      <c r="J11" s="447"/>
      <c r="K11" s="447"/>
      <c r="L11" s="3"/>
      <c r="M11" s="3"/>
      <c r="N11" s="3"/>
      <c r="O11" s="3"/>
      <c r="P11" s="3"/>
      <c r="Q11" s="3"/>
      <c r="R11" s="3"/>
      <c r="S11" s="3"/>
      <c r="T11" s="3"/>
      <c r="U11" s="3"/>
      <c r="V11" s="3"/>
      <c r="W11" s="3"/>
      <c r="X11" s="3"/>
      <c r="Y11" s="3"/>
      <c r="Z11" s="3"/>
    </row>
    <row r="12" spans="1:26" ht="15.75" customHeight="1" x14ac:dyDescent="0.2">
      <c r="A12" s="3"/>
      <c r="B12" s="2"/>
      <c r="C12" s="393" t="s">
        <v>13</v>
      </c>
      <c r="D12" s="2"/>
      <c r="E12" s="2"/>
      <c r="F12" s="448">
        <v>0.10199999999999999</v>
      </c>
      <c r="G12" s="2" t="s">
        <v>5</v>
      </c>
      <c r="H12" s="2" t="s">
        <v>14</v>
      </c>
      <c r="I12" s="447"/>
      <c r="J12" s="447"/>
      <c r="K12" s="447"/>
      <c r="L12" s="3"/>
      <c r="M12" s="3"/>
      <c r="N12" s="3"/>
      <c r="O12" s="3"/>
      <c r="P12" s="3"/>
      <c r="Q12" s="3"/>
      <c r="R12" s="3"/>
      <c r="S12" s="3"/>
      <c r="T12" s="3"/>
      <c r="U12" s="3"/>
      <c r="V12" s="3"/>
      <c r="W12" s="3"/>
      <c r="X12" s="3"/>
      <c r="Y12" s="3"/>
      <c r="Z12" s="3"/>
    </row>
    <row r="13" spans="1:26" ht="15.75" customHeight="1" x14ac:dyDescent="0.2">
      <c r="A13" s="3"/>
      <c r="B13" s="2"/>
      <c r="C13" s="393" t="s">
        <v>15</v>
      </c>
      <c r="D13" s="2"/>
      <c r="E13" s="2"/>
      <c r="F13" s="451">
        <v>173.60908000000001</v>
      </c>
      <c r="G13" s="2" t="s">
        <v>9</v>
      </c>
      <c r="H13" s="2"/>
      <c r="I13" s="447"/>
      <c r="J13" s="447"/>
      <c r="K13" s="447"/>
      <c r="L13" s="3"/>
      <c r="M13" s="3"/>
      <c r="N13" s="3"/>
      <c r="O13" s="3"/>
      <c r="P13" s="3"/>
      <c r="Q13" s="3"/>
      <c r="R13" s="3"/>
      <c r="S13" s="3"/>
      <c r="T13" s="3"/>
      <c r="U13" s="3"/>
      <c r="V13" s="3"/>
      <c r="W13" s="3"/>
      <c r="X13" s="3"/>
      <c r="Y13" s="3"/>
      <c r="Z13" s="3"/>
    </row>
    <row r="14" spans="1:26" ht="15.75" customHeight="1" x14ac:dyDescent="0.2">
      <c r="A14" s="3"/>
      <c r="B14" s="2"/>
      <c r="C14" s="393" t="s">
        <v>16</v>
      </c>
      <c r="D14" s="2"/>
      <c r="E14" s="2"/>
      <c r="F14" s="448">
        <v>8.4000000000000005E-2</v>
      </c>
      <c r="G14" s="2" t="s">
        <v>5</v>
      </c>
      <c r="H14" s="405" t="s">
        <v>1073</v>
      </c>
      <c r="I14" s="447"/>
      <c r="J14" s="447"/>
      <c r="K14" s="447"/>
      <c r="L14" s="3"/>
      <c r="M14" s="3"/>
      <c r="N14" s="3"/>
      <c r="O14" s="3"/>
      <c r="P14" s="3"/>
      <c r="Q14" s="3"/>
      <c r="R14" s="3"/>
      <c r="S14" s="3"/>
      <c r="T14" s="3"/>
      <c r="U14" s="3"/>
      <c r="V14" s="3"/>
      <c r="W14" s="3"/>
      <c r="X14" s="3"/>
      <c r="Y14" s="3"/>
      <c r="Z14" s="3"/>
    </row>
    <row r="15" spans="1:26" ht="15.75" customHeight="1" x14ac:dyDescent="0.2">
      <c r="A15" s="3"/>
      <c r="B15" s="2"/>
      <c r="C15" s="393" t="s">
        <v>17</v>
      </c>
      <c r="D15" s="2"/>
      <c r="E15" s="2"/>
      <c r="F15" s="448">
        <v>0.23977099999999996</v>
      </c>
      <c r="G15" s="2" t="s">
        <v>5</v>
      </c>
      <c r="H15" s="2"/>
      <c r="I15" s="447"/>
      <c r="J15" s="447"/>
      <c r="K15" s="447"/>
      <c r="L15" s="3"/>
      <c r="M15" s="3"/>
      <c r="N15" s="3"/>
      <c r="O15" s="3"/>
      <c r="P15" s="3"/>
      <c r="Q15" s="3"/>
      <c r="R15" s="3"/>
      <c r="S15" s="3"/>
      <c r="T15" s="3"/>
      <c r="U15" s="3"/>
      <c r="V15" s="3"/>
      <c r="W15" s="3"/>
      <c r="X15" s="3"/>
      <c r="Y15" s="3"/>
      <c r="Z15" s="3"/>
    </row>
    <row r="16" spans="1:26" ht="15.75" customHeight="1" x14ac:dyDescent="0.2">
      <c r="A16" s="3"/>
      <c r="B16" s="2"/>
      <c r="C16" s="393" t="s">
        <v>18</v>
      </c>
      <c r="D16" s="2"/>
      <c r="E16" s="2"/>
      <c r="F16" s="448">
        <v>0.14899999999999999</v>
      </c>
      <c r="G16" s="2" t="s">
        <v>5</v>
      </c>
      <c r="H16" s="2" t="s">
        <v>19</v>
      </c>
      <c r="I16" s="447"/>
      <c r="J16" s="447"/>
      <c r="K16" s="447"/>
      <c r="L16" s="3"/>
      <c r="M16" s="3"/>
      <c r="N16" s="3"/>
      <c r="O16" s="3"/>
      <c r="P16" s="3"/>
      <c r="Q16" s="3"/>
      <c r="R16" s="3"/>
      <c r="S16" s="3"/>
      <c r="T16" s="3"/>
      <c r="U16" s="3"/>
      <c r="V16" s="3"/>
      <c r="W16" s="3"/>
      <c r="X16" s="3"/>
      <c r="Y16" s="3"/>
      <c r="Z16" s="3"/>
    </row>
    <row r="17" spans="1:26" ht="15.75" customHeight="1" x14ac:dyDescent="0.2">
      <c r="A17" s="3"/>
      <c r="B17" s="452"/>
      <c r="C17" s="453"/>
      <c r="D17" s="447"/>
      <c r="E17" s="447"/>
      <c r="F17" s="447"/>
      <c r="G17" s="447"/>
      <c r="H17" s="447"/>
      <c r="I17" s="447"/>
      <c r="J17" s="447"/>
      <c r="K17" s="447"/>
      <c r="L17" s="3"/>
      <c r="M17" s="3"/>
      <c r="N17" s="3"/>
      <c r="O17" s="3"/>
      <c r="P17" s="3"/>
      <c r="Q17" s="3"/>
      <c r="R17" s="3"/>
      <c r="S17" s="3"/>
      <c r="T17" s="3"/>
      <c r="U17" s="3"/>
      <c r="V17" s="3"/>
      <c r="W17" s="3"/>
      <c r="X17" s="3"/>
      <c r="Y17" s="3"/>
      <c r="Z17" s="3"/>
    </row>
    <row r="18" spans="1:26" ht="15.75" customHeight="1" x14ac:dyDescent="0.2">
      <c r="A18" s="3"/>
      <c r="B18" s="392" t="s">
        <v>20</v>
      </c>
      <c r="C18" s="393"/>
      <c r="D18" s="2"/>
      <c r="E18" s="2"/>
      <c r="F18" s="2"/>
      <c r="G18" s="2"/>
      <c r="H18" s="2"/>
      <c r="I18" s="447"/>
      <c r="J18" s="447"/>
      <c r="K18" s="447"/>
      <c r="L18" s="3"/>
      <c r="M18" s="3"/>
      <c r="N18" s="3"/>
      <c r="O18" s="3"/>
      <c r="P18" s="3"/>
      <c r="Q18" s="3"/>
      <c r="R18" s="3"/>
      <c r="S18" s="3"/>
      <c r="T18" s="3"/>
      <c r="U18" s="3"/>
      <c r="V18" s="3"/>
      <c r="W18" s="3"/>
      <c r="X18" s="3"/>
      <c r="Y18" s="3"/>
      <c r="Z18" s="3"/>
    </row>
    <row r="19" spans="1:26" ht="15.75" customHeight="1" x14ac:dyDescent="0.2">
      <c r="A19" s="3"/>
      <c r="B19" s="2"/>
      <c r="C19" s="393" t="s">
        <v>21</v>
      </c>
      <c r="D19" s="2"/>
      <c r="E19" s="2"/>
      <c r="F19" s="448">
        <v>0.16800000000000001</v>
      </c>
      <c r="G19" s="393" t="s">
        <v>5</v>
      </c>
      <c r="H19" s="2" t="s">
        <v>22</v>
      </c>
      <c r="I19" s="447"/>
      <c r="J19" s="447"/>
      <c r="K19" s="447"/>
      <c r="L19" s="3"/>
      <c r="M19" s="3"/>
      <c r="N19" s="3"/>
      <c r="O19" s="3"/>
      <c r="P19" s="3"/>
      <c r="Q19" s="3"/>
      <c r="R19" s="3"/>
      <c r="S19" s="3"/>
      <c r="T19" s="3"/>
      <c r="U19" s="3"/>
      <c r="V19" s="3"/>
      <c r="W19" s="3"/>
      <c r="X19" s="3"/>
      <c r="Y19" s="3"/>
      <c r="Z19" s="3"/>
    </row>
    <row r="20" spans="1:26" ht="15.75" customHeight="1" x14ac:dyDescent="0.2">
      <c r="A20" s="3"/>
      <c r="B20" s="2"/>
      <c r="C20" s="393" t="s">
        <v>23</v>
      </c>
      <c r="D20" s="2"/>
      <c r="E20" s="2"/>
      <c r="F20" s="454">
        <v>0.12</v>
      </c>
      <c r="G20" s="393" t="s">
        <v>5</v>
      </c>
      <c r="H20" s="2"/>
      <c r="I20" s="447"/>
      <c r="J20" s="447"/>
      <c r="K20" s="447"/>
      <c r="L20" s="3"/>
      <c r="M20" s="3"/>
      <c r="N20" s="3"/>
      <c r="O20" s="3"/>
      <c r="P20" s="3"/>
      <c r="Q20" s="3"/>
      <c r="R20" s="3"/>
      <c r="S20" s="3"/>
      <c r="T20" s="3"/>
      <c r="U20" s="3"/>
      <c r="V20" s="3"/>
      <c r="W20" s="3"/>
      <c r="X20" s="3"/>
      <c r="Y20" s="3"/>
      <c r="Z20" s="3"/>
    </row>
    <row r="21" spans="1:26" ht="15.75" customHeight="1" x14ac:dyDescent="0.2">
      <c r="A21" s="3"/>
      <c r="B21" s="447"/>
      <c r="C21" s="447"/>
      <c r="D21" s="447"/>
      <c r="E21" s="447"/>
      <c r="F21" s="447"/>
      <c r="G21" s="447"/>
      <c r="H21" s="447"/>
      <c r="I21" s="447"/>
      <c r="J21" s="447"/>
      <c r="K21" s="447"/>
      <c r="L21" s="447"/>
      <c r="M21" s="447"/>
      <c r="N21" s="447"/>
      <c r="O21" s="3"/>
      <c r="P21" s="3"/>
      <c r="Q21" s="3"/>
      <c r="R21" s="3"/>
      <c r="S21" s="3"/>
      <c r="T21" s="3"/>
      <c r="U21" s="3"/>
      <c r="V21" s="3"/>
      <c r="W21" s="3"/>
      <c r="X21" s="3"/>
      <c r="Y21" s="3"/>
      <c r="Z21" s="3"/>
    </row>
    <row r="22" spans="1:26" ht="15.75" customHeight="1" x14ac:dyDescent="0.2">
      <c r="A22" s="3"/>
      <c r="B22" s="447"/>
      <c r="C22" s="447"/>
      <c r="D22" s="447"/>
      <c r="E22" s="447"/>
      <c r="F22" s="578" t="s">
        <v>44</v>
      </c>
      <c r="G22" s="579"/>
      <c r="H22" s="480"/>
      <c r="I22" s="578" t="s">
        <v>351</v>
      </c>
      <c r="J22" s="579"/>
      <c r="K22" s="579"/>
      <c r="L22" s="480"/>
      <c r="M22" s="578"/>
      <c r="N22" s="579"/>
      <c r="O22" s="580"/>
      <c r="P22" s="3"/>
      <c r="Q22" s="3"/>
      <c r="R22" s="3"/>
      <c r="S22" s="3"/>
      <c r="T22" s="3"/>
      <c r="U22" s="3"/>
      <c r="V22" s="3"/>
      <c r="W22" s="3"/>
      <c r="X22" s="3"/>
      <c r="Y22" s="3"/>
      <c r="Z22" s="3"/>
    </row>
    <row r="23" spans="1:26" ht="18" customHeight="1" x14ac:dyDescent="0.2">
      <c r="A23" s="3"/>
      <c r="B23" s="452"/>
      <c r="C23" s="447"/>
      <c r="D23" s="447"/>
      <c r="E23" s="447"/>
      <c r="F23" s="414" t="s">
        <v>0</v>
      </c>
      <c r="G23" s="5" t="s">
        <v>1</v>
      </c>
      <c r="H23" s="2"/>
      <c r="I23" s="414" t="s">
        <v>0</v>
      </c>
      <c r="J23" s="5" t="s">
        <v>1</v>
      </c>
      <c r="K23" s="5" t="s">
        <v>2</v>
      </c>
      <c r="L23" s="5"/>
      <c r="M23" s="455"/>
      <c r="N23" s="5"/>
      <c r="O23" s="5"/>
      <c r="P23" s="3"/>
      <c r="Q23" s="3"/>
      <c r="R23" s="3"/>
      <c r="S23" s="3"/>
      <c r="T23" s="3"/>
      <c r="U23" s="3"/>
      <c r="V23" s="3"/>
      <c r="W23" s="3"/>
      <c r="X23" s="3"/>
      <c r="Y23" s="3"/>
      <c r="Z23" s="3"/>
    </row>
    <row r="24" spans="1:26" ht="18" customHeight="1" x14ac:dyDescent="0.2">
      <c r="A24" s="3"/>
      <c r="B24" s="392" t="s">
        <v>46</v>
      </c>
      <c r="C24" s="455"/>
      <c r="D24" s="455"/>
      <c r="E24" s="455"/>
      <c r="F24" s="455"/>
      <c r="G24" s="5"/>
      <c r="H24" s="2"/>
      <c r="I24" s="455"/>
      <c r="J24" s="5"/>
      <c r="K24" s="5"/>
      <c r="L24" s="5"/>
      <c r="M24" s="455"/>
      <c r="N24" s="5"/>
      <c r="O24" s="5"/>
      <c r="P24" s="3"/>
      <c r="Q24" s="3"/>
      <c r="R24" s="3"/>
      <c r="S24" s="3"/>
      <c r="T24" s="3"/>
      <c r="U24" s="3"/>
      <c r="V24" s="3"/>
      <c r="W24" s="3"/>
      <c r="X24" s="3"/>
      <c r="Y24" s="3"/>
      <c r="Z24" s="3"/>
    </row>
    <row r="25" spans="1:26" ht="15.75" customHeight="1" x14ac:dyDescent="0.2">
      <c r="A25" s="3"/>
      <c r="B25" s="2"/>
      <c r="C25" s="393" t="s">
        <v>47</v>
      </c>
      <c r="D25" s="2"/>
      <c r="E25" s="2"/>
      <c r="F25" s="847">
        <v>1</v>
      </c>
      <c r="G25" s="838" t="s">
        <v>48</v>
      </c>
      <c r="H25" s="837"/>
      <c r="I25" s="449">
        <v>1</v>
      </c>
      <c r="J25" s="838" t="s">
        <v>48</v>
      </c>
      <c r="K25" s="393" t="s">
        <v>1069</v>
      </c>
      <c r="L25" s="16" t="s">
        <v>50</v>
      </c>
      <c r="M25" s="2"/>
      <c r="N25" s="9"/>
      <c r="O25" s="221"/>
      <c r="P25" s="3"/>
      <c r="Q25" s="3"/>
      <c r="R25" s="3"/>
      <c r="S25" s="3"/>
      <c r="T25" s="3"/>
      <c r="U25" s="3"/>
      <c r="V25" s="3"/>
      <c r="W25" s="3"/>
      <c r="X25" s="3"/>
      <c r="Y25" s="3"/>
      <c r="Z25" s="3"/>
    </row>
    <row r="26" spans="1:26" ht="15.75" customHeight="1" x14ac:dyDescent="0.2">
      <c r="A26" s="3"/>
      <c r="B26" s="2"/>
      <c r="C26" s="393" t="s">
        <v>53</v>
      </c>
      <c r="D26" s="2"/>
      <c r="E26" s="2"/>
      <c r="F26" s="847">
        <v>6.7</v>
      </c>
      <c r="G26" s="838" t="s">
        <v>54</v>
      </c>
      <c r="H26" s="837"/>
      <c r="I26" s="457">
        <f>F26</f>
        <v>6.7</v>
      </c>
      <c r="J26" s="838" t="s">
        <v>54</v>
      </c>
      <c r="K26" s="393" t="s">
        <v>358</v>
      </c>
      <c r="L26" s="16" t="s">
        <v>50</v>
      </c>
      <c r="M26" s="2"/>
      <c r="N26" s="9"/>
      <c r="O26" s="221"/>
      <c r="P26" s="3"/>
      <c r="Q26" s="3"/>
      <c r="R26" s="3"/>
      <c r="S26" s="3"/>
      <c r="T26" s="3"/>
      <c r="U26" s="3"/>
      <c r="V26" s="3"/>
      <c r="W26" s="3"/>
      <c r="X26" s="3"/>
      <c r="Y26" s="3"/>
      <c r="Z26" s="3"/>
    </row>
    <row r="27" spans="1:26" ht="15.75" customHeight="1" x14ac:dyDescent="0.2">
      <c r="A27" s="3"/>
      <c r="B27" s="2"/>
      <c r="C27" s="781" t="s">
        <v>56</v>
      </c>
      <c r="D27" s="2"/>
      <c r="E27" s="2"/>
      <c r="F27" s="458">
        <v>94.6</v>
      </c>
      <c r="G27" s="838" t="s">
        <v>57</v>
      </c>
      <c r="H27" s="837" t="s">
        <v>1023</v>
      </c>
      <c r="I27" s="459">
        <v>150</v>
      </c>
      <c r="J27" s="838" t="s">
        <v>57</v>
      </c>
      <c r="K27" s="393" t="s">
        <v>1060</v>
      </c>
      <c r="L27" s="16" t="s">
        <v>50</v>
      </c>
      <c r="M27" s="53"/>
      <c r="N27" s="9"/>
      <c r="O27" s="221"/>
      <c r="P27" s="3"/>
      <c r="Q27" s="3"/>
      <c r="R27" s="3"/>
      <c r="S27" s="3"/>
      <c r="T27" s="3"/>
      <c r="U27" s="3"/>
      <c r="V27" s="3"/>
      <c r="W27" s="3"/>
      <c r="X27" s="3"/>
      <c r="Y27" s="3"/>
      <c r="Z27" s="3"/>
    </row>
    <row r="28" spans="1:26" ht="15.75" customHeight="1" x14ac:dyDescent="0.2">
      <c r="A28" s="3"/>
      <c r="B28" s="447"/>
      <c r="C28" s="447"/>
      <c r="D28" s="447"/>
      <c r="E28" s="447"/>
      <c r="F28" s="750"/>
      <c r="G28" s="750"/>
      <c r="H28" s="750"/>
      <c r="I28" s="750"/>
      <c r="J28" s="750"/>
      <c r="K28" s="447"/>
      <c r="L28" s="3"/>
      <c r="M28" s="3"/>
      <c r="N28" s="3"/>
      <c r="O28" s="218"/>
      <c r="P28" s="3"/>
      <c r="Q28" s="3"/>
      <c r="R28" s="3"/>
      <c r="S28" s="3"/>
      <c r="T28" s="3"/>
      <c r="U28" s="3"/>
      <c r="V28" s="3"/>
      <c r="W28" s="3"/>
      <c r="X28" s="3"/>
      <c r="Y28" s="3"/>
      <c r="Z28" s="3"/>
    </row>
    <row r="29" spans="1:26" ht="15.75" customHeight="1" x14ac:dyDescent="0.2">
      <c r="A29" s="3"/>
      <c r="B29" s="392" t="s">
        <v>642</v>
      </c>
      <c r="C29" s="2"/>
      <c r="D29" s="2"/>
      <c r="E29" s="2"/>
      <c r="F29" s="531">
        <v>2</v>
      </c>
      <c r="G29" s="53" t="s">
        <v>295</v>
      </c>
      <c r="H29" s="838" t="s">
        <v>844</v>
      </c>
      <c r="I29" s="837"/>
      <c r="J29" s="837"/>
      <c r="K29" s="2"/>
      <c r="L29" s="16" t="s">
        <v>50</v>
      </c>
      <c r="M29" s="2"/>
      <c r="N29" s="2"/>
      <c r="O29" s="217"/>
      <c r="P29" s="3"/>
      <c r="Q29" s="3"/>
      <c r="R29" s="3"/>
      <c r="S29" s="3"/>
      <c r="T29" s="3"/>
      <c r="U29" s="3"/>
      <c r="V29" s="3"/>
      <c r="W29" s="3"/>
      <c r="X29" s="3"/>
      <c r="Y29" s="3"/>
      <c r="Z29" s="3"/>
    </row>
    <row r="30" spans="1:26" s="748" customFormat="1" ht="15.75" customHeight="1" x14ac:dyDescent="0.2">
      <c r="A30" s="3"/>
      <c r="B30" s="392"/>
      <c r="C30" s="749" t="s">
        <v>1027</v>
      </c>
      <c r="D30" s="749"/>
      <c r="E30" s="749"/>
      <c r="F30" s="847">
        <v>2.58</v>
      </c>
      <c r="G30" s="838" t="s">
        <v>61</v>
      </c>
      <c r="H30" s="837"/>
      <c r="I30" s="496">
        <f>0.8*I32</f>
        <v>4.2880000000000003</v>
      </c>
      <c r="J30" s="785" t="s">
        <v>61</v>
      </c>
      <c r="K30" s="785" t="s">
        <v>328</v>
      </c>
      <c r="L30" s="16"/>
      <c r="M30" s="749"/>
      <c r="N30" s="749"/>
      <c r="O30" s="217"/>
      <c r="P30" s="3"/>
      <c r="Q30" s="3"/>
      <c r="R30" s="3"/>
      <c r="S30" s="3"/>
      <c r="T30" s="3"/>
      <c r="U30" s="3"/>
      <c r="V30" s="3"/>
      <c r="W30" s="3"/>
      <c r="X30" s="3"/>
      <c r="Y30" s="3"/>
      <c r="Z30" s="3"/>
    </row>
    <row r="31" spans="1:26" s="748" customFormat="1" ht="15.75" customHeight="1" x14ac:dyDescent="0.2">
      <c r="A31" s="3"/>
      <c r="B31" s="392"/>
      <c r="C31" s="781" t="s">
        <v>1029</v>
      </c>
      <c r="D31" s="749"/>
      <c r="E31" s="749"/>
      <c r="F31" s="838"/>
      <c r="G31" s="838"/>
      <c r="H31" s="837"/>
      <c r="I31" s="470">
        <v>5.6</v>
      </c>
      <c r="J31" s="785" t="s">
        <v>61</v>
      </c>
      <c r="K31" s="785" t="s">
        <v>1061</v>
      </c>
      <c r="L31" s="16"/>
      <c r="M31" s="749"/>
      <c r="N31" s="749"/>
      <c r="O31" s="217"/>
      <c r="P31" s="3"/>
      <c r="Q31" s="3"/>
      <c r="R31" s="3"/>
      <c r="S31" s="3"/>
      <c r="T31" s="3"/>
      <c r="U31" s="3"/>
      <c r="V31" s="3"/>
      <c r="W31" s="3"/>
      <c r="X31" s="3"/>
      <c r="Y31" s="3"/>
      <c r="Z31" s="3"/>
    </row>
    <row r="32" spans="1:26" ht="15.75" customHeight="1" x14ac:dyDescent="0.2">
      <c r="A32" s="3"/>
      <c r="B32" s="2"/>
      <c r="C32" s="749" t="s">
        <v>1028</v>
      </c>
      <c r="D32" s="2"/>
      <c r="E32" s="2"/>
      <c r="F32" s="847">
        <v>3</v>
      </c>
      <c r="G32" s="838" t="s">
        <v>61</v>
      </c>
      <c r="H32" s="837"/>
      <c r="I32" s="496">
        <f>0.8*I33</f>
        <v>5.36</v>
      </c>
      <c r="J32" s="838" t="s">
        <v>61</v>
      </c>
      <c r="K32" s="393" t="s">
        <v>296</v>
      </c>
      <c r="L32" s="16" t="s">
        <v>50</v>
      </c>
      <c r="M32" s="114"/>
      <c r="N32" s="9"/>
      <c r="O32" s="221"/>
      <c r="P32" s="3"/>
      <c r="Q32" s="3"/>
      <c r="R32" s="3"/>
      <c r="S32" s="3"/>
      <c r="T32" s="3"/>
      <c r="U32" s="3"/>
      <c r="V32" s="3"/>
      <c r="W32" s="3"/>
      <c r="X32" s="3"/>
      <c r="Y32" s="3"/>
      <c r="Z32" s="3"/>
    </row>
    <row r="33" spans="1:26" ht="15.75" customHeight="1" x14ac:dyDescent="0.2">
      <c r="A33" s="3"/>
      <c r="B33" s="2"/>
      <c r="C33" s="393" t="s">
        <v>1030</v>
      </c>
      <c r="D33" s="2"/>
      <c r="E33" s="2"/>
      <c r="F33" s="838"/>
      <c r="G33" s="838"/>
      <c r="H33" s="837"/>
      <c r="I33" s="470">
        <v>6.7</v>
      </c>
      <c r="J33" s="838" t="s">
        <v>61</v>
      </c>
      <c r="K33" s="393" t="s">
        <v>1070</v>
      </c>
      <c r="L33" s="16" t="s">
        <v>50</v>
      </c>
      <c r="M33" s="99"/>
      <c r="N33" s="9"/>
      <c r="O33" s="217"/>
      <c r="P33" s="3"/>
      <c r="Q33" s="3"/>
      <c r="R33" s="3"/>
      <c r="S33" s="3"/>
      <c r="T33" s="3"/>
      <c r="U33" s="3"/>
      <c r="V33" s="3"/>
      <c r="W33" s="3"/>
      <c r="X33" s="3"/>
      <c r="Y33" s="3"/>
      <c r="Z33" s="3"/>
    </row>
    <row r="34" spans="1:26" ht="15.75" customHeight="1" x14ac:dyDescent="0.2">
      <c r="A34" s="3"/>
      <c r="B34" s="2"/>
      <c r="C34" s="393" t="s">
        <v>68</v>
      </c>
      <c r="D34" s="2"/>
      <c r="E34" s="2"/>
      <c r="F34" s="450">
        <v>0.01</v>
      </c>
      <c r="G34" s="838" t="s">
        <v>69</v>
      </c>
      <c r="H34" s="837"/>
      <c r="I34" s="465"/>
      <c r="J34" s="838"/>
      <c r="K34" s="393" t="s">
        <v>70</v>
      </c>
      <c r="L34" s="16" t="s">
        <v>50</v>
      </c>
      <c r="M34" s="7"/>
      <c r="N34" s="9"/>
      <c r="O34" s="221"/>
      <c r="P34" s="3"/>
      <c r="Q34" s="3"/>
      <c r="R34" s="3"/>
      <c r="S34" s="3"/>
      <c r="T34" s="3"/>
      <c r="U34" s="3"/>
      <c r="V34" s="3"/>
      <c r="W34" s="3"/>
      <c r="X34" s="3"/>
      <c r="Y34" s="3"/>
      <c r="Z34" s="3"/>
    </row>
    <row r="35" spans="1:26" ht="15.75" customHeight="1" x14ac:dyDescent="0.2">
      <c r="A35" s="3"/>
      <c r="B35" s="2"/>
      <c r="C35" s="393" t="s">
        <v>71</v>
      </c>
      <c r="D35" s="2"/>
      <c r="E35" s="2"/>
      <c r="F35" s="466"/>
      <c r="G35" s="838"/>
      <c r="H35" s="837"/>
      <c r="I35" s="450">
        <v>0.05</v>
      </c>
      <c r="J35" s="838" t="s">
        <v>69</v>
      </c>
      <c r="K35" s="393" t="s">
        <v>327</v>
      </c>
      <c r="L35" s="16" t="s">
        <v>50</v>
      </c>
      <c r="M35" s="77"/>
      <c r="N35" s="9"/>
      <c r="O35" s="221"/>
      <c r="P35" s="3"/>
      <c r="Q35" s="3"/>
      <c r="R35" s="3"/>
      <c r="S35" s="3"/>
      <c r="T35" s="3"/>
      <c r="U35" s="3"/>
      <c r="V35" s="3"/>
      <c r="W35" s="3"/>
      <c r="X35" s="3"/>
      <c r="Y35" s="3"/>
      <c r="Z35" s="3"/>
    </row>
    <row r="36" spans="1:26" ht="15.75" customHeight="1" x14ac:dyDescent="0.2">
      <c r="A36" s="3"/>
      <c r="B36" s="2"/>
      <c r="C36" s="393" t="s">
        <v>73</v>
      </c>
      <c r="D36" s="2"/>
      <c r="E36" s="2"/>
      <c r="F36" s="467">
        <v>0.22500000000000001</v>
      </c>
      <c r="G36" s="785" t="s">
        <v>69</v>
      </c>
      <c r="H36" s="53"/>
      <c r="I36" s="467">
        <v>0.15</v>
      </c>
      <c r="J36" s="785" t="s">
        <v>69</v>
      </c>
      <c r="K36" s="460" t="s">
        <v>297</v>
      </c>
      <c r="L36" s="85" t="s">
        <v>50</v>
      </c>
      <c r="M36" s="108"/>
      <c r="N36" s="58"/>
      <c r="O36" s="221"/>
      <c r="P36" s="3"/>
      <c r="Q36" s="3"/>
      <c r="R36" s="3"/>
      <c r="S36" s="3"/>
      <c r="T36" s="3"/>
      <c r="U36" s="3"/>
      <c r="V36" s="3"/>
      <c r="W36" s="3"/>
      <c r="X36" s="3"/>
      <c r="Y36" s="3"/>
      <c r="Z36" s="3"/>
    </row>
    <row r="37" spans="1:26" ht="15.75" customHeight="1" x14ac:dyDescent="0.2">
      <c r="A37" s="3"/>
      <c r="B37" s="2"/>
      <c r="C37" s="561" t="s">
        <v>852</v>
      </c>
      <c r="D37" s="2"/>
      <c r="E37" s="2"/>
      <c r="F37" s="564">
        <v>0</v>
      </c>
      <c r="G37" s="785" t="s">
        <v>487</v>
      </c>
      <c r="H37" s="53"/>
      <c r="I37" s="565">
        <v>3</v>
      </c>
      <c r="J37" s="785" t="s">
        <v>487</v>
      </c>
      <c r="K37" s="460" t="s">
        <v>12</v>
      </c>
      <c r="L37" s="110"/>
      <c r="M37" s="108"/>
      <c r="N37" s="9"/>
      <c r="O37" s="221"/>
      <c r="P37" s="3"/>
      <c r="Q37" s="3"/>
      <c r="R37" s="3"/>
      <c r="S37" s="3"/>
      <c r="T37" s="3"/>
      <c r="U37" s="3"/>
      <c r="V37" s="3"/>
      <c r="W37" s="3"/>
      <c r="X37" s="3"/>
      <c r="Y37" s="3"/>
      <c r="Z37" s="3"/>
    </row>
    <row r="38" spans="1:26" ht="15.75" customHeight="1" x14ac:dyDescent="0.2">
      <c r="A38" s="3"/>
      <c r="B38" s="2"/>
      <c r="C38" s="561" t="s">
        <v>850</v>
      </c>
      <c r="D38" s="2"/>
      <c r="E38" s="2"/>
      <c r="F38" s="467">
        <v>0</v>
      </c>
      <c r="G38" s="785" t="s">
        <v>851</v>
      </c>
      <c r="H38" s="53"/>
      <c r="I38" s="468">
        <f>(F36-I36)/I37</f>
        <v>2.5000000000000005E-2</v>
      </c>
      <c r="J38" s="785" t="s">
        <v>851</v>
      </c>
      <c r="K38" s="460"/>
      <c r="L38" s="110"/>
      <c r="M38" s="108"/>
      <c r="N38" s="9"/>
      <c r="O38" s="221"/>
      <c r="P38" s="3"/>
      <c r="Q38" s="3"/>
      <c r="R38" s="3"/>
      <c r="S38" s="3"/>
      <c r="T38" s="3"/>
      <c r="U38" s="3"/>
      <c r="V38" s="3"/>
      <c r="W38" s="3"/>
      <c r="X38" s="3"/>
      <c r="Y38" s="3"/>
      <c r="Z38" s="3"/>
    </row>
    <row r="39" spans="1:26" ht="15.75" customHeight="1" x14ac:dyDescent="0.2">
      <c r="A39" s="3"/>
      <c r="B39" s="447"/>
      <c r="C39" s="453"/>
      <c r="D39" s="447"/>
      <c r="E39" s="447"/>
      <c r="F39" s="750"/>
      <c r="G39" s="750"/>
      <c r="H39" s="750"/>
      <c r="I39" s="750"/>
      <c r="J39" s="750"/>
      <c r="K39" s="447"/>
      <c r="L39" s="3"/>
      <c r="M39" s="3"/>
      <c r="N39" s="3"/>
      <c r="O39" s="218"/>
      <c r="P39" s="3"/>
      <c r="Q39" s="3"/>
      <c r="R39" s="3"/>
      <c r="S39" s="3"/>
      <c r="T39" s="3"/>
      <c r="U39" s="3"/>
      <c r="V39" s="3"/>
      <c r="W39" s="3"/>
      <c r="X39" s="3"/>
      <c r="Y39" s="3"/>
      <c r="Z39" s="3"/>
    </row>
    <row r="40" spans="1:26" ht="15.75" customHeight="1" x14ac:dyDescent="0.2">
      <c r="A40" s="3"/>
      <c r="B40" s="392" t="s">
        <v>76</v>
      </c>
      <c r="C40" s="393"/>
      <c r="D40" s="2"/>
      <c r="E40" s="2"/>
      <c r="F40" s="837"/>
      <c r="G40" s="837"/>
      <c r="H40" s="837"/>
      <c r="I40" s="837"/>
      <c r="J40" s="837"/>
      <c r="K40" s="2"/>
      <c r="L40" s="16" t="s">
        <v>50</v>
      </c>
      <c r="M40" s="53"/>
      <c r="N40" s="2"/>
      <c r="O40" s="217"/>
      <c r="P40" s="3"/>
      <c r="Q40" s="3"/>
      <c r="R40" s="3"/>
      <c r="S40" s="3"/>
      <c r="T40" s="3"/>
      <c r="U40" s="3"/>
      <c r="V40" s="3"/>
      <c r="W40" s="3"/>
      <c r="X40" s="3"/>
      <c r="Y40" s="3"/>
      <c r="Z40" s="3"/>
    </row>
    <row r="41" spans="1:26" ht="15.75" customHeight="1" x14ac:dyDescent="0.2">
      <c r="A41" s="3"/>
      <c r="B41" s="2"/>
      <c r="C41" s="393" t="s">
        <v>272</v>
      </c>
      <c r="D41" s="2"/>
      <c r="E41" s="2"/>
      <c r="F41" s="532">
        <v>8.57571751189667</v>
      </c>
      <c r="G41" s="838" t="s">
        <v>329</v>
      </c>
      <c r="H41" s="837" t="s">
        <v>601</v>
      </c>
      <c r="I41" s="470">
        <v>10</v>
      </c>
      <c r="J41" s="838" t="s">
        <v>329</v>
      </c>
      <c r="K41" s="393" t="s">
        <v>750</v>
      </c>
      <c r="L41" s="16" t="s">
        <v>50</v>
      </c>
      <c r="M41" s="223"/>
      <c r="N41" s="9"/>
      <c r="O41" s="221"/>
      <c r="P41" s="3"/>
      <c r="Q41" s="3"/>
      <c r="R41" s="3"/>
      <c r="S41" s="3"/>
      <c r="T41" s="3"/>
      <c r="U41" s="3"/>
      <c r="V41" s="3"/>
      <c r="W41" s="3"/>
      <c r="X41" s="3"/>
      <c r="Y41" s="3"/>
      <c r="Z41" s="3"/>
    </row>
    <row r="42" spans="1:26" ht="15.75" customHeight="1" x14ac:dyDescent="0.2">
      <c r="A42" s="3"/>
      <c r="B42" s="2"/>
      <c r="C42" s="460" t="s">
        <v>273</v>
      </c>
      <c r="D42" s="2"/>
      <c r="E42" s="2"/>
      <c r="F42" s="533">
        <v>10.361156502242153</v>
      </c>
      <c r="G42" s="838" t="s">
        <v>329</v>
      </c>
      <c r="H42" s="837" t="s">
        <v>601</v>
      </c>
      <c r="I42" s="470">
        <v>25</v>
      </c>
      <c r="J42" s="838" t="s">
        <v>329</v>
      </c>
      <c r="K42" s="393" t="s">
        <v>751</v>
      </c>
      <c r="L42" s="16" t="s">
        <v>50</v>
      </c>
      <c r="M42" s="224"/>
      <c r="N42" s="9"/>
      <c r="O42" s="221"/>
      <c r="P42" s="3"/>
      <c r="Q42" s="3"/>
      <c r="R42" s="3"/>
      <c r="S42" s="3"/>
      <c r="T42" s="3"/>
      <c r="U42" s="3"/>
      <c r="V42" s="3"/>
      <c r="W42" s="3"/>
      <c r="X42" s="3"/>
      <c r="Y42" s="3"/>
      <c r="Z42" s="3"/>
    </row>
    <row r="43" spans="1:26" ht="12.75" x14ac:dyDescent="0.2">
      <c r="A43" s="3"/>
      <c r="B43" s="2"/>
      <c r="C43" s="460" t="s">
        <v>274</v>
      </c>
      <c r="D43" s="2"/>
      <c r="E43" s="2"/>
      <c r="F43" s="533">
        <v>19.569395473595975</v>
      </c>
      <c r="G43" s="838" t="s">
        <v>329</v>
      </c>
      <c r="H43" s="837" t="s">
        <v>601</v>
      </c>
      <c r="I43" s="470">
        <v>25</v>
      </c>
      <c r="J43" s="838" t="s">
        <v>329</v>
      </c>
      <c r="K43" s="393" t="s">
        <v>750</v>
      </c>
      <c r="L43" s="16" t="s">
        <v>50</v>
      </c>
      <c r="M43" s="96"/>
      <c r="N43" s="9"/>
      <c r="O43" s="221"/>
      <c r="P43" s="3"/>
      <c r="Q43" s="3"/>
      <c r="R43" s="3"/>
      <c r="S43" s="3"/>
      <c r="T43" s="3"/>
      <c r="U43" s="3"/>
      <c r="V43" s="3"/>
      <c r="W43" s="3"/>
      <c r="X43" s="3"/>
      <c r="Y43" s="3"/>
      <c r="Z43" s="3"/>
    </row>
    <row r="44" spans="1:26" ht="12.75" x14ac:dyDescent="0.2">
      <c r="A44" s="3"/>
      <c r="B44" s="2"/>
      <c r="C44" s="460" t="s">
        <v>275</v>
      </c>
      <c r="D44" s="2"/>
      <c r="E44" s="2"/>
      <c r="F44" s="526">
        <v>18.793233447927197</v>
      </c>
      <c r="G44" s="838" t="s">
        <v>329</v>
      </c>
      <c r="H44" s="837" t="s">
        <v>601</v>
      </c>
      <c r="I44" s="471">
        <v>30</v>
      </c>
      <c r="J44" s="838" t="s">
        <v>329</v>
      </c>
      <c r="K44" s="393" t="s">
        <v>856</v>
      </c>
      <c r="L44" s="16" t="s">
        <v>50</v>
      </c>
      <c r="M44" s="100"/>
      <c r="N44" s="9"/>
      <c r="O44" s="221"/>
      <c r="P44" s="3"/>
      <c r="Q44" s="3"/>
      <c r="R44" s="3"/>
      <c r="S44" s="3"/>
      <c r="T44" s="3"/>
      <c r="U44" s="3"/>
      <c r="V44" s="3"/>
      <c r="W44" s="3"/>
      <c r="X44" s="3"/>
      <c r="Y44" s="3"/>
      <c r="Z44" s="3"/>
    </row>
    <row r="45" spans="1:26" ht="12.75" x14ac:dyDescent="0.2">
      <c r="A45" s="3"/>
      <c r="B45" s="2"/>
      <c r="C45" s="460" t="s">
        <v>290</v>
      </c>
      <c r="D45" s="2"/>
      <c r="E45" s="2"/>
      <c r="F45" s="526">
        <v>4.6461538461538456</v>
      </c>
      <c r="G45" s="838" t="s">
        <v>329</v>
      </c>
      <c r="H45" s="837" t="s">
        <v>601</v>
      </c>
      <c r="I45" s="471">
        <v>7</v>
      </c>
      <c r="J45" s="838" t="s">
        <v>329</v>
      </c>
      <c r="K45" s="393" t="s">
        <v>294</v>
      </c>
      <c r="L45" s="85"/>
      <c r="M45" s="100"/>
      <c r="N45" s="58"/>
      <c r="O45" s="221"/>
      <c r="P45" s="3"/>
      <c r="Q45" s="3"/>
      <c r="R45" s="3"/>
      <c r="S45" s="3"/>
      <c r="T45" s="3"/>
      <c r="U45" s="3"/>
      <c r="V45" s="3"/>
      <c r="W45" s="3"/>
      <c r="X45" s="3"/>
      <c r="Y45" s="3"/>
      <c r="Z45" s="3"/>
    </row>
    <row r="46" spans="1:26" ht="12.75" x14ac:dyDescent="0.2">
      <c r="A46" s="3"/>
      <c r="B46" s="2"/>
      <c r="C46" s="460" t="s">
        <v>277</v>
      </c>
      <c r="D46" s="2"/>
      <c r="E46" s="2"/>
      <c r="F46" s="534">
        <v>73.04895008073818</v>
      </c>
      <c r="G46" s="838" t="s">
        <v>329</v>
      </c>
      <c r="H46" s="837" t="s">
        <v>601</v>
      </c>
      <c r="I46" s="471">
        <v>73</v>
      </c>
      <c r="J46" s="838" t="s">
        <v>329</v>
      </c>
      <c r="K46" s="460"/>
      <c r="L46" s="85"/>
      <c r="M46" s="100"/>
      <c r="N46" s="58"/>
      <c r="O46" s="221"/>
      <c r="P46" s="3"/>
      <c r="Q46" s="3"/>
      <c r="R46" s="3"/>
      <c r="S46" s="3"/>
      <c r="T46" s="3"/>
      <c r="U46" s="3"/>
      <c r="V46" s="3"/>
      <c r="W46" s="3"/>
      <c r="X46" s="3"/>
      <c r="Y46" s="3"/>
      <c r="Z46" s="3"/>
    </row>
    <row r="47" spans="1:26" ht="12.75" x14ac:dyDescent="0.2">
      <c r="A47" s="3"/>
      <c r="B47" s="2"/>
      <c r="C47" s="460" t="s">
        <v>276</v>
      </c>
      <c r="D47" s="2"/>
      <c r="E47" s="2"/>
      <c r="F47" s="847">
        <v>0</v>
      </c>
      <c r="G47" s="838" t="s">
        <v>86</v>
      </c>
      <c r="H47" s="837"/>
      <c r="I47" s="459">
        <v>30</v>
      </c>
      <c r="J47" s="838" t="s">
        <v>86</v>
      </c>
      <c r="K47" s="393" t="s">
        <v>845</v>
      </c>
      <c r="L47" s="16" t="s">
        <v>50</v>
      </c>
      <c r="M47" s="9"/>
      <c r="N47" s="9"/>
      <c r="O47" s="221"/>
      <c r="P47" s="3"/>
      <c r="Q47" s="3"/>
      <c r="R47" s="3"/>
      <c r="S47" s="3"/>
      <c r="T47" s="3"/>
      <c r="U47" s="3"/>
      <c r="V47" s="3"/>
      <c r="W47" s="3"/>
      <c r="X47" s="3"/>
      <c r="Y47" s="3"/>
      <c r="Z47" s="3"/>
    </row>
    <row r="48" spans="1:26" ht="12.75" x14ac:dyDescent="0.2">
      <c r="A48" s="3"/>
      <c r="B48" s="2"/>
      <c r="C48" s="391" t="s">
        <v>757</v>
      </c>
      <c r="D48" s="2"/>
      <c r="E48" s="2"/>
      <c r="F48" s="847">
        <v>0</v>
      </c>
      <c r="G48" s="838" t="s">
        <v>487</v>
      </c>
      <c r="H48" s="837"/>
      <c r="I48" s="459">
        <v>4</v>
      </c>
      <c r="J48" s="838" t="s">
        <v>487</v>
      </c>
      <c r="K48" s="393"/>
      <c r="L48" s="16"/>
      <c r="M48" s="9"/>
      <c r="N48" s="9"/>
      <c r="O48" s="221"/>
      <c r="P48" s="3"/>
      <c r="Q48" s="3"/>
      <c r="R48" s="3"/>
      <c r="S48" s="3"/>
      <c r="T48" s="3"/>
      <c r="U48" s="3"/>
      <c r="V48" s="3"/>
      <c r="W48" s="3"/>
      <c r="X48" s="3"/>
      <c r="Y48" s="3"/>
      <c r="Z48" s="3"/>
    </row>
    <row r="49" spans="1:26" ht="12.75" x14ac:dyDescent="0.2">
      <c r="A49" s="3"/>
      <c r="B49" s="2"/>
      <c r="C49" s="460" t="s">
        <v>206</v>
      </c>
      <c r="D49" s="2"/>
      <c r="E49" s="2"/>
      <c r="F49" s="477">
        <v>1471</v>
      </c>
      <c r="G49" s="838" t="s">
        <v>87</v>
      </c>
      <c r="H49" s="753"/>
      <c r="I49" s="474">
        <f t="shared" ref="I49:I54" si="0">F49</f>
        <v>1471</v>
      </c>
      <c r="J49" s="838" t="s">
        <v>87</v>
      </c>
      <c r="K49" s="393" t="s">
        <v>750</v>
      </c>
      <c r="L49" s="19"/>
      <c r="M49" s="50"/>
      <c r="N49" s="9"/>
      <c r="O49" s="221"/>
      <c r="P49" s="3"/>
      <c r="Q49" s="3"/>
      <c r="R49" s="3"/>
      <c r="S49" s="3"/>
      <c r="T49" s="3"/>
      <c r="U49" s="3"/>
      <c r="V49" s="3"/>
      <c r="W49" s="3"/>
      <c r="X49" s="3"/>
      <c r="Y49" s="3"/>
      <c r="Z49" s="3"/>
    </row>
    <row r="50" spans="1:26" ht="12.75" x14ac:dyDescent="0.2">
      <c r="A50" s="3"/>
      <c r="B50" s="2"/>
      <c r="C50" s="460" t="s">
        <v>205</v>
      </c>
      <c r="D50" s="2"/>
      <c r="E50" s="2"/>
      <c r="F50" s="477">
        <v>892</v>
      </c>
      <c r="G50" s="838" t="s">
        <v>87</v>
      </c>
      <c r="H50" s="753"/>
      <c r="I50" s="474">
        <f t="shared" si="0"/>
        <v>892</v>
      </c>
      <c r="J50" s="838" t="s">
        <v>87</v>
      </c>
      <c r="K50" s="393" t="s">
        <v>750</v>
      </c>
      <c r="L50" s="16" t="s">
        <v>50</v>
      </c>
      <c r="M50" s="50"/>
      <c r="N50" s="9"/>
      <c r="O50" s="221"/>
      <c r="P50" s="3"/>
      <c r="Q50" s="3"/>
      <c r="R50" s="3"/>
      <c r="S50" s="3"/>
      <c r="T50" s="3"/>
      <c r="U50" s="3"/>
      <c r="V50" s="3"/>
      <c r="W50" s="3"/>
      <c r="X50" s="3"/>
      <c r="Y50" s="3"/>
      <c r="Z50" s="3"/>
    </row>
    <row r="51" spans="1:26" ht="12.75" x14ac:dyDescent="0.2">
      <c r="A51" s="3"/>
      <c r="B51" s="2"/>
      <c r="C51" s="460" t="s">
        <v>203</v>
      </c>
      <c r="D51" s="2"/>
      <c r="E51" s="2"/>
      <c r="F51" s="469">
        <v>1193</v>
      </c>
      <c r="G51" s="785" t="s">
        <v>87</v>
      </c>
      <c r="H51" s="753"/>
      <c r="I51" s="474">
        <f t="shared" si="0"/>
        <v>1193</v>
      </c>
      <c r="J51" s="785" t="s">
        <v>87</v>
      </c>
      <c r="K51" s="393" t="s">
        <v>750</v>
      </c>
      <c r="L51" s="85"/>
      <c r="M51" s="98"/>
      <c r="N51" s="9"/>
      <c r="O51" s="221"/>
      <c r="P51" s="3"/>
      <c r="Q51" s="3"/>
      <c r="R51" s="3"/>
      <c r="S51" s="3"/>
      <c r="T51" s="3"/>
      <c r="U51" s="3"/>
      <c r="V51" s="3"/>
      <c r="W51" s="3"/>
      <c r="X51" s="3"/>
      <c r="Y51" s="3"/>
      <c r="Z51" s="3"/>
    </row>
    <row r="52" spans="1:26" ht="12.75" x14ac:dyDescent="0.2">
      <c r="A52" s="3"/>
      <c r="B52" s="2"/>
      <c r="C52" s="460" t="s">
        <v>204</v>
      </c>
      <c r="D52" s="2"/>
      <c r="E52" s="2"/>
      <c r="F52" s="477">
        <v>989</v>
      </c>
      <c r="G52" s="838" t="s">
        <v>87</v>
      </c>
      <c r="H52" s="753"/>
      <c r="I52" s="474">
        <f t="shared" si="0"/>
        <v>989</v>
      </c>
      <c r="J52" s="838" t="s">
        <v>87</v>
      </c>
      <c r="K52" s="393" t="s">
        <v>750</v>
      </c>
      <c r="L52" s="16"/>
      <c r="M52" s="50"/>
      <c r="N52" s="9"/>
      <c r="O52" s="221"/>
      <c r="P52" s="3"/>
      <c r="Q52" s="3"/>
      <c r="R52" s="3"/>
      <c r="S52" s="3"/>
      <c r="T52" s="3"/>
      <c r="U52" s="3"/>
      <c r="V52" s="3"/>
      <c r="W52" s="3"/>
      <c r="X52" s="3"/>
      <c r="Y52" s="3"/>
      <c r="Z52" s="3"/>
    </row>
    <row r="53" spans="1:26" ht="12.75" x14ac:dyDescent="0.2">
      <c r="A53" s="3"/>
      <c r="B53" s="2"/>
      <c r="C53" s="460" t="s">
        <v>291</v>
      </c>
      <c r="D53" s="2"/>
      <c r="E53" s="2"/>
      <c r="F53" s="477">
        <v>1235</v>
      </c>
      <c r="G53" s="838" t="s">
        <v>87</v>
      </c>
      <c r="H53" s="753"/>
      <c r="I53" s="474">
        <f t="shared" si="0"/>
        <v>1235</v>
      </c>
      <c r="J53" s="838" t="s">
        <v>87</v>
      </c>
      <c r="K53" s="393" t="s">
        <v>294</v>
      </c>
      <c r="L53" s="16"/>
      <c r="M53" s="50"/>
      <c r="N53" s="9"/>
      <c r="O53" s="221"/>
      <c r="P53" s="3"/>
      <c r="Q53" s="3"/>
      <c r="R53" s="3"/>
      <c r="S53" s="3"/>
      <c r="T53" s="3"/>
      <c r="U53" s="3"/>
      <c r="V53" s="3"/>
      <c r="W53" s="3"/>
      <c r="X53" s="3"/>
      <c r="Y53" s="3"/>
      <c r="Z53" s="3"/>
    </row>
    <row r="54" spans="1:26" ht="12.75" x14ac:dyDescent="0.2">
      <c r="A54" s="3"/>
      <c r="B54" s="2"/>
      <c r="C54" s="460" t="s">
        <v>271</v>
      </c>
      <c r="D54" s="2"/>
      <c r="E54" s="2"/>
      <c r="F54" s="476">
        <f>AVERAGE(F49:F53)*0.75</f>
        <v>867</v>
      </c>
      <c r="G54" s="785" t="s">
        <v>87</v>
      </c>
      <c r="H54" s="753"/>
      <c r="I54" s="474">
        <f t="shared" si="0"/>
        <v>867</v>
      </c>
      <c r="J54" s="785" t="s">
        <v>87</v>
      </c>
      <c r="K54" s="460" t="s">
        <v>600</v>
      </c>
      <c r="L54" s="85"/>
      <c r="M54" s="98"/>
      <c r="N54" s="84"/>
      <c r="O54" s="222"/>
      <c r="P54" s="3"/>
      <c r="Q54" s="3"/>
      <c r="R54" s="3"/>
      <c r="S54" s="3"/>
      <c r="T54" s="3"/>
      <c r="U54" s="3"/>
      <c r="V54" s="3"/>
      <c r="W54" s="3"/>
      <c r="X54" s="3"/>
      <c r="Y54" s="3"/>
      <c r="Z54" s="3"/>
    </row>
    <row r="55" spans="1:26" ht="12.75" x14ac:dyDescent="0.2">
      <c r="A55" s="3"/>
      <c r="B55" s="2"/>
      <c r="C55" s="460" t="s">
        <v>89</v>
      </c>
      <c r="D55" s="2"/>
      <c r="E55" s="2"/>
      <c r="F55" s="759">
        <v>0</v>
      </c>
      <c r="G55" s="752" t="s">
        <v>69</v>
      </c>
      <c r="H55" s="753"/>
      <c r="I55" s="752"/>
      <c r="J55" s="752"/>
      <c r="K55" s="473"/>
      <c r="L55" s="19"/>
      <c r="M55" s="18"/>
      <c r="N55" s="9"/>
      <c r="O55" s="217"/>
      <c r="P55" s="3"/>
      <c r="Q55" s="3"/>
      <c r="R55" s="3"/>
      <c r="S55" s="3"/>
      <c r="T55" s="3"/>
      <c r="U55" s="3"/>
      <c r="V55" s="3"/>
      <c r="W55" s="3"/>
      <c r="X55" s="3"/>
      <c r="Y55" s="3"/>
      <c r="Z55" s="3"/>
    </row>
    <row r="56" spans="1:26" ht="12.75" x14ac:dyDescent="0.2">
      <c r="A56" s="3"/>
      <c r="B56" s="447"/>
      <c r="C56" s="535"/>
      <c r="D56" s="447"/>
      <c r="E56" s="447"/>
      <c r="F56" s="750"/>
      <c r="G56" s="750"/>
      <c r="H56" s="750"/>
      <c r="I56" s="750"/>
      <c r="J56" s="750"/>
      <c r="K56" s="447"/>
      <c r="L56" s="3"/>
      <c r="M56" s="3"/>
      <c r="N56" s="3"/>
      <c r="O56" s="218"/>
      <c r="P56" s="3"/>
      <c r="Q56" s="3"/>
      <c r="R56" s="3"/>
      <c r="S56" s="3"/>
      <c r="T56" s="3"/>
      <c r="U56" s="3"/>
      <c r="V56" s="3"/>
      <c r="W56" s="3"/>
      <c r="X56" s="3"/>
      <c r="Y56" s="3"/>
      <c r="Z56" s="3"/>
    </row>
    <row r="57" spans="1:26" ht="12.75" x14ac:dyDescent="0.2">
      <c r="A57" s="3"/>
      <c r="B57" s="479" t="s">
        <v>215</v>
      </c>
      <c r="C57" s="480"/>
      <c r="D57" s="480"/>
      <c r="E57" s="480"/>
      <c r="F57" s="782"/>
      <c r="G57" s="782"/>
      <c r="H57" s="782"/>
      <c r="I57" s="782"/>
      <c r="J57" s="782"/>
      <c r="K57" s="480"/>
      <c r="L57" s="43"/>
      <c r="M57" s="43"/>
      <c r="N57" s="43"/>
      <c r="O57" s="220"/>
      <c r="P57" s="3"/>
      <c r="Q57" s="447"/>
      <c r="R57" s="3"/>
      <c r="S57" s="3"/>
      <c r="T57" s="3"/>
      <c r="U57" s="3"/>
      <c r="V57" s="3"/>
      <c r="W57" s="3"/>
      <c r="X57" s="3"/>
      <c r="Y57" s="3"/>
      <c r="Z57" s="3"/>
    </row>
    <row r="58" spans="1:26" ht="12.75" x14ac:dyDescent="0.2">
      <c r="A58" s="3"/>
      <c r="B58" s="2"/>
      <c r="C58" s="393" t="s">
        <v>110</v>
      </c>
      <c r="D58" s="2"/>
      <c r="E58" s="2"/>
      <c r="F58" s="481">
        <v>2682</v>
      </c>
      <c r="G58" s="785" t="s">
        <v>111</v>
      </c>
      <c r="H58" s="53"/>
      <c r="I58" s="482">
        <f>F58</f>
        <v>2682</v>
      </c>
      <c r="J58" s="785" t="s">
        <v>111</v>
      </c>
      <c r="K58" s="53" t="s">
        <v>281</v>
      </c>
      <c r="L58" s="85" t="s">
        <v>50</v>
      </c>
      <c r="M58" s="97"/>
      <c r="N58" s="84"/>
      <c r="O58" s="219"/>
      <c r="P58" s="3"/>
      <c r="Q58" s="447"/>
      <c r="R58" s="3"/>
      <c r="S58" s="3"/>
      <c r="T58" s="3"/>
      <c r="U58" s="3"/>
      <c r="V58" s="3"/>
      <c r="W58" s="3"/>
      <c r="X58" s="3"/>
      <c r="Y58" s="3"/>
      <c r="Z58" s="3"/>
    </row>
    <row r="59" spans="1:26" ht="12.75" x14ac:dyDescent="0.2">
      <c r="A59" s="3"/>
      <c r="B59" s="2"/>
      <c r="C59" s="460" t="s">
        <v>286</v>
      </c>
      <c r="D59" s="571"/>
      <c r="E59" s="571"/>
      <c r="F59" s="572">
        <v>0.5</v>
      </c>
      <c r="G59" s="333" t="s">
        <v>759</v>
      </c>
      <c r="H59" s="333" t="s">
        <v>760</v>
      </c>
      <c r="I59" s="483"/>
      <c r="J59" s="785"/>
      <c r="K59" s="53"/>
      <c r="L59" s="85"/>
      <c r="M59" s="97"/>
      <c r="N59" s="84"/>
      <c r="O59" s="219"/>
      <c r="P59" s="3"/>
      <c r="Q59" s="447"/>
      <c r="R59" s="3"/>
      <c r="S59" s="3"/>
      <c r="T59" s="3"/>
      <c r="U59" s="3"/>
      <c r="V59" s="3"/>
      <c r="W59" s="3"/>
      <c r="X59" s="3"/>
      <c r="Y59" s="3"/>
      <c r="Z59" s="3"/>
    </row>
    <row r="60" spans="1:26" ht="12.75" x14ac:dyDescent="0.2">
      <c r="A60" s="3"/>
      <c r="B60" s="2"/>
      <c r="C60" s="393" t="s">
        <v>283</v>
      </c>
      <c r="D60" s="2"/>
      <c r="E60" s="2"/>
      <c r="F60" s="481">
        <v>2478.8235294117649</v>
      </c>
      <c r="G60" s="390" t="s">
        <v>758</v>
      </c>
      <c r="H60" s="405" t="s">
        <v>357</v>
      </c>
      <c r="I60" s="483"/>
      <c r="J60" s="785"/>
      <c r="K60" s="53"/>
      <c r="L60" s="85"/>
      <c r="M60" s="97"/>
      <c r="N60" s="84"/>
      <c r="O60" s="219"/>
      <c r="P60" s="3"/>
      <c r="Q60" s="3"/>
      <c r="R60" s="3"/>
      <c r="S60" s="3"/>
      <c r="T60" s="3"/>
      <c r="U60" s="3"/>
      <c r="V60" s="3"/>
      <c r="W60" s="3"/>
      <c r="X60" s="3"/>
      <c r="Y60" s="3"/>
      <c r="Z60" s="3"/>
    </row>
    <row r="61" spans="1:26" ht="12.75" x14ac:dyDescent="0.2">
      <c r="A61" s="3"/>
      <c r="B61" s="447"/>
      <c r="C61" s="447"/>
      <c r="D61" s="447"/>
      <c r="E61" s="447"/>
      <c r="F61" s="750"/>
      <c r="G61" s="750"/>
      <c r="H61" s="750"/>
      <c r="I61" s="750"/>
      <c r="J61" s="750"/>
      <c r="K61" s="447"/>
      <c r="L61" s="3"/>
      <c r="M61" s="3"/>
      <c r="N61" s="3"/>
      <c r="O61" s="218"/>
      <c r="P61" s="3"/>
      <c r="Q61" s="3"/>
      <c r="R61" s="3"/>
      <c r="S61" s="3"/>
      <c r="T61" s="3"/>
      <c r="U61" s="3"/>
      <c r="V61" s="3"/>
      <c r="W61" s="3"/>
      <c r="X61" s="3"/>
      <c r="Y61" s="3"/>
      <c r="Z61" s="3"/>
    </row>
    <row r="62" spans="1:26" ht="12.75" x14ac:dyDescent="0.2">
      <c r="A62" s="3"/>
      <c r="B62" s="392" t="s">
        <v>91</v>
      </c>
      <c r="C62" s="2"/>
      <c r="D62" s="2"/>
      <c r="E62" s="2"/>
      <c r="F62" s="837"/>
      <c r="G62" s="837"/>
      <c r="H62" s="837"/>
      <c r="I62" s="837"/>
      <c r="J62" s="837"/>
      <c r="K62" s="2"/>
      <c r="L62" s="16" t="s">
        <v>50</v>
      </c>
      <c r="M62" s="2"/>
      <c r="N62" s="2"/>
      <c r="O62" s="217"/>
      <c r="P62" s="3"/>
      <c r="Q62" s="3"/>
      <c r="R62" s="3"/>
      <c r="S62" s="3"/>
      <c r="T62" s="3"/>
      <c r="U62" s="3"/>
      <c r="V62" s="3"/>
      <c r="W62" s="3"/>
      <c r="X62" s="3"/>
      <c r="Y62" s="3"/>
      <c r="Z62" s="3"/>
    </row>
    <row r="63" spans="1:26" ht="12.75" x14ac:dyDescent="0.2">
      <c r="A63" s="3"/>
      <c r="B63" s="2"/>
      <c r="C63" s="393" t="s">
        <v>92</v>
      </c>
      <c r="D63" s="2"/>
      <c r="E63" s="2"/>
      <c r="F63" s="847">
        <v>75</v>
      </c>
      <c r="G63" s="838" t="s">
        <v>93</v>
      </c>
      <c r="H63" s="837"/>
      <c r="I63" s="847">
        <v>0</v>
      </c>
      <c r="J63" s="838" t="s">
        <v>93</v>
      </c>
      <c r="K63" s="393" t="s">
        <v>846</v>
      </c>
      <c r="L63" s="16" t="s">
        <v>50</v>
      </c>
      <c r="M63" s="2"/>
      <c r="N63" s="9"/>
      <c r="O63" s="221"/>
      <c r="P63" s="3"/>
      <c r="Q63" s="3"/>
      <c r="R63" s="3"/>
      <c r="S63" s="3"/>
      <c r="T63" s="3"/>
      <c r="U63" s="3"/>
      <c r="V63" s="3"/>
      <c r="W63" s="3"/>
      <c r="X63" s="3"/>
      <c r="Y63" s="3"/>
      <c r="Z63" s="3"/>
    </row>
    <row r="64" spans="1:26" ht="12.75" x14ac:dyDescent="0.2">
      <c r="A64" s="3"/>
      <c r="B64" s="2"/>
      <c r="C64" s="393" t="s">
        <v>96</v>
      </c>
      <c r="D64" s="2"/>
      <c r="E64" s="2"/>
      <c r="F64" s="847">
        <v>0</v>
      </c>
      <c r="G64" s="838" t="s">
        <v>93</v>
      </c>
      <c r="H64" s="837"/>
      <c r="I64" s="847">
        <v>50</v>
      </c>
      <c r="J64" s="838" t="s">
        <v>93</v>
      </c>
      <c r="K64" s="393" t="s">
        <v>1065</v>
      </c>
      <c r="L64" s="16" t="s">
        <v>50</v>
      </c>
      <c r="M64" s="9"/>
      <c r="N64" s="9"/>
      <c r="O64" s="221"/>
      <c r="P64" s="3"/>
      <c r="Q64" s="3"/>
      <c r="R64" s="3"/>
      <c r="S64" s="3"/>
      <c r="T64" s="3"/>
      <c r="U64" s="3"/>
      <c r="V64" s="3"/>
      <c r="W64" s="3"/>
      <c r="X64" s="3"/>
      <c r="Y64" s="3"/>
      <c r="Z64" s="3"/>
    </row>
    <row r="65" spans="1:26" ht="12.75" x14ac:dyDescent="0.2">
      <c r="A65" s="3"/>
      <c r="B65" s="2"/>
      <c r="C65" s="393" t="s">
        <v>99</v>
      </c>
      <c r="D65" s="2"/>
      <c r="E65" s="2"/>
      <c r="F65" s="470">
        <v>50</v>
      </c>
      <c r="G65" s="785" t="s">
        <v>93</v>
      </c>
      <c r="H65" s="53"/>
      <c r="I65" s="459">
        <v>100</v>
      </c>
      <c r="J65" s="785" t="s">
        <v>93</v>
      </c>
      <c r="K65" s="460" t="s">
        <v>1066</v>
      </c>
      <c r="L65" s="110" t="s">
        <v>50</v>
      </c>
      <c r="M65" s="58"/>
      <c r="N65" s="58"/>
      <c r="O65" s="221"/>
      <c r="P65" s="3"/>
      <c r="Q65" s="3"/>
      <c r="R65" s="3"/>
      <c r="S65" s="3"/>
      <c r="T65" s="3"/>
      <c r="U65" s="3"/>
      <c r="V65" s="3"/>
      <c r="W65" s="3"/>
      <c r="X65" s="3"/>
      <c r="Y65" s="3"/>
      <c r="Z65" s="3"/>
    </row>
    <row r="66" spans="1:26" ht="12.75" x14ac:dyDescent="0.2">
      <c r="A66" s="3"/>
      <c r="B66" s="2"/>
      <c r="C66" s="393" t="s">
        <v>102</v>
      </c>
      <c r="D66" s="2"/>
      <c r="E66" s="2"/>
      <c r="F66" s="533">
        <v>0</v>
      </c>
      <c r="G66" s="785" t="s">
        <v>93</v>
      </c>
      <c r="H66" s="53"/>
      <c r="I66" s="459">
        <v>200</v>
      </c>
      <c r="J66" s="785" t="s">
        <v>93</v>
      </c>
      <c r="K66" s="460" t="s">
        <v>639</v>
      </c>
      <c r="L66" s="110" t="s">
        <v>50</v>
      </c>
      <c r="M66" s="58"/>
      <c r="N66" s="58"/>
      <c r="O66" s="221"/>
      <c r="P66" s="3"/>
      <c r="Q66" s="3"/>
      <c r="R66" s="3"/>
      <c r="S66" s="3"/>
      <c r="T66" s="3"/>
      <c r="U66" s="3"/>
      <c r="V66" s="3"/>
      <c r="W66" s="3"/>
      <c r="X66" s="3"/>
      <c r="Y66" s="3"/>
      <c r="Z66" s="3"/>
    </row>
    <row r="67" spans="1:26" ht="12.75" x14ac:dyDescent="0.2">
      <c r="A67" s="3"/>
      <c r="B67" s="2"/>
      <c r="C67" s="460" t="s">
        <v>834</v>
      </c>
      <c r="D67" s="53"/>
      <c r="E67" s="53"/>
      <c r="F67" s="583"/>
      <c r="G67" s="583"/>
      <c r="H67" s="583"/>
      <c r="I67" s="583"/>
      <c r="J67" s="583"/>
      <c r="K67" s="53"/>
      <c r="L67" s="110"/>
      <c r="M67" s="109"/>
      <c r="N67" s="84"/>
      <c r="O67" s="219"/>
      <c r="P67" s="3"/>
      <c r="Q67" s="3"/>
      <c r="R67" s="3"/>
      <c r="S67" s="3"/>
      <c r="T67" s="3"/>
      <c r="U67" s="3"/>
      <c r="V67" s="3"/>
      <c r="W67" s="3"/>
      <c r="X67" s="3"/>
      <c r="Y67" s="3"/>
      <c r="Z67" s="3"/>
    </row>
    <row r="68" spans="1:26" ht="12.75" x14ac:dyDescent="0.2">
      <c r="A68" s="3"/>
      <c r="B68" s="2"/>
      <c r="C68" s="556" t="s">
        <v>833</v>
      </c>
      <c r="D68" s="53"/>
      <c r="E68" s="53"/>
      <c r="F68" s="536">
        <v>18000</v>
      </c>
      <c r="G68" s="785" t="s">
        <v>835</v>
      </c>
      <c r="H68" s="583"/>
      <c r="I68" s="584">
        <f>F68</f>
        <v>18000</v>
      </c>
      <c r="J68" s="785" t="s">
        <v>835</v>
      </c>
      <c r="K68" s="53" t="s">
        <v>931</v>
      </c>
      <c r="L68" s="110"/>
      <c r="M68" s="109"/>
      <c r="N68" s="84"/>
      <c r="O68" s="219"/>
      <c r="P68" s="3"/>
      <c r="Q68" s="3"/>
      <c r="R68" s="3"/>
      <c r="S68" s="3"/>
      <c r="T68" s="3"/>
      <c r="U68" s="3"/>
      <c r="V68" s="3"/>
      <c r="W68" s="3"/>
      <c r="X68" s="3"/>
      <c r="Y68" s="3"/>
      <c r="Z68" s="3"/>
    </row>
    <row r="69" spans="1:26" ht="12.75" x14ac:dyDescent="0.2">
      <c r="A69" s="3"/>
      <c r="B69" s="2"/>
      <c r="C69" s="556" t="s">
        <v>836</v>
      </c>
      <c r="D69" s="53"/>
      <c r="E69" s="53"/>
      <c r="F69" s="584">
        <f>4/F29</f>
        <v>2</v>
      </c>
      <c r="G69" s="785" t="s">
        <v>66</v>
      </c>
      <c r="H69" s="583"/>
      <c r="I69" s="584">
        <f>F69</f>
        <v>2</v>
      </c>
      <c r="J69" s="785" t="s">
        <v>66</v>
      </c>
      <c r="K69" s="53" t="s">
        <v>962</v>
      </c>
      <c r="L69" s="110"/>
      <c r="M69" s="109"/>
      <c r="N69" s="84"/>
      <c r="O69" s="219"/>
      <c r="P69" s="3"/>
      <c r="Q69" s="3"/>
      <c r="R69" s="3"/>
      <c r="S69" s="3"/>
      <c r="T69" s="3"/>
      <c r="U69" s="3"/>
      <c r="V69" s="3"/>
      <c r="W69" s="3"/>
      <c r="X69" s="3"/>
      <c r="Y69" s="3"/>
      <c r="Z69" s="3"/>
    </row>
    <row r="70" spans="1:26" ht="12.75" x14ac:dyDescent="0.2">
      <c r="A70" s="3"/>
      <c r="B70" s="2"/>
      <c r="C70" s="556" t="s">
        <v>969</v>
      </c>
      <c r="D70" s="53"/>
      <c r="E70" s="53"/>
      <c r="F70" s="585">
        <v>1.1000000000000001</v>
      </c>
      <c r="G70" s="785" t="s">
        <v>1024</v>
      </c>
      <c r="H70" s="53"/>
      <c r="I70" s="586">
        <f>F70</f>
        <v>1.1000000000000001</v>
      </c>
      <c r="J70" s="785" t="s">
        <v>1024</v>
      </c>
      <c r="K70" s="53" t="s">
        <v>1025</v>
      </c>
      <c r="L70" s="110"/>
      <c r="M70" s="109"/>
      <c r="N70" s="84"/>
      <c r="O70" s="219"/>
      <c r="P70" s="3"/>
      <c r="Q70" s="3"/>
      <c r="R70" s="3"/>
      <c r="S70" s="3"/>
      <c r="T70" s="3"/>
      <c r="U70" s="3"/>
      <c r="V70" s="3"/>
      <c r="W70" s="3"/>
      <c r="X70" s="3"/>
      <c r="Y70" s="3"/>
      <c r="Z70" s="3"/>
    </row>
    <row r="71" spans="1:26" ht="12.75" x14ac:dyDescent="0.2">
      <c r="A71" s="3"/>
      <c r="B71" s="2"/>
      <c r="C71" s="556" t="s">
        <v>963</v>
      </c>
      <c r="D71" s="53"/>
      <c r="E71" s="53"/>
      <c r="F71" s="585">
        <v>11</v>
      </c>
      <c r="G71" s="785" t="s">
        <v>970</v>
      </c>
      <c r="H71" s="53"/>
      <c r="I71" s="586">
        <f>F71</f>
        <v>11</v>
      </c>
      <c r="J71" s="785" t="s">
        <v>965</v>
      </c>
      <c r="K71" s="460" t="s">
        <v>964</v>
      </c>
      <c r="L71" s="110"/>
      <c r="M71" s="109"/>
      <c r="N71" s="84"/>
      <c r="O71" s="219"/>
      <c r="P71" s="3"/>
      <c r="Q71" s="3"/>
      <c r="R71" s="3"/>
      <c r="S71" s="3"/>
      <c r="T71" s="3"/>
      <c r="U71" s="3"/>
      <c r="V71" s="3"/>
      <c r="W71" s="3"/>
      <c r="X71" s="3"/>
      <c r="Y71" s="3"/>
      <c r="Z71" s="3"/>
    </row>
    <row r="72" spans="1:26" ht="12.75" x14ac:dyDescent="0.2">
      <c r="A72" s="3"/>
      <c r="B72" s="2"/>
      <c r="C72" s="556" t="s">
        <v>967</v>
      </c>
      <c r="D72" s="53"/>
      <c r="E72" s="53"/>
      <c r="F72" s="585">
        <v>6.5</v>
      </c>
      <c r="G72" s="785" t="s">
        <v>968</v>
      </c>
      <c r="H72" s="53"/>
      <c r="I72" s="586">
        <f>F72</f>
        <v>6.5</v>
      </c>
      <c r="J72" s="785" t="s">
        <v>968</v>
      </c>
      <c r="K72" s="53" t="s">
        <v>971</v>
      </c>
      <c r="L72" s="110"/>
      <c r="M72" s="109"/>
      <c r="N72" s="84"/>
      <c r="O72" s="219"/>
      <c r="P72" s="3"/>
      <c r="Q72" s="3"/>
      <c r="R72" s="3"/>
      <c r="S72" s="3"/>
      <c r="T72" s="3"/>
      <c r="U72" s="3"/>
      <c r="V72" s="3"/>
      <c r="W72" s="3"/>
      <c r="X72" s="3"/>
      <c r="Y72" s="3"/>
      <c r="Z72" s="3"/>
    </row>
    <row r="73" spans="1:26" ht="12.75" x14ac:dyDescent="0.2">
      <c r="A73" s="3"/>
      <c r="B73" s="2"/>
      <c r="C73" s="393" t="s">
        <v>105</v>
      </c>
      <c r="D73" s="2"/>
      <c r="E73" s="2"/>
      <c r="F73" s="847">
        <v>2</v>
      </c>
      <c r="G73" s="838" t="s">
        <v>966</v>
      </c>
      <c r="H73" s="837"/>
      <c r="I73" s="470">
        <v>4</v>
      </c>
      <c r="J73" s="838" t="s">
        <v>966</v>
      </c>
      <c r="K73" s="393" t="s">
        <v>1071</v>
      </c>
      <c r="L73" s="16" t="s">
        <v>50</v>
      </c>
      <c r="M73" s="9"/>
      <c r="N73" s="9"/>
      <c r="O73" s="221"/>
      <c r="P73" s="3"/>
      <c r="Q73" s="3"/>
      <c r="R73" s="3"/>
      <c r="S73" s="3"/>
      <c r="T73" s="3"/>
      <c r="U73" s="3"/>
      <c r="V73" s="3"/>
      <c r="W73" s="3"/>
      <c r="X73" s="3"/>
      <c r="Y73" s="3"/>
      <c r="Z73" s="3"/>
    </row>
    <row r="74" spans="1:26" ht="12.75" x14ac:dyDescent="0.2">
      <c r="A74" s="3"/>
      <c r="B74" s="2"/>
      <c r="C74" s="393" t="s">
        <v>108</v>
      </c>
      <c r="D74" s="2"/>
      <c r="E74" s="2"/>
      <c r="F74" s="847">
        <v>50</v>
      </c>
      <c r="G74" s="838" t="s">
        <v>210</v>
      </c>
      <c r="H74" s="837"/>
      <c r="I74" s="485"/>
      <c r="J74" s="838"/>
      <c r="K74" s="2"/>
      <c r="L74" s="16"/>
      <c r="M74" s="38"/>
      <c r="N74" s="27"/>
      <c r="O74" s="217"/>
      <c r="P74" s="3"/>
      <c r="Q74" s="3"/>
      <c r="R74" s="3"/>
      <c r="S74" s="3"/>
      <c r="T74" s="3"/>
      <c r="U74" s="3"/>
      <c r="V74" s="3"/>
      <c r="W74" s="3"/>
      <c r="X74" s="3"/>
      <c r="Y74" s="3"/>
      <c r="Z74" s="3"/>
    </row>
    <row r="75" spans="1:26" ht="12.75" x14ac:dyDescent="0.2">
      <c r="A75" s="3"/>
      <c r="B75" s="447"/>
      <c r="C75" s="447"/>
      <c r="D75" s="447"/>
      <c r="E75" s="447"/>
      <c r="F75" s="750"/>
      <c r="G75" s="750"/>
      <c r="H75" s="750"/>
      <c r="I75" s="750"/>
      <c r="J75" s="750"/>
      <c r="K75" s="447"/>
      <c r="L75" s="3"/>
      <c r="M75" s="3"/>
      <c r="N75" s="3"/>
      <c r="O75" s="218"/>
      <c r="P75" s="596"/>
      <c r="Q75" s="596"/>
      <c r="R75" s="596"/>
      <c r="S75" s="3"/>
      <c r="T75" s="3"/>
      <c r="U75" s="3"/>
      <c r="V75" s="3"/>
      <c r="W75" s="3"/>
      <c r="X75" s="3"/>
      <c r="Y75" s="3"/>
      <c r="Z75" s="3"/>
    </row>
    <row r="76" spans="1:26" ht="12.75" x14ac:dyDescent="0.2">
      <c r="A76" s="3"/>
      <c r="B76" s="392" t="s">
        <v>109</v>
      </c>
      <c r="C76" s="2"/>
      <c r="D76" s="2"/>
      <c r="E76" s="2"/>
      <c r="F76" s="837"/>
      <c r="G76" s="837"/>
      <c r="H76" s="837"/>
      <c r="I76" s="837"/>
      <c r="J76" s="837"/>
      <c r="K76" s="2"/>
      <c r="L76" s="16" t="s">
        <v>50</v>
      </c>
      <c r="M76" s="2"/>
      <c r="N76" s="2"/>
      <c r="O76" s="217"/>
      <c r="P76" s="596"/>
      <c r="Q76" s="596"/>
      <c r="R76" s="596"/>
      <c r="S76" s="3"/>
      <c r="T76" s="3"/>
      <c r="U76" s="3"/>
      <c r="V76" s="3"/>
      <c r="W76" s="3"/>
      <c r="X76" s="3"/>
      <c r="Y76" s="3"/>
      <c r="Z76" s="3"/>
    </row>
    <row r="77" spans="1:26" ht="12.75" x14ac:dyDescent="0.2">
      <c r="A77" s="3"/>
      <c r="B77" s="2"/>
      <c r="C77" s="393" t="s">
        <v>92</v>
      </c>
      <c r="D77" s="2"/>
      <c r="E77" s="2"/>
      <c r="F77" s="848">
        <f>F93</f>
        <v>60.39</v>
      </c>
      <c r="G77" s="838" t="s">
        <v>113</v>
      </c>
      <c r="H77" s="837"/>
      <c r="I77" s="848">
        <f>I93</f>
        <v>60.39</v>
      </c>
      <c r="J77" s="838" t="s">
        <v>113</v>
      </c>
      <c r="K77" s="2" t="s">
        <v>213</v>
      </c>
      <c r="L77" s="16" t="s">
        <v>50</v>
      </c>
      <c r="M77" s="9"/>
      <c r="N77" s="9"/>
      <c r="O77" s="217"/>
      <c r="P77" s="596"/>
      <c r="Q77" s="596"/>
      <c r="R77" s="596"/>
      <c r="S77" s="3"/>
      <c r="T77" s="3"/>
      <c r="U77" s="3"/>
      <c r="V77" s="3"/>
      <c r="W77" s="3"/>
      <c r="X77" s="3"/>
      <c r="Y77" s="3"/>
      <c r="Z77" s="3"/>
    </row>
    <row r="78" spans="1:26" ht="12.75" x14ac:dyDescent="0.2">
      <c r="A78" s="3"/>
      <c r="B78" s="2"/>
      <c r="C78" s="393" t="s">
        <v>96</v>
      </c>
      <c r="D78" s="2"/>
      <c r="E78" s="2"/>
      <c r="F78" s="847">
        <v>225</v>
      </c>
      <c r="G78" s="838" t="s">
        <v>113</v>
      </c>
      <c r="H78" s="837"/>
      <c r="I78" s="457">
        <f t="shared" ref="I78:I83" si="1">F78</f>
        <v>225</v>
      </c>
      <c r="J78" s="838" t="s">
        <v>113</v>
      </c>
      <c r="K78" s="2" t="s">
        <v>1063</v>
      </c>
      <c r="L78" s="16" t="s">
        <v>50</v>
      </c>
      <c r="M78" s="2"/>
      <c r="N78" s="9"/>
      <c r="O78" s="217"/>
      <c r="P78" s="596"/>
      <c r="Q78" s="596"/>
      <c r="R78" s="596"/>
      <c r="S78" s="3"/>
      <c r="T78" s="3"/>
      <c r="U78" s="3"/>
      <c r="V78" s="3"/>
      <c r="W78" s="3"/>
      <c r="X78" s="3"/>
      <c r="Y78" s="3"/>
      <c r="Z78" s="3"/>
    </row>
    <row r="79" spans="1:26" ht="12.75" x14ac:dyDescent="0.2">
      <c r="A79" s="3"/>
      <c r="B79" s="2"/>
      <c r="C79" s="393" t="s">
        <v>99</v>
      </c>
      <c r="D79" s="2"/>
      <c r="E79" s="2"/>
      <c r="F79" s="823">
        <v>0.60399999999999998</v>
      </c>
      <c r="G79" s="838" t="s">
        <v>1038</v>
      </c>
      <c r="H79" s="837"/>
      <c r="I79" s="848">
        <f t="shared" si="1"/>
        <v>0.60399999999999998</v>
      </c>
      <c r="J79" s="838" t="s">
        <v>1038</v>
      </c>
      <c r="K79" s="749" t="s">
        <v>208</v>
      </c>
      <c r="L79" s="16" t="s">
        <v>50</v>
      </c>
      <c r="M79" s="9"/>
      <c r="N79" s="9"/>
      <c r="O79" s="217"/>
      <c r="P79" s="596"/>
      <c r="Q79" s="596"/>
      <c r="R79" s="596"/>
      <c r="S79" s="3"/>
      <c r="T79" s="3"/>
      <c r="U79" s="3"/>
      <c r="V79" s="3"/>
      <c r="W79" s="3"/>
      <c r="X79" s="3"/>
      <c r="Y79" s="3"/>
      <c r="Z79" s="3"/>
    </row>
    <row r="80" spans="1:26" ht="12.75" x14ac:dyDescent="0.2">
      <c r="A80" s="3"/>
      <c r="B80" s="2"/>
      <c r="C80" s="393" t="s">
        <v>102</v>
      </c>
      <c r="D80" s="2"/>
      <c r="E80" s="2"/>
      <c r="F80" s="847">
        <v>0.60899999999999999</v>
      </c>
      <c r="G80" s="838" t="s">
        <v>1038</v>
      </c>
      <c r="H80" s="837"/>
      <c r="I80" s="848">
        <f t="shared" si="1"/>
        <v>0.60899999999999999</v>
      </c>
      <c r="J80" s="838" t="s">
        <v>1038</v>
      </c>
      <c r="K80" s="749" t="s">
        <v>281</v>
      </c>
      <c r="L80" s="16" t="s">
        <v>50</v>
      </c>
      <c r="M80" s="96"/>
      <c r="N80" s="9"/>
      <c r="O80" s="217"/>
      <c r="P80" s="3"/>
      <c r="Q80" s="3"/>
      <c r="R80" s="3"/>
      <c r="S80" s="3"/>
      <c r="T80" s="3"/>
      <c r="U80" s="3"/>
      <c r="V80" s="3"/>
      <c r="W80" s="3"/>
      <c r="X80" s="3"/>
      <c r="Y80" s="3"/>
      <c r="Z80" s="3"/>
    </row>
    <row r="81" spans="1:26" ht="12.75" x14ac:dyDescent="0.2">
      <c r="A81" s="3"/>
      <c r="B81" s="2"/>
      <c r="C81" s="393" t="s">
        <v>837</v>
      </c>
      <c r="D81" s="2"/>
      <c r="E81" s="2"/>
      <c r="F81" s="536">
        <v>97</v>
      </c>
      <c r="G81" s="838" t="s">
        <v>121</v>
      </c>
      <c r="H81" s="837"/>
      <c r="I81" s="584">
        <f t="shared" si="1"/>
        <v>97</v>
      </c>
      <c r="J81" s="785" t="s">
        <v>280</v>
      </c>
      <c r="K81" s="53" t="s">
        <v>1026</v>
      </c>
      <c r="L81" s="110"/>
      <c r="M81" s="109"/>
      <c r="N81" s="27"/>
      <c r="O81" s="2"/>
      <c r="P81" s="3"/>
      <c r="Q81" s="3"/>
      <c r="R81" s="3"/>
      <c r="S81" s="3"/>
      <c r="T81" s="3"/>
      <c r="U81" s="3"/>
      <c r="V81" s="3"/>
      <c r="W81" s="3"/>
      <c r="X81" s="3"/>
      <c r="Y81" s="3"/>
      <c r="Z81" s="3"/>
    </row>
    <row r="82" spans="1:26" ht="12.75" x14ac:dyDescent="0.2">
      <c r="A82" s="3"/>
      <c r="B82" s="2"/>
      <c r="C82" s="393" t="s">
        <v>105</v>
      </c>
      <c r="D82" s="2"/>
      <c r="E82" s="2"/>
      <c r="F82" s="823">
        <v>5.0780754094198297</v>
      </c>
      <c r="G82" s="838" t="s">
        <v>1039</v>
      </c>
      <c r="H82" s="837"/>
      <c r="I82" s="824">
        <f t="shared" si="1"/>
        <v>5.0780754094198297</v>
      </c>
      <c r="J82" s="838" t="s">
        <v>1039</v>
      </c>
      <c r="K82" s="781" t="s">
        <v>122</v>
      </c>
      <c r="L82" s="16" t="s">
        <v>50</v>
      </c>
      <c r="M82" s="9"/>
      <c r="N82" s="9"/>
      <c r="O82" s="221"/>
      <c r="P82" s="3"/>
      <c r="Q82" s="3"/>
      <c r="R82" s="3"/>
      <c r="S82" s="3"/>
      <c r="T82" s="3"/>
      <c r="U82" s="3"/>
      <c r="V82" s="3"/>
      <c r="W82" s="3"/>
      <c r="X82" s="3"/>
      <c r="Y82" s="3"/>
      <c r="Z82" s="3"/>
    </row>
    <row r="83" spans="1:26" ht="12.75" x14ac:dyDescent="0.2">
      <c r="A83" s="3"/>
      <c r="B83" s="2"/>
      <c r="C83" s="393" t="s">
        <v>108</v>
      </c>
      <c r="D83" s="2"/>
      <c r="E83" s="2"/>
      <c r="F83" s="847">
        <v>100</v>
      </c>
      <c r="G83" s="838" t="s">
        <v>124</v>
      </c>
      <c r="H83" s="837"/>
      <c r="I83" s="848">
        <f t="shared" si="1"/>
        <v>100</v>
      </c>
      <c r="J83" s="838" t="s">
        <v>124</v>
      </c>
      <c r="K83" s="393" t="s">
        <v>126</v>
      </c>
      <c r="L83" s="16" t="s">
        <v>50</v>
      </c>
      <c r="M83" s="9"/>
      <c r="N83" s="9"/>
      <c r="O83" s="221"/>
      <c r="P83" s="3"/>
      <c r="Q83" s="3"/>
      <c r="R83" s="3"/>
      <c r="S83" s="3"/>
      <c r="T83" s="3"/>
      <c r="U83" s="3"/>
      <c r="V83" s="3"/>
      <c r="W83" s="3"/>
      <c r="X83" s="3"/>
      <c r="Y83" s="3"/>
      <c r="Z83" s="3"/>
    </row>
    <row r="84" spans="1:26" ht="12.75" x14ac:dyDescent="0.2">
      <c r="A84" s="3"/>
      <c r="B84" s="2"/>
      <c r="C84" s="393" t="s">
        <v>263</v>
      </c>
      <c r="D84" s="2"/>
      <c r="E84" s="2"/>
      <c r="F84" s="759">
        <v>0</v>
      </c>
      <c r="G84" s="752" t="s">
        <v>69</v>
      </c>
      <c r="H84" s="753"/>
      <c r="I84" s="752"/>
      <c r="J84" s="752"/>
      <c r="K84" s="473"/>
      <c r="L84" s="19"/>
      <c r="M84" s="17"/>
      <c r="N84" s="9"/>
      <c r="O84" s="217"/>
      <c r="P84" s="3"/>
      <c r="Q84" s="3"/>
      <c r="R84" s="3"/>
      <c r="S84" s="3"/>
      <c r="T84" s="3"/>
      <c r="U84" s="3"/>
      <c r="V84" s="3"/>
      <c r="W84" s="3"/>
      <c r="X84" s="3"/>
      <c r="Y84" s="3"/>
      <c r="Z84" s="3"/>
    </row>
    <row r="85" spans="1:26" ht="12.75" x14ac:dyDescent="0.2">
      <c r="A85" s="3"/>
      <c r="B85" s="2"/>
      <c r="C85" s="393" t="s">
        <v>911</v>
      </c>
      <c r="D85" s="2"/>
      <c r="E85" s="2"/>
      <c r="F85" s="759">
        <v>0</v>
      </c>
      <c r="G85" s="752" t="s">
        <v>5</v>
      </c>
      <c r="H85" s="753"/>
      <c r="I85" s="752"/>
      <c r="J85" s="752"/>
      <c r="K85" s="473" t="s">
        <v>912</v>
      </c>
      <c r="L85" s="475"/>
      <c r="M85" s="475"/>
      <c r="N85" s="393"/>
      <c r="O85" s="217"/>
      <c r="P85" s="3"/>
      <c r="Q85" s="3"/>
      <c r="R85" s="3"/>
      <c r="S85" s="3"/>
      <c r="T85" s="3"/>
      <c r="U85" s="3"/>
      <c r="V85" s="3"/>
      <c r="W85" s="3"/>
      <c r="X85" s="3"/>
      <c r="Y85" s="3"/>
      <c r="Z85" s="3"/>
    </row>
    <row r="86" spans="1:26" ht="12.75" x14ac:dyDescent="0.2">
      <c r="A86" s="3"/>
      <c r="B86" s="447"/>
      <c r="C86" s="447"/>
      <c r="D86" s="447"/>
      <c r="E86" s="447"/>
      <c r="F86" s="750"/>
      <c r="G86" s="750"/>
      <c r="H86" s="750"/>
      <c r="I86" s="750"/>
      <c r="J86" s="750"/>
      <c r="K86" s="447"/>
      <c r="L86" s="3"/>
      <c r="M86" s="3"/>
      <c r="N86" s="3"/>
      <c r="O86" s="218"/>
      <c r="P86" s="3"/>
      <c r="Q86" s="3"/>
      <c r="R86" s="3"/>
      <c r="S86" s="3"/>
      <c r="T86" s="3"/>
      <c r="U86" s="3"/>
      <c r="V86" s="3"/>
      <c r="W86" s="3"/>
      <c r="X86" s="3"/>
      <c r="Y86" s="3"/>
      <c r="Z86" s="3"/>
    </row>
    <row r="87" spans="1:26" ht="12.75" x14ac:dyDescent="0.2">
      <c r="A87" s="3"/>
      <c r="B87" s="392" t="s">
        <v>287</v>
      </c>
      <c r="C87" s="20"/>
      <c r="D87" s="2"/>
      <c r="E87" s="2"/>
      <c r="F87" s="837"/>
      <c r="G87" s="838"/>
      <c r="H87" s="837"/>
      <c r="I87" s="837"/>
      <c r="J87" s="838"/>
      <c r="K87" s="2"/>
      <c r="L87" s="16"/>
      <c r="M87" s="2"/>
      <c r="N87" s="9"/>
      <c r="O87" s="217"/>
      <c r="P87" s="3"/>
      <c r="Q87" s="3"/>
      <c r="R87" s="3"/>
      <c r="S87" s="3"/>
      <c r="T87" s="3"/>
      <c r="U87" s="3"/>
      <c r="V87" s="3"/>
      <c r="W87" s="3"/>
      <c r="X87" s="3"/>
      <c r="Y87" s="3"/>
      <c r="Z87" s="3"/>
    </row>
    <row r="88" spans="1:26" ht="12.75" x14ac:dyDescent="0.2">
      <c r="A88" s="3"/>
      <c r="B88" s="2"/>
      <c r="C88" s="393" t="s">
        <v>282</v>
      </c>
      <c r="D88" s="2"/>
      <c r="E88" s="2"/>
      <c r="F88" s="847">
        <f>100/50</f>
        <v>2</v>
      </c>
      <c r="G88" s="785" t="s">
        <v>288</v>
      </c>
      <c r="H88" s="53"/>
      <c r="I88" s="482">
        <f>F88</f>
        <v>2</v>
      </c>
      <c r="J88" s="785" t="s">
        <v>288</v>
      </c>
      <c r="K88" s="53" t="s">
        <v>281</v>
      </c>
      <c r="L88" s="85"/>
      <c r="M88" s="97"/>
      <c r="N88" s="84"/>
      <c r="O88" s="219"/>
      <c r="P88" s="3"/>
      <c r="Q88" s="3"/>
      <c r="R88" s="3"/>
      <c r="S88" s="3"/>
      <c r="T88" s="3"/>
      <c r="U88" s="3"/>
      <c r="V88" s="3"/>
      <c r="W88" s="3"/>
      <c r="X88" s="3"/>
      <c r="Y88" s="3"/>
      <c r="Z88" s="3"/>
    </row>
    <row r="89" spans="1:26" ht="12.75" x14ac:dyDescent="0.2">
      <c r="A89" s="3"/>
      <c r="B89" s="2"/>
      <c r="C89" s="393" t="s">
        <v>284</v>
      </c>
      <c r="D89" s="2"/>
      <c r="E89" s="2"/>
      <c r="F89" s="482">
        <f>988.653594771242/F32</f>
        <v>329.55119825708067</v>
      </c>
      <c r="G89" s="785" t="s">
        <v>288</v>
      </c>
      <c r="H89" s="53"/>
      <c r="I89" s="482">
        <f>F89</f>
        <v>329.55119825708067</v>
      </c>
      <c r="J89" s="785" t="s">
        <v>288</v>
      </c>
      <c r="K89" s="53" t="s">
        <v>281</v>
      </c>
      <c r="L89" s="85"/>
      <c r="M89" s="97"/>
      <c r="N89" s="84"/>
      <c r="O89" s="219"/>
      <c r="P89" s="3"/>
      <c r="Q89" s="3"/>
      <c r="R89" s="3"/>
      <c r="S89" s="3"/>
      <c r="T89" s="3"/>
      <c r="U89" s="3"/>
      <c r="V89" s="3"/>
      <c r="W89" s="3"/>
      <c r="X89" s="3"/>
      <c r="Y89" s="3"/>
      <c r="Z89" s="3"/>
    </row>
    <row r="90" spans="1:26" ht="12.75" x14ac:dyDescent="0.2">
      <c r="A90" s="3"/>
      <c r="B90" s="447"/>
      <c r="C90" s="447"/>
      <c r="D90" s="447"/>
      <c r="E90" s="447"/>
      <c r="F90" s="750"/>
      <c r="G90" s="750"/>
      <c r="H90" s="750"/>
      <c r="I90" s="750"/>
      <c r="J90" s="750"/>
      <c r="K90" s="447"/>
      <c r="L90" s="3"/>
      <c r="M90" s="3"/>
      <c r="N90" s="3"/>
      <c r="O90" s="218"/>
      <c r="P90" s="3"/>
      <c r="Q90" s="3"/>
      <c r="R90" s="3"/>
      <c r="S90" s="3"/>
      <c r="T90" s="3"/>
      <c r="U90" s="3"/>
      <c r="V90" s="3"/>
      <c r="W90" s="3"/>
      <c r="X90" s="3"/>
      <c r="Y90" s="3"/>
      <c r="Z90" s="3"/>
    </row>
    <row r="91" spans="1:26" ht="12.75" x14ac:dyDescent="0.2">
      <c r="A91" s="3"/>
      <c r="B91" s="392" t="s">
        <v>131</v>
      </c>
      <c r="C91" s="2"/>
      <c r="D91" s="2"/>
      <c r="E91" s="2"/>
      <c r="F91" s="838"/>
      <c r="G91" s="837"/>
      <c r="H91" s="837"/>
      <c r="I91" s="837"/>
      <c r="J91" s="837"/>
      <c r="K91" s="2"/>
      <c r="L91" s="16" t="s">
        <v>50</v>
      </c>
      <c r="M91" s="2"/>
      <c r="N91" s="2"/>
      <c r="O91" s="217"/>
      <c r="P91" s="3"/>
      <c r="Q91" s="3"/>
      <c r="R91" s="3"/>
      <c r="S91" s="3"/>
      <c r="T91" s="3"/>
      <c r="U91" s="3"/>
      <c r="V91" s="3"/>
      <c r="W91" s="3"/>
      <c r="X91" s="3"/>
      <c r="Y91" s="3"/>
      <c r="Z91" s="3"/>
    </row>
    <row r="92" spans="1:26" ht="12.75" x14ac:dyDescent="0.2">
      <c r="A92" s="3"/>
      <c r="B92" s="2"/>
      <c r="C92" s="393" t="s">
        <v>132</v>
      </c>
      <c r="D92" s="2"/>
      <c r="E92" s="2"/>
      <c r="F92" s="847">
        <v>62.39</v>
      </c>
      <c r="G92" s="838" t="s">
        <v>113</v>
      </c>
      <c r="H92" s="837"/>
      <c r="I92" s="848">
        <f>F92</f>
        <v>62.39</v>
      </c>
      <c r="J92" s="838" t="s">
        <v>113</v>
      </c>
      <c r="K92" s="393" t="s">
        <v>316</v>
      </c>
      <c r="L92" s="16" t="s">
        <v>50</v>
      </c>
      <c r="M92" s="9"/>
      <c r="N92" s="9"/>
      <c r="O92" s="221"/>
      <c r="P92" s="3"/>
      <c r="Q92" s="3"/>
      <c r="R92" s="3"/>
      <c r="S92" s="3"/>
      <c r="T92" s="3"/>
      <c r="U92" s="3"/>
      <c r="V92" s="3"/>
      <c r="W92" s="3"/>
      <c r="X92" s="3"/>
      <c r="Y92" s="3"/>
      <c r="Z92" s="3"/>
    </row>
    <row r="93" spans="1:26" ht="12.75" x14ac:dyDescent="0.2">
      <c r="A93" s="3"/>
      <c r="B93" s="2"/>
      <c r="C93" s="393" t="s">
        <v>135</v>
      </c>
      <c r="D93" s="2"/>
      <c r="E93" s="2"/>
      <c r="F93" s="474">
        <f>F92-F88</f>
        <v>60.39</v>
      </c>
      <c r="G93" s="838" t="s">
        <v>113</v>
      </c>
      <c r="H93" s="837"/>
      <c r="I93" s="474">
        <f>I92-I88</f>
        <v>60.39</v>
      </c>
      <c r="J93" s="838" t="s">
        <v>113</v>
      </c>
      <c r="K93" s="393"/>
      <c r="L93" s="16"/>
      <c r="M93" s="9"/>
      <c r="N93" s="27"/>
      <c r="O93" s="221"/>
      <c r="P93" s="3"/>
      <c r="Q93" s="3"/>
      <c r="R93" s="3"/>
      <c r="S93" s="3"/>
      <c r="T93" s="3"/>
      <c r="U93" s="3"/>
      <c r="V93" s="3"/>
      <c r="W93" s="3"/>
      <c r="X93" s="3"/>
      <c r="Y93" s="3"/>
      <c r="Z93" s="3"/>
    </row>
    <row r="94" spans="1:26" ht="12.75" x14ac:dyDescent="0.2">
      <c r="A94" s="3"/>
      <c r="B94" s="2"/>
      <c r="C94" s="393" t="s">
        <v>138</v>
      </c>
      <c r="D94" s="2"/>
      <c r="E94" s="2"/>
      <c r="F94" s="847">
        <v>0</v>
      </c>
      <c r="G94" s="838" t="s">
        <v>139</v>
      </c>
      <c r="H94" s="837"/>
      <c r="I94" s="847">
        <v>0</v>
      </c>
      <c r="J94" s="838" t="s">
        <v>139</v>
      </c>
      <c r="K94" s="393" t="s">
        <v>141</v>
      </c>
      <c r="L94" s="16" t="s">
        <v>50</v>
      </c>
      <c r="M94" s="9"/>
      <c r="N94" s="9"/>
      <c r="O94" s="221"/>
      <c r="P94" s="3"/>
      <c r="Q94" s="3"/>
      <c r="R94" s="3"/>
      <c r="S94" s="3"/>
      <c r="T94" s="3"/>
      <c r="U94" s="3"/>
      <c r="V94" s="3"/>
      <c r="W94" s="3"/>
      <c r="X94" s="3"/>
      <c r="Y94" s="3"/>
      <c r="Z94" s="3"/>
    </row>
    <row r="95" spans="1:26" ht="12.75" x14ac:dyDescent="0.2">
      <c r="A95" s="3"/>
      <c r="B95" s="2"/>
      <c r="C95" s="393" t="s">
        <v>142</v>
      </c>
      <c r="D95" s="2"/>
      <c r="E95" s="2"/>
      <c r="F95" s="759">
        <v>0</v>
      </c>
      <c r="G95" s="838" t="s">
        <v>5</v>
      </c>
      <c r="H95" s="837"/>
      <c r="I95" s="752"/>
      <c r="J95" s="838"/>
      <c r="K95" s="2"/>
      <c r="L95" s="16"/>
      <c r="M95" s="17"/>
      <c r="N95" s="8"/>
      <c r="O95" s="217"/>
      <c r="P95" s="3"/>
      <c r="Q95" s="3"/>
      <c r="R95" s="3"/>
      <c r="S95" s="3"/>
      <c r="T95" s="3"/>
      <c r="U95" s="3"/>
      <c r="V95" s="3"/>
      <c r="W95" s="3"/>
      <c r="X95" s="3"/>
      <c r="Y95" s="3"/>
      <c r="Z95" s="3"/>
    </row>
    <row r="96" spans="1:26" ht="12.75" x14ac:dyDescent="0.2">
      <c r="A96" s="3"/>
      <c r="B96" s="447"/>
      <c r="C96" s="447"/>
      <c r="D96" s="447"/>
      <c r="E96" s="447"/>
      <c r="F96" s="750"/>
      <c r="G96" s="750"/>
      <c r="H96" s="750"/>
      <c r="I96" s="750"/>
      <c r="J96" s="750"/>
      <c r="K96" s="447"/>
      <c r="L96" s="3"/>
      <c r="M96" s="3"/>
      <c r="N96" s="3"/>
      <c r="O96" s="218"/>
      <c r="P96" s="3"/>
      <c r="Q96" s="3"/>
      <c r="R96" s="3"/>
      <c r="S96" s="3"/>
      <c r="T96" s="3"/>
      <c r="U96" s="3"/>
      <c r="V96" s="3"/>
      <c r="W96" s="3"/>
      <c r="X96" s="3"/>
      <c r="Y96" s="3"/>
      <c r="Z96" s="3"/>
    </row>
    <row r="97" spans="1:26" ht="12.75" x14ac:dyDescent="0.2">
      <c r="A97" s="3"/>
      <c r="B97" s="392" t="s">
        <v>209</v>
      </c>
      <c r="C97" s="2"/>
      <c r="D97" s="2"/>
      <c r="E97" s="2"/>
      <c r="F97" s="837"/>
      <c r="G97" s="837"/>
      <c r="H97" s="837"/>
      <c r="I97" s="837"/>
      <c r="J97" s="837"/>
      <c r="K97" s="2"/>
      <c r="L97" s="16" t="s">
        <v>50</v>
      </c>
      <c r="M97" s="2"/>
      <c r="N97" s="2"/>
      <c r="O97" s="217"/>
      <c r="P97" s="3"/>
      <c r="Q97" s="3"/>
      <c r="R97" s="3"/>
      <c r="S97" s="3"/>
      <c r="T97" s="3"/>
      <c r="U97" s="3"/>
      <c r="V97" s="3"/>
      <c r="W97" s="3"/>
      <c r="X97" s="3"/>
      <c r="Y97" s="3"/>
      <c r="Z97" s="3"/>
    </row>
    <row r="98" spans="1:26" ht="12.75" x14ac:dyDescent="0.2">
      <c r="A98" s="3"/>
      <c r="B98" s="2"/>
      <c r="C98" s="393" t="s">
        <v>145</v>
      </c>
      <c r="D98" s="2"/>
      <c r="E98" s="2"/>
      <c r="F98" s="847">
        <v>0</v>
      </c>
      <c r="G98" s="838" t="s">
        <v>146</v>
      </c>
      <c r="H98" s="837"/>
      <c r="I98" s="469">
        <v>130000</v>
      </c>
      <c r="J98" s="838" t="s">
        <v>146</v>
      </c>
      <c r="K98" s="2"/>
      <c r="L98" s="16" t="s">
        <v>50</v>
      </c>
      <c r="M98" s="49"/>
      <c r="N98" s="9"/>
      <c r="O98" s="217"/>
      <c r="P98" s="3"/>
      <c r="Q98" s="3"/>
      <c r="R98" s="3"/>
      <c r="S98" s="3"/>
      <c r="T98" s="3"/>
      <c r="U98" s="3"/>
      <c r="V98" s="3"/>
      <c r="W98" s="3"/>
      <c r="X98" s="3"/>
      <c r="Y98" s="3"/>
      <c r="Z98" s="3"/>
    </row>
    <row r="99" spans="1:26" ht="12.75" x14ac:dyDescent="0.2">
      <c r="A99" s="3"/>
      <c r="B99" s="2"/>
      <c r="C99" s="393" t="s">
        <v>148</v>
      </c>
      <c r="D99" s="2"/>
      <c r="E99" s="2"/>
      <c r="F99" s="528">
        <f>EXP((LN(1+F103))/1.5)-1</f>
        <v>9.9999257025800148E-2</v>
      </c>
      <c r="G99" s="838" t="s">
        <v>5</v>
      </c>
      <c r="H99" s="837"/>
      <c r="I99" s="528">
        <f>EXP((LN(1+I103))/1.5)-1</f>
        <v>9.9999257025800148E-2</v>
      </c>
      <c r="J99" s="838" t="s">
        <v>5</v>
      </c>
      <c r="K99" s="2"/>
      <c r="L99" s="16" t="s">
        <v>50</v>
      </c>
      <c r="M99" s="17"/>
      <c r="N99" s="8"/>
      <c r="O99" s="217"/>
      <c r="P99" s="3"/>
      <c r="Q99" s="3"/>
      <c r="R99" s="3"/>
      <c r="S99" s="3"/>
      <c r="T99" s="3"/>
      <c r="U99" s="3"/>
      <c r="V99" s="3"/>
      <c r="W99" s="3"/>
      <c r="X99" s="3"/>
      <c r="Y99" s="3"/>
      <c r="Z99" s="3"/>
    </row>
    <row r="100" spans="1:26" ht="12.75" x14ac:dyDescent="0.2">
      <c r="A100" s="3"/>
      <c r="B100" s="2"/>
      <c r="C100" s="393" t="s">
        <v>151</v>
      </c>
      <c r="D100" s="2"/>
      <c r="E100" s="2"/>
      <c r="F100" s="847">
        <v>5</v>
      </c>
      <c r="G100" s="838" t="s">
        <v>152</v>
      </c>
      <c r="H100" s="837"/>
      <c r="I100" s="847">
        <v>5</v>
      </c>
      <c r="J100" s="838" t="s">
        <v>152</v>
      </c>
      <c r="K100" s="2"/>
      <c r="L100" s="16" t="s">
        <v>50</v>
      </c>
      <c r="M100" s="9"/>
      <c r="N100" s="9"/>
      <c r="O100" s="217"/>
      <c r="P100" s="3"/>
      <c r="Q100" s="3"/>
      <c r="R100" s="3"/>
      <c r="S100" s="3"/>
      <c r="T100" s="3"/>
      <c r="U100" s="3"/>
      <c r="V100" s="3"/>
      <c r="W100" s="3"/>
      <c r="X100" s="3"/>
      <c r="Y100" s="3"/>
      <c r="Z100" s="3"/>
    </row>
    <row r="101" spans="1:26" ht="12.75" x14ac:dyDescent="0.2">
      <c r="A101" s="3"/>
      <c r="B101" s="2"/>
      <c r="C101" s="393" t="s">
        <v>154</v>
      </c>
      <c r="D101" s="2"/>
      <c r="E101" s="2"/>
      <c r="F101" s="847">
        <v>3</v>
      </c>
      <c r="G101" s="838" t="s">
        <v>152</v>
      </c>
      <c r="H101" s="837"/>
      <c r="I101" s="847">
        <v>3</v>
      </c>
      <c r="J101" s="838" t="s">
        <v>152</v>
      </c>
      <c r="K101" s="2"/>
      <c r="L101" s="16" t="s">
        <v>50</v>
      </c>
      <c r="M101" s="9"/>
      <c r="N101" s="9"/>
      <c r="O101" s="217"/>
      <c r="P101" s="3"/>
      <c r="Q101" s="3"/>
      <c r="R101" s="3"/>
      <c r="S101" s="3"/>
      <c r="T101" s="3"/>
      <c r="U101" s="3"/>
      <c r="V101" s="3"/>
      <c r="W101" s="3"/>
      <c r="X101" s="3"/>
      <c r="Y101" s="3"/>
      <c r="Z101" s="3"/>
    </row>
    <row r="102" spans="1:26" ht="12.75" x14ac:dyDescent="0.2">
      <c r="A102" s="3"/>
      <c r="B102" s="2"/>
      <c r="C102" s="393" t="s">
        <v>157</v>
      </c>
      <c r="D102" s="2"/>
      <c r="E102" s="2"/>
      <c r="F102" s="848">
        <f>F100+F101</f>
        <v>8</v>
      </c>
      <c r="G102" s="838" t="s">
        <v>152</v>
      </c>
      <c r="H102" s="837"/>
      <c r="I102" s="847">
        <v>8</v>
      </c>
      <c r="J102" s="838" t="s">
        <v>152</v>
      </c>
      <c r="K102" s="2"/>
      <c r="L102" s="16" t="s">
        <v>50</v>
      </c>
      <c r="M102" s="9"/>
      <c r="N102" s="9"/>
      <c r="O102" s="217"/>
      <c r="P102" s="3"/>
      <c r="Q102" s="3"/>
      <c r="R102" s="3"/>
      <c r="S102" s="3"/>
      <c r="T102" s="3"/>
      <c r="U102" s="3"/>
      <c r="V102" s="3"/>
      <c r="W102" s="3"/>
      <c r="X102" s="3"/>
      <c r="Y102" s="3"/>
      <c r="Z102" s="3"/>
    </row>
    <row r="103" spans="1:26" ht="12.75" x14ac:dyDescent="0.2">
      <c r="A103" s="3"/>
      <c r="B103" s="2"/>
      <c r="C103" s="393" t="s">
        <v>771</v>
      </c>
      <c r="D103" s="2"/>
      <c r="E103" s="2"/>
      <c r="F103" s="759">
        <v>0.15368856413049201</v>
      </c>
      <c r="G103" s="838" t="s">
        <v>5</v>
      </c>
      <c r="H103" s="837"/>
      <c r="I103" s="759">
        <v>0.15368856413049201</v>
      </c>
      <c r="J103" s="838" t="s">
        <v>5</v>
      </c>
      <c r="K103" s="393"/>
      <c r="L103" s="16"/>
      <c r="M103" s="9"/>
      <c r="N103" s="8"/>
      <c r="O103" s="221"/>
      <c r="P103" s="3"/>
      <c r="Q103" s="3"/>
      <c r="R103" s="3"/>
      <c r="S103" s="3"/>
      <c r="T103" s="3"/>
      <c r="U103" s="3"/>
      <c r="V103" s="3"/>
      <c r="W103" s="3"/>
      <c r="X103" s="3"/>
      <c r="Y103" s="3"/>
      <c r="Z103" s="3"/>
    </row>
    <row r="104" spans="1:26" ht="12.75" x14ac:dyDescent="0.2">
      <c r="A104" s="3"/>
      <c r="B104" s="447"/>
      <c r="C104" s="447"/>
      <c r="D104" s="447"/>
      <c r="E104" s="447"/>
      <c r="F104" s="750"/>
      <c r="G104" s="750"/>
      <c r="H104" s="750"/>
      <c r="I104" s="750"/>
      <c r="J104" s="750"/>
      <c r="K104" s="447"/>
      <c r="L104" s="3"/>
      <c r="M104" s="3"/>
      <c r="N104" s="3"/>
      <c r="O104" s="218"/>
      <c r="P104" s="3"/>
      <c r="Q104" s="3"/>
      <c r="R104" s="3"/>
      <c r="S104" s="3"/>
      <c r="T104" s="3"/>
      <c r="U104" s="3"/>
      <c r="V104" s="3"/>
      <c r="W104" s="3"/>
      <c r="X104" s="3"/>
      <c r="Y104" s="3"/>
      <c r="Z104" s="3"/>
    </row>
    <row r="105" spans="1:26" ht="12.75" x14ac:dyDescent="0.2">
      <c r="A105" s="3"/>
      <c r="B105" s="392" t="s">
        <v>161</v>
      </c>
      <c r="C105" s="2"/>
      <c r="D105" s="2"/>
      <c r="E105" s="2"/>
      <c r="F105" s="837"/>
      <c r="G105" s="837"/>
      <c r="H105" s="837"/>
      <c r="I105" s="837"/>
      <c r="J105" s="837"/>
      <c r="K105" s="2"/>
      <c r="L105" s="16" t="s">
        <v>50</v>
      </c>
      <c r="M105" s="2"/>
      <c r="N105" s="2"/>
      <c r="O105" s="217"/>
      <c r="P105" s="3"/>
      <c r="Q105" s="3"/>
      <c r="R105" s="3"/>
      <c r="S105" s="3"/>
      <c r="T105" s="3"/>
      <c r="U105" s="3"/>
      <c r="V105" s="3"/>
      <c r="W105" s="3"/>
      <c r="X105" s="3"/>
      <c r="Y105" s="3"/>
      <c r="Z105" s="3"/>
    </row>
    <row r="106" spans="1:26" ht="12.75" x14ac:dyDescent="0.2">
      <c r="A106" s="3"/>
      <c r="B106" s="2"/>
      <c r="C106" s="393" t="s">
        <v>250</v>
      </c>
      <c r="D106" s="2"/>
      <c r="E106" s="2"/>
      <c r="F106" s="837"/>
      <c r="G106" s="838"/>
      <c r="H106" s="837"/>
      <c r="I106" s="529">
        <v>0</v>
      </c>
      <c r="J106" s="838" t="s">
        <v>163</v>
      </c>
      <c r="K106" s="2" t="s">
        <v>854</v>
      </c>
      <c r="L106" s="16" t="s">
        <v>50</v>
      </c>
      <c r="M106" s="213"/>
      <c r="N106" s="9"/>
      <c r="O106" s="221"/>
      <c r="P106" s="3"/>
      <c r="Q106" s="3"/>
      <c r="R106" s="3"/>
      <c r="S106" s="3"/>
      <c r="T106" s="3"/>
      <c r="U106" s="3"/>
      <c r="V106" s="3"/>
      <c r="W106" s="3"/>
      <c r="X106" s="3"/>
      <c r="Y106" s="3"/>
      <c r="Z106" s="3"/>
    </row>
    <row r="107" spans="1:26" ht="12.75" x14ac:dyDescent="0.2">
      <c r="A107" s="3"/>
      <c r="B107" s="2"/>
      <c r="C107" s="393" t="s">
        <v>162</v>
      </c>
      <c r="D107" s="2"/>
      <c r="E107" s="2"/>
      <c r="F107" s="837"/>
      <c r="G107" s="838"/>
      <c r="H107" s="837"/>
      <c r="I107" s="529">
        <v>3000</v>
      </c>
      <c r="J107" s="838" t="s">
        <v>163</v>
      </c>
      <c r="K107" s="2" t="s">
        <v>854</v>
      </c>
      <c r="L107" s="16" t="s">
        <v>50</v>
      </c>
      <c r="M107" s="214"/>
      <c r="N107" s="9"/>
      <c r="O107" s="221"/>
      <c r="P107" s="3"/>
      <c r="Q107" s="3"/>
      <c r="R107" s="3"/>
      <c r="S107" s="3"/>
      <c r="T107" s="3"/>
      <c r="U107" s="3"/>
      <c r="V107" s="3"/>
      <c r="W107" s="3"/>
      <c r="X107" s="3"/>
      <c r="Y107" s="3"/>
      <c r="Z107" s="3"/>
    </row>
    <row r="108" spans="1:26" ht="12.75" x14ac:dyDescent="0.2">
      <c r="A108" s="3"/>
      <c r="B108" s="2"/>
      <c r="C108" s="393" t="s">
        <v>164</v>
      </c>
      <c r="D108" s="2"/>
      <c r="E108" s="2"/>
      <c r="F108" s="837"/>
      <c r="G108" s="838"/>
      <c r="H108" s="837"/>
      <c r="I108" s="530">
        <v>10000</v>
      </c>
      <c r="J108" s="838" t="s">
        <v>163</v>
      </c>
      <c r="K108" s="2" t="s">
        <v>854</v>
      </c>
      <c r="L108" s="16" t="s">
        <v>50</v>
      </c>
      <c r="M108" s="215"/>
      <c r="N108" s="9"/>
      <c r="O108" s="221"/>
      <c r="P108" s="3"/>
      <c r="Q108" s="3"/>
      <c r="R108" s="3"/>
      <c r="S108" s="3"/>
      <c r="T108" s="3"/>
      <c r="U108" s="3"/>
      <c r="V108" s="3"/>
      <c r="W108" s="3"/>
      <c r="X108" s="3"/>
      <c r="Y108" s="3"/>
      <c r="Z108" s="3"/>
    </row>
    <row r="109" spans="1:26" ht="12.75" x14ac:dyDescent="0.2">
      <c r="A109" s="3"/>
      <c r="B109" s="2"/>
      <c r="C109" s="393" t="s">
        <v>166</v>
      </c>
      <c r="D109" s="2"/>
      <c r="E109" s="2"/>
      <c r="F109" s="837"/>
      <c r="G109" s="838"/>
      <c r="H109" s="837"/>
      <c r="I109" s="530">
        <v>12000</v>
      </c>
      <c r="J109" s="838" t="s">
        <v>163</v>
      </c>
      <c r="K109" s="2" t="s">
        <v>854</v>
      </c>
      <c r="L109" s="16" t="s">
        <v>50</v>
      </c>
      <c r="M109" s="215"/>
      <c r="N109" s="9"/>
      <c r="O109" s="221"/>
      <c r="P109" s="3"/>
      <c r="Q109" s="3"/>
      <c r="R109" s="3"/>
      <c r="S109" s="3"/>
      <c r="T109" s="3"/>
      <c r="U109" s="3"/>
      <c r="V109" s="3"/>
      <c r="W109" s="3"/>
      <c r="X109" s="3"/>
      <c r="Y109" s="3"/>
      <c r="Z109" s="3"/>
    </row>
    <row r="110" spans="1:26" ht="12.75" x14ac:dyDescent="0.2">
      <c r="A110" s="3"/>
      <c r="B110" s="2"/>
      <c r="C110" s="393" t="s">
        <v>168</v>
      </c>
      <c r="D110" s="2"/>
      <c r="E110" s="2"/>
      <c r="F110" s="837"/>
      <c r="G110" s="838"/>
      <c r="H110" s="837"/>
      <c r="I110" s="530">
        <v>15000</v>
      </c>
      <c r="J110" s="838" t="s">
        <v>163</v>
      </c>
      <c r="K110" s="2" t="s">
        <v>854</v>
      </c>
      <c r="L110" s="16" t="s">
        <v>50</v>
      </c>
      <c r="M110" s="215"/>
      <c r="N110" s="9"/>
      <c r="O110" s="221"/>
      <c r="P110" s="3"/>
      <c r="Q110" s="3"/>
      <c r="R110" s="3"/>
      <c r="S110" s="3"/>
      <c r="T110" s="3"/>
      <c r="U110" s="3"/>
      <c r="V110" s="3"/>
      <c r="W110" s="3"/>
      <c r="X110" s="3"/>
      <c r="Y110" s="3"/>
      <c r="Z110" s="3"/>
    </row>
    <row r="111" spans="1:26" ht="12.75" x14ac:dyDescent="0.2">
      <c r="A111" s="3"/>
      <c r="B111" s="2"/>
      <c r="C111" s="393" t="s">
        <v>171</v>
      </c>
      <c r="D111" s="2"/>
      <c r="E111" s="2"/>
      <c r="F111" s="837"/>
      <c r="G111" s="838"/>
      <c r="H111" s="837"/>
      <c r="I111" s="444">
        <v>0.9</v>
      </c>
      <c r="J111" s="838" t="s">
        <v>256</v>
      </c>
      <c r="K111" s="491" t="s">
        <v>1068</v>
      </c>
      <c r="L111" s="16" t="s">
        <v>50</v>
      </c>
      <c r="M111" s="216"/>
      <c r="N111" s="27"/>
      <c r="O111" s="2"/>
      <c r="P111" s="3"/>
      <c r="Q111" s="3"/>
      <c r="R111" s="3"/>
      <c r="S111" s="3"/>
      <c r="T111" s="3"/>
      <c r="U111" s="3"/>
      <c r="V111" s="3"/>
      <c r="W111" s="3"/>
      <c r="X111" s="3"/>
      <c r="Y111" s="3"/>
      <c r="Z111" s="3"/>
    </row>
    <row r="112" spans="1:26" ht="12.75" x14ac:dyDescent="0.2">
      <c r="A112" s="3"/>
      <c r="B112" s="2"/>
      <c r="C112" s="393" t="s">
        <v>251</v>
      </c>
      <c r="D112" s="2"/>
      <c r="E112" s="2"/>
      <c r="F112" s="837"/>
      <c r="G112" s="838"/>
      <c r="H112" s="837"/>
      <c r="I112" s="444">
        <v>0.2</v>
      </c>
      <c r="J112" s="838" t="s">
        <v>256</v>
      </c>
      <c r="K112" s="491" t="s">
        <v>12</v>
      </c>
      <c r="L112" s="16" t="s">
        <v>50</v>
      </c>
      <c r="M112" s="216"/>
      <c r="N112" s="27"/>
      <c r="O112" s="124"/>
      <c r="P112" s="3"/>
      <c r="Q112" s="3"/>
      <c r="R112" s="3"/>
      <c r="S112" s="3"/>
      <c r="T112" s="3"/>
      <c r="U112" s="3"/>
      <c r="V112" s="3"/>
      <c r="W112" s="3"/>
      <c r="X112" s="3"/>
      <c r="Y112" s="3"/>
      <c r="Z112" s="3"/>
    </row>
    <row r="113" spans="1:26" ht="12.75" x14ac:dyDescent="0.2">
      <c r="A113" s="3"/>
      <c r="B113" s="2"/>
      <c r="C113" s="393" t="s">
        <v>257</v>
      </c>
      <c r="D113" s="2"/>
      <c r="E113" s="2"/>
      <c r="F113" s="837"/>
      <c r="G113" s="838"/>
      <c r="H113" s="837"/>
      <c r="I113" s="493">
        <v>5</v>
      </c>
      <c r="J113" s="838" t="s">
        <v>12</v>
      </c>
      <c r="K113" s="491" t="s">
        <v>12</v>
      </c>
      <c r="L113" s="16"/>
      <c r="M113" s="216"/>
      <c r="N113" s="27"/>
      <c r="O113" s="124"/>
      <c r="P113" s="3"/>
      <c r="Q113" s="3"/>
      <c r="R113" s="3"/>
      <c r="S113" s="3"/>
      <c r="T113" s="3"/>
      <c r="U113" s="3"/>
      <c r="V113" s="3"/>
      <c r="W113" s="3"/>
      <c r="X113" s="3"/>
      <c r="Y113" s="3"/>
      <c r="Z113" s="3"/>
    </row>
    <row r="114" spans="1:26" ht="12.75" x14ac:dyDescent="0.2">
      <c r="A114" s="3"/>
      <c r="B114" s="2"/>
      <c r="C114" s="393" t="s">
        <v>710</v>
      </c>
      <c r="D114" s="2"/>
      <c r="E114" s="2"/>
      <c r="F114" s="837"/>
      <c r="G114" s="838"/>
      <c r="H114" s="837"/>
      <c r="I114" s="587">
        <f>'Total Beneficiaries and Funding'!E8</f>
        <v>3472745.4061461855</v>
      </c>
      <c r="J114" s="838" t="s">
        <v>172</v>
      </c>
      <c r="K114" s="405" t="s">
        <v>711</v>
      </c>
      <c r="L114" s="16" t="s">
        <v>50</v>
      </c>
      <c r="M114" s="216"/>
      <c r="N114" s="9"/>
      <c r="O114" s="124"/>
      <c r="P114" s="3"/>
      <c r="Q114" s="3"/>
      <c r="R114" s="3"/>
      <c r="S114" s="3"/>
      <c r="T114" s="3"/>
      <c r="U114" s="3"/>
      <c r="V114" s="3"/>
      <c r="W114" s="3"/>
      <c r="X114" s="3"/>
      <c r="Y114" s="3"/>
      <c r="Z114" s="3"/>
    </row>
    <row r="115" spans="1:26" ht="12.75" x14ac:dyDescent="0.2">
      <c r="A115" s="3"/>
      <c r="B115" s="2"/>
      <c r="C115" s="393" t="s">
        <v>939</v>
      </c>
      <c r="D115" s="2"/>
      <c r="E115" s="2"/>
      <c r="F115" s="837"/>
      <c r="G115" s="838"/>
      <c r="H115" s="837"/>
      <c r="I115" s="444">
        <v>0</v>
      </c>
      <c r="J115" s="838" t="s">
        <v>5</v>
      </c>
      <c r="K115" s="422" t="s">
        <v>940</v>
      </c>
      <c r="L115" s="393"/>
      <c r="M115" s="494"/>
      <c r="N115" s="393"/>
      <c r="O115" s="2"/>
      <c r="P115" s="3"/>
      <c r="Q115" s="3"/>
      <c r="R115" s="3"/>
      <c r="S115" s="3"/>
      <c r="T115" s="3"/>
      <c r="U115" s="3"/>
      <c r="V115" s="3"/>
      <c r="W115" s="3"/>
      <c r="X115" s="3"/>
      <c r="Y115" s="3"/>
      <c r="Z115" s="3"/>
    </row>
    <row r="116" spans="1:26" ht="12.75" x14ac:dyDescent="0.2">
      <c r="A116" s="3"/>
      <c r="B116" s="2"/>
      <c r="C116" s="393" t="s">
        <v>268</v>
      </c>
      <c r="D116" s="2"/>
      <c r="E116" s="2"/>
      <c r="F116" s="837"/>
      <c r="G116" s="838"/>
      <c r="H116" s="837"/>
      <c r="I116" s="495">
        <v>0</v>
      </c>
      <c r="J116" s="785" t="s">
        <v>269</v>
      </c>
      <c r="K116" s="53"/>
      <c r="L116" s="85"/>
      <c r="M116" s="88"/>
      <c r="N116" s="84"/>
      <c r="O116" s="2"/>
      <c r="P116" s="3"/>
      <c r="Q116" s="3"/>
      <c r="R116" s="3"/>
      <c r="S116" s="3"/>
      <c r="T116" s="3"/>
      <c r="U116" s="3"/>
      <c r="V116" s="3"/>
      <c r="W116" s="3"/>
      <c r="X116" s="3"/>
      <c r="Y116" s="3"/>
      <c r="Z116" s="3"/>
    </row>
    <row r="117" spans="1:26" ht="12.75" x14ac:dyDescent="0.2">
      <c r="A117" s="3"/>
      <c r="B117" s="2"/>
      <c r="C117" s="393" t="s">
        <v>270</v>
      </c>
      <c r="D117" s="2"/>
      <c r="E117" s="2"/>
      <c r="F117" s="837"/>
      <c r="G117" s="838"/>
      <c r="H117" s="837"/>
      <c r="I117" s="493">
        <v>5</v>
      </c>
      <c r="J117" s="785" t="s">
        <v>66</v>
      </c>
      <c r="K117" s="53"/>
      <c r="L117" s="85"/>
      <c r="M117" s="83"/>
      <c r="N117" s="27"/>
      <c r="O117" s="2"/>
      <c r="P117" s="3"/>
      <c r="Q117" s="3"/>
      <c r="R117" s="3"/>
      <c r="S117" s="3"/>
      <c r="T117" s="3"/>
      <c r="U117" s="3"/>
      <c r="V117" s="3"/>
      <c r="W117" s="3"/>
      <c r="X117" s="3"/>
      <c r="Y117" s="3"/>
      <c r="Z117" s="3"/>
    </row>
    <row r="118" spans="1:26" s="159" customFormat="1" ht="12.75" x14ac:dyDescent="0.2">
      <c r="A118" s="122"/>
      <c r="B118" s="405"/>
      <c r="C118" s="395" t="s">
        <v>909</v>
      </c>
      <c r="D118" s="405"/>
      <c r="E118" s="405"/>
      <c r="F118" s="333"/>
      <c r="G118" s="333"/>
      <c r="H118" s="333"/>
      <c r="I118" s="444">
        <v>0</v>
      </c>
      <c r="J118" s="391" t="s">
        <v>5</v>
      </c>
      <c r="K118" s="422" t="s">
        <v>910</v>
      </c>
      <c r="L118" s="157"/>
      <c r="M118" s="155"/>
      <c r="N118" s="155"/>
      <c r="O118" s="155"/>
      <c r="P118" s="122"/>
      <c r="Q118" s="122"/>
      <c r="R118" s="122"/>
      <c r="S118" s="122"/>
      <c r="T118" s="173"/>
      <c r="U118" s="173"/>
      <c r="V118" s="173"/>
      <c r="W118" s="173"/>
    </row>
    <row r="119" spans="1:26" ht="12.75"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x14ac:dyDescent="0.2">
      <c r="A120" s="4" t="s">
        <v>173</v>
      </c>
      <c r="B120" s="2"/>
      <c r="C120" s="2"/>
      <c r="D120" s="6" t="s">
        <v>174</v>
      </c>
      <c r="E120" s="21"/>
      <c r="F120" s="51">
        <v>0</v>
      </c>
      <c r="G120" s="51">
        <v>1</v>
      </c>
      <c r="H120" s="51">
        <v>2</v>
      </c>
      <c r="I120" s="51">
        <v>3</v>
      </c>
      <c r="J120" s="51">
        <v>4</v>
      </c>
      <c r="K120" s="51">
        <v>5</v>
      </c>
      <c r="L120" s="51">
        <v>6</v>
      </c>
      <c r="M120" s="51">
        <v>7</v>
      </c>
      <c r="N120" s="51">
        <v>8</v>
      </c>
      <c r="O120" s="51">
        <v>9</v>
      </c>
      <c r="P120" s="2"/>
      <c r="Q120" s="2"/>
      <c r="R120" s="2"/>
      <c r="S120" s="2"/>
      <c r="T120" s="2"/>
      <c r="U120" s="2"/>
      <c r="V120" s="2"/>
      <c r="W120" s="2"/>
      <c r="X120" s="2"/>
      <c r="Y120" s="2"/>
      <c r="Z120" s="2"/>
    </row>
    <row r="121" spans="1:26" ht="12.75" x14ac:dyDescent="0.2">
      <c r="A121" s="3"/>
      <c r="B121" s="4" t="s">
        <v>175</v>
      </c>
      <c r="C121" s="2"/>
      <c r="P121" s="12"/>
      <c r="Q121" s="3"/>
      <c r="R121" s="3"/>
      <c r="S121" s="3"/>
      <c r="T121" s="3"/>
      <c r="U121" s="3"/>
      <c r="V121" s="3"/>
      <c r="W121" s="3"/>
      <c r="X121" s="3"/>
      <c r="Y121" s="3"/>
      <c r="Z121" s="3"/>
    </row>
    <row r="122" spans="1:26" ht="12.75" x14ac:dyDescent="0.2">
      <c r="A122" s="3"/>
      <c r="B122" s="2"/>
      <c r="C122" s="9" t="s">
        <v>176</v>
      </c>
      <c r="D122" s="2"/>
      <c r="E122" s="2"/>
      <c r="F122" s="14">
        <f t="shared" ref="F122:O122" si="2">$F$8</f>
        <v>7.9000000000000001E-2</v>
      </c>
      <c r="G122" s="14">
        <f t="shared" si="2"/>
        <v>7.9000000000000001E-2</v>
      </c>
      <c r="H122" s="14">
        <f t="shared" si="2"/>
        <v>7.9000000000000001E-2</v>
      </c>
      <c r="I122" s="14">
        <f t="shared" si="2"/>
        <v>7.9000000000000001E-2</v>
      </c>
      <c r="J122" s="14">
        <f t="shared" si="2"/>
        <v>7.9000000000000001E-2</v>
      </c>
      <c r="K122" s="14">
        <f t="shared" si="2"/>
        <v>7.9000000000000001E-2</v>
      </c>
      <c r="L122" s="14">
        <f t="shared" si="2"/>
        <v>7.9000000000000001E-2</v>
      </c>
      <c r="M122" s="14">
        <f t="shared" si="2"/>
        <v>7.9000000000000001E-2</v>
      </c>
      <c r="N122" s="14">
        <f t="shared" si="2"/>
        <v>7.9000000000000001E-2</v>
      </c>
      <c r="O122" s="14">
        <f t="shared" si="2"/>
        <v>7.9000000000000001E-2</v>
      </c>
      <c r="P122" s="3"/>
      <c r="Q122" s="3"/>
      <c r="R122" s="3"/>
      <c r="S122" s="3"/>
      <c r="T122" s="3"/>
      <c r="U122" s="3"/>
      <c r="V122" s="3"/>
      <c r="W122" s="3"/>
      <c r="X122" s="3"/>
      <c r="Y122" s="3"/>
      <c r="Z122" s="3"/>
    </row>
    <row r="123" spans="1:26" ht="12.75" x14ac:dyDescent="0.2">
      <c r="A123" s="3"/>
      <c r="B123" s="2"/>
      <c r="C123" s="9" t="s">
        <v>177</v>
      </c>
      <c r="D123" s="2"/>
      <c r="E123" s="2"/>
      <c r="F123" s="22">
        <v>1</v>
      </c>
      <c r="G123" s="23">
        <f t="shared" ref="G123:O123" si="3">F123*(1+G122)</f>
        <v>1.079</v>
      </c>
      <c r="H123" s="23">
        <f t="shared" si="3"/>
        <v>1.1642409999999999</v>
      </c>
      <c r="I123" s="23">
        <f t="shared" si="3"/>
        <v>1.2562160389999999</v>
      </c>
      <c r="J123" s="23">
        <f t="shared" si="3"/>
        <v>1.3554571060809999</v>
      </c>
      <c r="K123" s="23">
        <f t="shared" si="3"/>
        <v>1.4625382174613988</v>
      </c>
      <c r="L123" s="23">
        <f t="shared" si="3"/>
        <v>1.5780787366408493</v>
      </c>
      <c r="M123" s="23">
        <f t="shared" si="3"/>
        <v>1.7027469568354763</v>
      </c>
      <c r="N123" s="23">
        <f t="shared" si="3"/>
        <v>1.8372639664254788</v>
      </c>
      <c r="O123" s="351">
        <f t="shared" si="3"/>
        <v>1.9824078197730917</v>
      </c>
      <c r="P123" s="3"/>
      <c r="Q123" s="3"/>
      <c r="R123" s="3"/>
      <c r="S123" s="3"/>
      <c r="T123" s="3"/>
      <c r="U123" s="3"/>
      <c r="V123" s="3"/>
      <c r="W123" s="3"/>
      <c r="X123" s="3"/>
      <c r="Y123" s="3"/>
      <c r="Z123" s="3"/>
    </row>
    <row r="124" spans="1:26" ht="12.75" x14ac:dyDescent="0.2">
      <c r="A124" s="3"/>
      <c r="B124" s="2"/>
      <c r="C124" s="9" t="s">
        <v>7</v>
      </c>
      <c r="D124" s="2"/>
      <c r="E124" s="2"/>
      <c r="F124" s="14">
        <f t="shared" ref="F124:O124" si="4">$F$9</f>
        <v>2.5000000000000001E-2</v>
      </c>
      <c r="G124" s="14">
        <f t="shared" si="4"/>
        <v>2.5000000000000001E-2</v>
      </c>
      <c r="H124" s="14">
        <f t="shared" si="4"/>
        <v>2.5000000000000001E-2</v>
      </c>
      <c r="I124" s="14">
        <f t="shared" si="4"/>
        <v>2.5000000000000001E-2</v>
      </c>
      <c r="J124" s="14">
        <f t="shared" si="4"/>
        <v>2.5000000000000001E-2</v>
      </c>
      <c r="K124" s="14">
        <f t="shared" si="4"/>
        <v>2.5000000000000001E-2</v>
      </c>
      <c r="L124" s="14">
        <f t="shared" si="4"/>
        <v>2.5000000000000001E-2</v>
      </c>
      <c r="M124" s="14">
        <f t="shared" si="4"/>
        <v>2.5000000000000001E-2</v>
      </c>
      <c r="N124" s="14">
        <f t="shared" si="4"/>
        <v>2.5000000000000001E-2</v>
      </c>
      <c r="O124" s="14">
        <f t="shared" si="4"/>
        <v>2.5000000000000001E-2</v>
      </c>
      <c r="P124" s="3"/>
      <c r="Q124" s="3"/>
      <c r="R124" s="3"/>
      <c r="S124" s="3"/>
      <c r="T124" s="3"/>
      <c r="U124" s="3"/>
      <c r="V124" s="3"/>
      <c r="W124" s="3"/>
      <c r="X124" s="3"/>
      <c r="Y124" s="3"/>
      <c r="Z124" s="3"/>
    </row>
    <row r="125" spans="1:26" ht="12.75" x14ac:dyDescent="0.2">
      <c r="A125" s="3"/>
      <c r="B125" s="2"/>
      <c r="C125" s="9" t="s">
        <v>179</v>
      </c>
      <c r="D125" s="2"/>
      <c r="E125" s="2"/>
      <c r="F125" s="10">
        <v>1</v>
      </c>
      <c r="G125" s="10">
        <f t="shared" ref="G125:O125" si="5">F125*(1+G124)</f>
        <v>1.0249999999999999</v>
      </c>
      <c r="H125" s="10">
        <f t="shared" si="5"/>
        <v>1.0506249999999999</v>
      </c>
      <c r="I125" s="10">
        <f t="shared" si="5"/>
        <v>1.0768906249999999</v>
      </c>
      <c r="J125" s="10">
        <f t="shared" si="5"/>
        <v>1.1038128906249998</v>
      </c>
      <c r="K125" s="10">
        <f t="shared" si="5"/>
        <v>1.1314082128906247</v>
      </c>
      <c r="L125" s="10">
        <f t="shared" si="5"/>
        <v>1.1596934182128902</v>
      </c>
      <c r="M125" s="10">
        <f t="shared" si="5"/>
        <v>1.1886857536682123</v>
      </c>
      <c r="N125" s="10">
        <f t="shared" si="5"/>
        <v>1.2184028975099175</v>
      </c>
      <c r="O125" s="10">
        <f t="shared" si="5"/>
        <v>1.2488629699476652</v>
      </c>
      <c r="P125" s="3"/>
      <c r="Q125" s="3"/>
      <c r="R125" s="3"/>
      <c r="S125" s="3"/>
      <c r="T125" s="3"/>
      <c r="U125" s="3"/>
      <c r="V125" s="3"/>
      <c r="W125" s="3"/>
      <c r="X125" s="3"/>
      <c r="Y125" s="3"/>
      <c r="Z125" s="3"/>
    </row>
    <row r="126" spans="1:26" ht="12.75" x14ac:dyDescent="0.2">
      <c r="A126" s="3"/>
      <c r="B126" s="2"/>
      <c r="C126" s="9" t="s">
        <v>180</v>
      </c>
      <c r="D126" s="2"/>
      <c r="E126" s="2"/>
      <c r="F126" s="10">
        <f t="shared" ref="F126:O126" si="6">F123/F125</f>
        <v>1</v>
      </c>
      <c r="G126" s="10">
        <f t="shared" si="6"/>
        <v>1.0526829268292683</v>
      </c>
      <c r="H126" s="10">
        <f t="shared" si="6"/>
        <v>1.1081413444378345</v>
      </c>
      <c r="I126" s="10">
        <f t="shared" si="6"/>
        <v>1.16652147380334</v>
      </c>
      <c r="J126" s="10">
        <f t="shared" si="6"/>
        <v>1.2279772392524917</v>
      </c>
      <c r="K126" s="10">
        <f t="shared" si="6"/>
        <v>1.2926706742960377</v>
      </c>
      <c r="L126" s="10">
        <f t="shared" si="6"/>
        <v>1.3607723488443169</v>
      </c>
      <c r="M126" s="10">
        <f t="shared" si="6"/>
        <v>1.4324618189297738</v>
      </c>
      <c r="N126" s="10">
        <f t="shared" si="6"/>
        <v>1.5079281001221716</v>
      </c>
      <c r="O126" s="10">
        <f t="shared" si="6"/>
        <v>1.5873701658847057</v>
      </c>
      <c r="P126" s="3"/>
      <c r="Q126" s="3"/>
      <c r="R126" s="3"/>
      <c r="S126" s="3"/>
      <c r="T126" s="3"/>
      <c r="U126" s="3"/>
      <c r="V126" s="3"/>
      <c r="W126" s="3"/>
      <c r="X126" s="3"/>
      <c r="Y126" s="3"/>
      <c r="Z126" s="3"/>
    </row>
    <row r="127" spans="1:26" ht="12.75" x14ac:dyDescent="0.2">
      <c r="A127" s="3"/>
      <c r="B127" s="2"/>
      <c r="C127" s="9" t="s">
        <v>181</v>
      </c>
      <c r="D127" s="2"/>
      <c r="E127" s="2"/>
      <c r="F127" s="23">
        <f t="shared" ref="F127:O127" si="7">$F$10</f>
        <v>157.54</v>
      </c>
      <c r="G127" s="23">
        <f t="shared" si="7"/>
        <v>157.54</v>
      </c>
      <c r="H127" s="23">
        <f t="shared" si="7"/>
        <v>157.54</v>
      </c>
      <c r="I127" s="23">
        <f t="shared" si="7"/>
        <v>157.54</v>
      </c>
      <c r="J127" s="23">
        <f t="shared" si="7"/>
        <v>157.54</v>
      </c>
      <c r="K127" s="23">
        <f t="shared" si="7"/>
        <v>157.54</v>
      </c>
      <c r="L127" s="23">
        <f t="shared" si="7"/>
        <v>157.54</v>
      </c>
      <c r="M127" s="23">
        <f t="shared" si="7"/>
        <v>157.54</v>
      </c>
      <c r="N127" s="23">
        <f t="shared" si="7"/>
        <v>157.54</v>
      </c>
      <c r="O127" s="23">
        <f t="shared" si="7"/>
        <v>157.54</v>
      </c>
      <c r="P127" s="3"/>
      <c r="Q127" s="3"/>
      <c r="R127" s="3"/>
      <c r="S127" s="3"/>
      <c r="T127" s="3"/>
      <c r="U127" s="3"/>
      <c r="V127" s="3"/>
      <c r="W127" s="3"/>
      <c r="X127" s="3"/>
      <c r="Y127" s="3"/>
      <c r="Z127" s="3"/>
    </row>
    <row r="128" spans="1:26" ht="12.75" x14ac:dyDescent="0.2">
      <c r="A128" s="3"/>
      <c r="B128" s="2"/>
      <c r="C128" s="9" t="s">
        <v>182</v>
      </c>
      <c r="D128" s="2"/>
      <c r="E128" s="2"/>
      <c r="F128" s="14">
        <f t="shared" ref="F128:O128" si="8">$F$11</f>
        <v>0</v>
      </c>
      <c r="G128" s="14">
        <f t="shared" si="8"/>
        <v>0</v>
      </c>
      <c r="H128" s="14">
        <f t="shared" si="8"/>
        <v>0</v>
      </c>
      <c r="I128" s="14">
        <f t="shared" si="8"/>
        <v>0</v>
      </c>
      <c r="J128" s="14">
        <f t="shared" si="8"/>
        <v>0</v>
      </c>
      <c r="K128" s="14">
        <f t="shared" si="8"/>
        <v>0</v>
      </c>
      <c r="L128" s="14">
        <f t="shared" si="8"/>
        <v>0</v>
      </c>
      <c r="M128" s="14">
        <f t="shared" si="8"/>
        <v>0</v>
      </c>
      <c r="N128" s="14">
        <f t="shared" si="8"/>
        <v>0</v>
      </c>
      <c r="O128" s="14">
        <f t="shared" si="8"/>
        <v>0</v>
      </c>
      <c r="P128" s="3"/>
      <c r="Q128" s="3"/>
      <c r="R128" s="3"/>
      <c r="S128" s="3"/>
      <c r="T128" s="3"/>
      <c r="U128" s="3"/>
      <c r="V128" s="3"/>
      <c r="W128" s="3"/>
      <c r="X128" s="3"/>
      <c r="Y128" s="3"/>
      <c r="Z128" s="3"/>
    </row>
    <row r="129" spans="1:26" ht="12.75" x14ac:dyDescent="0.2">
      <c r="A129" s="3"/>
      <c r="B129" s="2"/>
      <c r="C129" s="9" t="s">
        <v>183</v>
      </c>
      <c r="D129" s="2"/>
      <c r="E129" s="2"/>
      <c r="F129" s="23">
        <f t="shared" ref="F129:O129" si="9">F127*(1+F128)^F120</f>
        <v>157.54</v>
      </c>
      <c r="G129" s="23">
        <f t="shared" si="9"/>
        <v>157.54</v>
      </c>
      <c r="H129" s="23">
        <f t="shared" si="9"/>
        <v>157.54</v>
      </c>
      <c r="I129" s="23">
        <f t="shared" si="9"/>
        <v>157.54</v>
      </c>
      <c r="J129" s="23">
        <f t="shared" si="9"/>
        <v>157.54</v>
      </c>
      <c r="K129" s="23">
        <f t="shared" si="9"/>
        <v>157.54</v>
      </c>
      <c r="L129" s="23">
        <f t="shared" si="9"/>
        <v>157.54</v>
      </c>
      <c r="M129" s="23">
        <f t="shared" si="9"/>
        <v>157.54</v>
      </c>
      <c r="N129" s="23">
        <f t="shared" si="9"/>
        <v>157.54</v>
      </c>
      <c r="O129" s="23">
        <f t="shared" si="9"/>
        <v>157.54</v>
      </c>
      <c r="P129" s="3"/>
      <c r="Q129" s="3"/>
      <c r="R129" s="3"/>
      <c r="S129" s="3"/>
      <c r="T129" s="3"/>
      <c r="U129" s="3"/>
      <c r="V129" s="3"/>
      <c r="W129" s="3"/>
      <c r="X129" s="3"/>
      <c r="Y129" s="3"/>
      <c r="Z129" s="3"/>
    </row>
    <row r="130" spans="1:26" ht="12.75" x14ac:dyDescent="0.2">
      <c r="A130" s="3"/>
      <c r="B130" s="2"/>
      <c r="C130" s="9" t="s">
        <v>184</v>
      </c>
      <c r="D130" s="2"/>
      <c r="E130" s="2"/>
      <c r="F130" s="23">
        <f t="shared" ref="F130:O130" si="10">F129*F126</f>
        <v>157.54</v>
      </c>
      <c r="G130" s="23">
        <f t="shared" si="10"/>
        <v>165.83966829268292</v>
      </c>
      <c r="H130" s="23">
        <f t="shared" si="10"/>
        <v>174.57658740273644</v>
      </c>
      <c r="I130" s="23">
        <f t="shared" si="10"/>
        <v>183.77379298297819</v>
      </c>
      <c r="J130" s="23">
        <f t="shared" si="10"/>
        <v>193.45553427183754</v>
      </c>
      <c r="K130" s="23">
        <f t="shared" si="10"/>
        <v>203.64733802859777</v>
      </c>
      <c r="L130" s="23">
        <f t="shared" si="10"/>
        <v>214.37607583693367</v>
      </c>
      <c r="M130" s="23">
        <f t="shared" si="10"/>
        <v>225.67003495419655</v>
      </c>
      <c r="N130" s="23">
        <f t="shared" si="10"/>
        <v>237.55899289324691</v>
      </c>
      <c r="O130" s="23">
        <f t="shared" si="10"/>
        <v>250.07429593347652</v>
      </c>
      <c r="P130" s="3"/>
      <c r="Q130" s="3"/>
      <c r="R130" s="3"/>
      <c r="S130" s="3"/>
      <c r="T130" s="3"/>
      <c r="U130" s="3"/>
      <c r="V130" s="3"/>
      <c r="W130" s="3"/>
      <c r="X130" s="3"/>
      <c r="Y130" s="3"/>
      <c r="Z130" s="3"/>
    </row>
    <row r="131" spans="1:26" ht="12.75"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x14ac:dyDescent="0.2">
      <c r="A132" s="11"/>
      <c r="B132" s="4" t="s">
        <v>185</v>
      </c>
      <c r="C132" s="2"/>
      <c r="D132" s="4"/>
      <c r="E132" s="24"/>
      <c r="F132" s="4"/>
      <c r="G132" s="4"/>
      <c r="H132" s="4"/>
      <c r="I132" s="4"/>
      <c r="J132" s="4"/>
      <c r="K132" s="4"/>
      <c r="L132" s="4"/>
      <c r="M132" s="4"/>
      <c r="N132" s="4"/>
      <c r="O132" s="2"/>
      <c r="P132" s="3"/>
      <c r="Q132" s="3"/>
      <c r="R132" s="3"/>
      <c r="S132" s="3"/>
      <c r="T132" s="3"/>
      <c r="U132" s="3"/>
      <c r="V132" s="3"/>
      <c r="W132" s="3"/>
      <c r="X132" s="3"/>
      <c r="Y132" s="3"/>
      <c r="Z132" s="3"/>
    </row>
    <row r="133" spans="1:26" ht="12.75" x14ac:dyDescent="0.2">
      <c r="A133" s="11"/>
      <c r="B133" s="4"/>
      <c r="C133" s="9" t="s">
        <v>186</v>
      </c>
      <c r="D133" s="4"/>
      <c r="E133" s="24"/>
      <c r="F133" s="15">
        <f t="shared" ref="F133:O133" si="11">$F$34</f>
        <v>0.01</v>
      </c>
      <c r="G133" s="15">
        <f t="shared" si="11"/>
        <v>0.01</v>
      </c>
      <c r="H133" s="15">
        <f t="shared" si="11"/>
        <v>0.01</v>
      </c>
      <c r="I133" s="15">
        <f t="shared" si="11"/>
        <v>0.01</v>
      </c>
      <c r="J133" s="15">
        <f t="shared" si="11"/>
        <v>0.01</v>
      </c>
      <c r="K133" s="15">
        <f t="shared" si="11"/>
        <v>0.01</v>
      </c>
      <c r="L133" s="15">
        <f t="shared" si="11"/>
        <v>0.01</v>
      </c>
      <c r="M133" s="15">
        <f t="shared" si="11"/>
        <v>0.01</v>
      </c>
      <c r="N133" s="15">
        <f t="shared" si="11"/>
        <v>0.01</v>
      </c>
      <c r="O133" s="15">
        <f t="shared" si="11"/>
        <v>0.01</v>
      </c>
      <c r="P133" s="3"/>
      <c r="Q133" s="3"/>
      <c r="R133" s="3"/>
      <c r="S133" s="3"/>
      <c r="T133" s="3"/>
      <c r="U133" s="3"/>
      <c r="V133" s="3"/>
      <c r="W133" s="3"/>
      <c r="X133" s="3"/>
      <c r="Y133" s="3"/>
      <c r="Z133" s="3"/>
    </row>
    <row r="134" spans="1:26" ht="12.75" x14ac:dyDescent="0.2">
      <c r="A134" s="11"/>
      <c r="B134" s="4"/>
      <c r="C134" s="9" t="s">
        <v>187</v>
      </c>
      <c r="D134" s="4"/>
      <c r="E134" s="24"/>
      <c r="F134" s="25">
        <v>1</v>
      </c>
      <c r="G134" s="25">
        <f t="shared" ref="G134:O134" si="12">F134*(1+G133)</f>
        <v>1.01</v>
      </c>
      <c r="H134" s="25">
        <f t="shared" si="12"/>
        <v>1.0201</v>
      </c>
      <c r="I134" s="25">
        <f t="shared" si="12"/>
        <v>1.0303009999999999</v>
      </c>
      <c r="J134" s="25">
        <f t="shared" si="12"/>
        <v>1.04060401</v>
      </c>
      <c r="K134" s="25">
        <f t="shared" si="12"/>
        <v>1.0510100500999999</v>
      </c>
      <c r="L134" s="25">
        <f t="shared" si="12"/>
        <v>1.0615201506009999</v>
      </c>
      <c r="M134" s="25">
        <f t="shared" si="12"/>
        <v>1.0721353521070098</v>
      </c>
      <c r="N134" s="25">
        <f t="shared" si="12"/>
        <v>1.08285670562808</v>
      </c>
      <c r="O134" s="25">
        <f t="shared" si="12"/>
        <v>1.0936852726843609</v>
      </c>
      <c r="P134" s="3"/>
      <c r="Q134" s="3"/>
      <c r="R134" s="3"/>
      <c r="S134" s="3"/>
      <c r="T134" s="3"/>
      <c r="U134" s="3"/>
      <c r="V134" s="3"/>
      <c r="W134" s="3"/>
      <c r="X134" s="3"/>
      <c r="Y134" s="3"/>
      <c r="Z134" s="3"/>
    </row>
    <row r="135" spans="1:26" ht="12.75" x14ac:dyDescent="0.2">
      <c r="A135" s="11"/>
      <c r="B135" s="4"/>
      <c r="C135" s="9" t="s">
        <v>188</v>
      </c>
      <c r="D135" s="4"/>
      <c r="E135" s="24"/>
      <c r="F135" s="15">
        <f t="shared" ref="F135:O135" si="13">$I$35</f>
        <v>0.05</v>
      </c>
      <c r="G135" s="15">
        <f t="shared" si="13"/>
        <v>0.05</v>
      </c>
      <c r="H135" s="15">
        <f t="shared" si="13"/>
        <v>0.05</v>
      </c>
      <c r="I135" s="15">
        <f t="shared" si="13"/>
        <v>0.05</v>
      </c>
      <c r="J135" s="15">
        <f t="shared" si="13"/>
        <v>0.05</v>
      </c>
      <c r="K135" s="15">
        <f t="shared" si="13"/>
        <v>0.05</v>
      </c>
      <c r="L135" s="15">
        <f t="shared" si="13"/>
        <v>0.05</v>
      </c>
      <c r="M135" s="15">
        <f t="shared" si="13"/>
        <v>0.05</v>
      </c>
      <c r="N135" s="15">
        <f t="shared" si="13"/>
        <v>0.05</v>
      </c>
      <c r="O135" s="15">
        <f t="shared" si="13"/>
        <v>0.05</v>
      </c>
      <c r="P135" s="3"/>
      <c r="Q135" s="3"/>
      <c r="R135" s="3"/>
      <c r="S135" s="3"/>
      <c r="T135" s="3"/>
      <c r="U135" s="3"/>
      <c r="V135" s="3"/>
      <c r="W135" s="3"/>
      <c r="X135" s="3"/>
      <c r="Y135" s="3"/>
      <c r="Z135" s="3"/>
    </row>
    <row r="136" spans="1:26" ht="12.75" x14ac:dyDescent="0.2">
      <c r="A136" s="11"/>
      <c r="B136" s="4"/>
      <c r="C136" s="9" t="s">
        <v>189</v>
      </c>
      <c r="D136" s="4"/>
      <c r="E136" s="24"/>
      <c r="F136" s="25">
        <v>1</v>
      </c>
      <c r="G136" s="25">
        <f t="shared" ref="G136:O136" si="14">F136*(1+G135)</f>
        <v>1.05</v>
      </c>
      <c r="H136" s="25">
        <f t="shared" si="14"/>
        <v>1.1025</v>
      </c>
      <c r="I136" s="25">
        <f t="shared" si="14"/>
        <v>1.1576250000000001</v>
      </c>
      <c r="J136" s="25">
        <f t="shared" si="14"/>
        <v>1.2155062500000002</v>
      </c>
      <c r="K136" s="25">
        <f t="shared" si="14"/>
        <v>1.2762815625000004</v>
      </c>
      <c r="L136" s="25">
        <f t="shared" si="14"/>
        <v>1.3400956406250004</v>
      </c>
      <c r="M136" s="25">
        <f t="shared" si="14"/>
        <v>1.4071004226562505</v>
      </c>
      <c r="N136" s="25">
        <f t="shared" si="14"/>
        <v>1.477455443789063</v>
      </c>
      <c r="O136" s="25">
        <f t="shared" si="14"/>
        <v>1.5513282159785162</v>
      </c>
      <c r="P136" s="3"/>
      <c r="Q136" s="3"/>
      <c r="R136" s="3"/>
      <c r="S136" s="3"/>
      <c r="T136" s="3"/>
      <c r="U136" s="3"/>
      <c r="V136" s="3"/>
      <c r="W136" s="3"/>
      <c r="X136" s="3"/>
      <c r="Y136" s="3"/>
      <c r="Z136" s="3"/>
    </row>
    <row r="137" spans="1:26" ht="12.75" x14ac:dyDescent="0.2">
      <c r="A137" s="11"/>
      <c r="B137" s="4"/>
      <c r="C137" s="9" t="s">
        <v>190</v>
      </c>
      <c r="D137" s="4"/>
      <c r="E137" s="24"/>
      <c r="F137" s="15">
        <f t="shared" ref="F137:O137" si="15">$F$55</f>
        <v>0</v>
      </c>
      <c r="G137" s="15">
        <f t="shared" si="15"/>
        <v>0</v>
      </c>
      <c r="H137" s="15">
        <f t="shared" si="15"/>
        <v>0</v>
      </c>
      <c r="I137" s="15">
        <f t="shared" si="15"/>
        <v>0</v>
      </c>
      <c r="J137" s="15">
        <f t="shared" si="15"/>
        <v>0</v>
      </c>
      <c r="K137" s="15">
        <f t="shared" si="15"/>
        <v>0</v>
      </c>
      <c r="L137" s="15">
        <f t="shared" si="15"/>
        <v>0</v>
      </c>
      <c r="M137" s="15">
        <f t="shared" si="15"/>
        <v>0</v>
      </c>
      <c r="N137" s="15">
        <f t="shared" si="15"/>
        <v>0</v>
      </c>
      <c r="O137" s="15">
        <f t="shared" si="15"/>
        <v>0</v>
      </c>
      <c r="P137" s="3"/>
      <c r="Q137" s="3"/>
      <c r="R137" s="3"/>
      <c r="S137" s="3"/>
      <c r="T137" s="3"/>
      <c r="U137" s="3"/>
      <c r="V137" s="3"/>
      <c r="W137" s="3"/>
      <c r="X137" s="3"/>
      <c r="Y137" s="3"/>
      <c r="Z137" s="3"/>
    </row>
    <row r="138" spans="1:26" ht="12.75" x14ac:dyDescent="0.2">
      <c r="A138" s="11"/>
      <c r="B138" s="4"/>
      <c r="C138" s="9" t="s">
        <v>191</v>
      </c>
      <c r="D138" s="4"/>
      <c r="E138" s="24"/>
      <c r="F138" s="25">
        <v>1</v>
      </c>
      <c r="G138" s="25">
        <f t="shared" ref="G138:O138" si="16">F138*(1+G137)</f>
        <v>1</v>
      </c>
      <c r="H138" s="25">
        <f t="shared" si="16"/>
        <v>1</v>
      </c>
      <c r="I138" s="25">
        <f t="shared" si="16"/>
        <v>1</v>
      </c>
      <c r="J138" s="25">
        <f t="shared" si="16"/>
        <v>1</v>
      </c>
      <c r="K138" s="25">
        <f t="shared" si="16"/>
        <v>1</v>
      </c>
      <c r="L138" s="25">
        <f t="shared" si="16"/>
        <v>1</v>
      </c>
      <c r="M138" s="25">
        <f t="shared" si="16"/>
        <v>1</v>
      </c>
      <c r="N138" s="25">
        <f t="shared" si="16"/>
        <v>1</v>
      </c>
      <c r="O138" s="25">
        <f t="shared" si="16"/>
        <v>1</v>
      </c>
      <c r="P138" s="3"/>
      <c r="Q138" s="3"/>
      <c r="R138" s="3"/>
      <c r="S138" s="3"/>
      <c r="T138" s="3"/>
      <c r="U138" s="3"/>
      <c r="V138" s="3"/>
      <c r="W138" s="3"/>
      <c r="X138" s="3"/>
      <c r="Y138" s="3"/>
      <c r="Z138" s="3"/>
    </row>
    <row r="139" spans="1:26" ht="12.75" x14ac:dyDescent="0.2">
      <c r="A139" s="11"/>
      <c r="B139" s="4"/>
      <c r="C139" s="27" t="s">
        <v>264</v>
      </c>
      <c r="D139" s="4"/>
      <c r="E139" s="24"/>
      <c r="F139" s="15">
        <f t="shared" ref="F139:O139" si="17">$F$84</f>
        <v>0</v>
      </c>
      <c r="G139" s="15">
        <f t="shared" si="17"/>
        <v>0</v>
      </c>
      <c r="H139" s="15">
        <f t="shared" si="17"/>
        <v>0</v>
      </c>
      <c r="I139" s="15">
        <f t="shared" si="17"/>
        <v>0</v>
      </c>
      <c r="J139" s="15">
        <f t="shared" si="17"/>
        <v>0</v>
      </c>
      <c r="K139" s="15">
        <f t="shared" si="17"/>
        <v>0</v>
      </c>
      <c r="L139" s="15">
        <f t="shared" si="17"/>
        <v>0</v>
      </c>
      <c r="M139" s="15">
        <f t="shared" si="17"/>
        <v>0</v>
      </c>
      <c r="N139" s="15">
        <f t="shared" si="17"/>
        <v>0</v>
      </c>
      <c r="O139" s="15">
        <f t="shared" si="17"/>
        <v>0</v>
      </c>
      <c r="P139" s="3"/>
      <c r="Q139" s="3"/>
      <c r="R139" s="3"/>
      <c r="S139" s="3"/>
      <c r="T139" s="3"/>
      <c r="U139" s="3"/>
      <c r="V139" s="3"/>
      <c r="W139" s="3"/>
      <c r="X139" s="3"/>
      <c r="Y139" s="3"/>
      <c r="Z139" s="3"/>
    </row>
    <row r="140" spans="1:26" ht="12.75" x14ac:dyDescent="0.2">
      <c r="A140" s="11"/>
      <c r="B140" s="4"/>
      <c r="C140" s="27" t="s">
        <v>265</v>
      </c>
      <c r="D140" s="4"/>
      <c r="E140" s="24"/>
      <c r="F140" s="25">
        <v>1</v>
      </c>
      <c r="G140" s="25">
        <f t="shared" ref="G140:O140" si="18">F140*(1+G139)</f>
        <v>1</v>
      </c>
      <c r="H140" s="25">
        <f t="shared" si="18"/>
        <v>1</v>
      </c>
      <c r="I140" s="25">
        <f t="shared" si="18"/>
        <v>1</v>
      </c>
      <c r="J140" s="25">
        <f t="shared" si="18"/>
        <v>1</v>
      </c>
      <c r="K140" s="25">
        <f t="shared" si="18"/>
        <v>1</v>
      </c>
      <c r="L140" s="25">
        <f t="shared" si="18"/>
        <v>1</v>
      </c>
      <c r="M140" s="25">
        <f t="shared" si="18"/>
        <v>1</v>
      </c>
      <c r="N140" s="25">
        <f t="shared" si="18"/>
        <v>1</v>
      </c>
      <c r="O140" s="25">
        <f t="shared" si="18"/>
        <v>1</v>
      </c>
      <c r="P140" s="3"/>
      <c r="Q140" s="3"/>
      <c r="R140" s="3"/>
      <c r="S140" s="3"/>
      <c r="T140" s="3"/>
      <c r="U140" s="3"/>
      <c r="V140" s="3"/>
      <c r="W140" s="3"/>
      <c r="X140" s="3"/>
      <c r="Y140" s="3"/>
      <c r="Z140" s="3"/>
    </row>
    <row r="141" spans="1:26" ht="12.75" x14ac:dyDescent="0.2">
      <c r="A141" s="11"/>
      <c r="B141" s="11"/>
      <c r="C141" s="3"/>
      <c r="D141" s="11"/>
      <c r="E141" s="26"/>
      <c r="F141" s="11"/>
      <c r="G141" s="11"/>
      <c r="H141" s="11"/>
      <c r="I141" s="11"/>
      <c r="J141" s="11"/>
      <c r="K141" s="11"/>
      <c r="L141" s="11"/>
      <c r="M141" s="11"/>
      <c r="N141" s="11"/>
      <c r="O141" s="3"/>
      <c r="P141" s="3"/>
      <c r="Q141" s="3"/>
      <c r="R141" s="3"/>
      <c r="S141" s="3"/>
      <c r="T141" s="3"/>
      <c r="U141" s="3"/>
      <c r="V141" s="3"/>
      <c r="W141" s="3"/>
      <c r="X141" s="3"/>
      <c r="Y141" s="3"/>
      <c r="Z141" s="3"/>
    </row>
    <row r="142" spans="1:26" ht="12.75" x14ac:dyDescent="0.2">
      <c r="A142" s="11"/>
      <c r="B142" s="42" t="s">
        <v>211</v>
      </c>
      <c r="C142" s="43"/>
      <c r="D142" s="44"/>
      <c r="E142" s="45"/>
      <c r="F142" s="44"/>
      <c r="G142" s="44"/>
      <c r="H142" s="44"/>
      <c r="I142" s="44"/>
      <c r="J142" s="44"/>
      <c r="K142" s="44"/>
      <c r="L142" s="44"/>
      <c r="M142" s="44"/>
      <c r="N142" s="44"/>
      <c r="O142" s="43"/>
      <c r="P142" s="3"/>
      <c r="Q142" s="3"/>
      <c r="R142" s="3"/>
      <c r="S142" s="3"/>
      <c r="T142" s="3"/>
      <c r="U142" s="3"/>
      <c r="V142" s="3"/>
      <c r="W142" s="3"/>
      <c r="X142" s="3"/>
      <c r="Y142" s="3"/>
      <c r="Z142" s="3"/>
    </row>
    <row r="143" spans="1:26" ht="12.75" x14ac:dyDescent="0.2">
      <c r="A143" s="11"/>
      <c r="B143" s="42"/>
      <c r="C143" s="46" t="s">
        <v>44</v>
      </c>
      <c r="D143" s="44"/>
      <c r="E143" s="45"/>
      <c r="F143" s="47">
        <f>$F$25</f>
        <v>1</v>
      </c>
      <c r="G143" s="47">
        <f t="shared" ref="G143:O143" si="19">$F$25</f>
        <v>1</v>
      </c>
      <c r="H143" s="47">
        <f t="shared" si="19"/>
        <v>1</v>
      </c>
      <c r="I143" s="47">
        <f t="shared" si="19"/>
        <v>1</v>
      </c>
      <c r="J143" s="47">
        <f t="shared" si="19"/>
        <v>1</v>
      </c>
      <c r="K143" s="47">
        <f t="shared" si="19"/>
        <v>1</v>
      </c>
      <c r="L143" s="47">
        <f t="shared" si="19"/>
        <v>1</v>
      </c>
      <c r="M143" s="47">
        <f t="shared" si="19"/>
        <v>1</v>
      </c>
      <c r="N143" s="47">
        <f t="shared" si="19"/>
        <v>1</v>
      </c>
      <c r="O143" s="47">
        <f t="shared" si="19"/>
        <v>1</v>
      </c>
      <c r="P143" s="3"/>
      <c r="Q143" s="3"/>
      <c r="R143" s="3"/>
      <c r="S143" s="3"/>
      <c r="T143" s="3"/>
      <c r="U143" s="3"/>
      <c r="V143" s="3"/>
      <c r="W143" s="3"/>
      <c r="X143" s="3"/>
      <c r="Y143" s="3"/>
      <c r="Z143" s="3"/>
    </row>
    <row r="144" spans="1:26" ht="12.75" x14ac:dyDescent="0.2">
      <c r="A144" s="11"/>
      <c r="B144" s="44"/>
      <c r="C144" s="46" t="s">
        <v>212</v>
      </c>
      <c r="D144" s="44"/>
      <c r="E144" s="45"/>
      <c r="F144" s="47">
        <f>$I$25</f>
        <v>1</v>
      </c>
      <c r="G144" s="47">
        <f t="shared" ref="G144:O144" si="20">$I$25</f>
        <v>1</v>
      </c>
      <c r="H144" s="47">
        <f t="shared" si="20"/>
        <v>1</v>
      </c>
      <c r="I144" s="47">
        <f t="shared" si="20"/>
        <v>1</v>
      </c>
      <c r="J144" s="47">
        <f t="shared" si="20"/>
        <v>1</v>
      </c>
      <c r="K144" s="47">
        <f t="shared" si="20"/>
        <v>1</v>
      </c>
      <c r="L144" s="47">
        <f t="shared" si="20"/>
        <v>1</v>
      </c>
      <c r="M144" s="47">
        <f t="shared" si="20"/>
        <v>1</v>
      </c>
      <c r="N144" s="47">
        <f t="shared" si="20"/>
        <v>1</v>
      </c>
      <c r="O144" s="47">
        <f t="shared" si="20"/>
        <v>1</v>
      </c>
      <c r="P144" s="3"/>
      <c r="Q144" s="3"/>
      <c r="R144" s="3"/>
      <c r="S144" s="3"/>
      <c r="T144" s="3"/>
      <c r="U144" s="3"/>
      <c r="V144" s="3"/>
      <c r="W144" s="3"/>
      <c r="X144" s="3"/>
      <c r="Y144" s="3"/>
      <c r="Z144" s="3"/>
    </row>
    <row r="145" spans="1:26" ht="12.75" x14ac:dyDescent="0.2">
      <c r="A145" s="11"/>
      <c r="B145" s="11"/>
      <c r="C145" s="3"/>
      <c r="D145" s="11"/>
      <c r="E145" s="26"/>
      <c r="F145" s="11"/>
      <c r="G145" s="11"/>
      <c r="H145" s="11"/>
      <c r="I145" s="11"/>
      <c r="J145" s="11"/>
      <c r="K145" s="11"/>
      <c r="L145" s="11"/>
      <c r="M145" s="11"/>
      <c r="N145" s="11"/>
      <c r="O145" s="3"/>
      <c r="P145" s="3"/>
      <c r="Q145" s="3"/>
      <c r="R145" s="3"/>
      <c r="S145" s="3"/>
      <c r="T145" s="3"/>
      <c r="U145" s="3"/>
      <c r="V145" s="3"/>
      <c r="W145" s="3"/>
      <c r="X145" s="3"/>
      <c r="Y145" s="3"/>
      <c r="Z145" s="3"/>
    </row>
    <row r="146" spans="1:26" ht="12.75" x14ac:dyDescent="0.2">
      <c r="A146" s="11"/>
      <c r="B146" s="557" t="s">
        <v>842</v>
      </c>
      <c r="C146" s="46"/>
      <c r="D146" s="44"/>
      <c r="E146" s="45"/>
      <c r="F146" s="47"/>
      <c r="G146" s="47"/>
      <c r="H146" s="47"/>
      <c r="I146" s="47"/>
      <c r="J146" s="47"/>
      <c r="K146" s="47"/>
      <c r="L146" s="47"/>
      <c r="M146" s="47"/>
      <c r="N146" s="47"/>
      <c r="O146" s="47"/>
      <c r="P146" s="3"/>
      <c r="Q146" s="3"/>
      <c r="R146" s="3"/>
      <c r="S146" s="3"/>
      <c r="T146" s="3"/>
      <c r="U146" s="3"/>
      <c r="V146" s="3"/>
      <c r="W146" s="3"/>
      <c r="X146" s="3"/>
      <c r="Y146" s="3"/>
      <c r="Z146" s="3"/>
    </row>
    <row r="147" spans="1:26" ht="12.75" x14ac:dyDescent="0.2">
      <c r="A147" s="11"/>
      <c r="B147" s="42"/>
      <c r="C147" s="480" t="s">
        <v>838</v>
      </c>
      <c r="D147" s="44"/>
      <c r="E147" s="45"/>
      <c r="F147" s="47">
        <f>IF(MOD(F120,$F$69)=0,1,0)</f>
        <v>1</v>
      </c>
      <c r="G147" s="47">
        <f>IF(MOD(G120,$F$69)=0,1,0)</f>
        <v>0</v>
      </c>
      <c r="H147" s="47">
        <f>IF(MOD(H120,$F$69)=0,1,0)</f>
        <v>1</v>
      </c>
      <c r="I147" s="47">
        <f>IF(MOD(I120,$F$69)=0,1,0)</f>
        <v>0</v>
      </c>
      <c r="J147" s="47">
        <f>IF(MOD(J120,$F$69)=0,1,0)</f>
        <v>1</v>
      </c>
      <c r="K147" s="47">
        <f>IF(MOD(K120,$F$69)=0,1,0)</f>
        <v>0</v>
      </c>
      <c r="L147" s="47">
        <f>IF(MOD(L120,$F$69)=0,1,0)</f>
        <v>1</v>
      </c>
      <c r="M147" s="47">
        <f>IF(MOD(M120,$F$69)=0,1,0)</f>
        <v>0</v>
      </c>
      <c r="N147" s="47">
        <f>IF(MOD(N120,$F$69)=0,1,0)</f>
        <v>1</v>
      </c>
      <c r="O147" s="47">
        <f>IF(MOD(O120,$F$69)=0,1,0)</f>
        <v>0</v>
      </c>
      <c r="P147" s="3"/>
      <c r="Q147" s="3"/>
      <c r="R147" s="3"/>
      <c r="S147" s="3"/>
      <c r="T147" s="3"/>
      <c r="U147" s="3"/>
      <c r="V147" s="3"/>
      <c r="W147" s="3"/>
      <c r="X147" s="3"/>
      <c r="Y147" s="3"/>
      <c r="Z147" s="3"/>
    </row>
    <row r="148" spans="1:26" ht="12.75" x14ac:dyDescent="0.2">
      <c r="A148" s="11"/>
      <c r="B148" s="42"/>
      <c r="C148" s="480" t="s">
        <v>839</v>
      </c>
      <c r="D148" s="44"/>
      <c r="E148" s="45"/>
      <c r="F148" s="47">
        <f>F147*$F$68</f>
        <v>18000</v>
      </c>
      <c r="G148" s="47">
        <f t="shared" ref="G148:O148" si="21">G147*$F$68</f>
        <v>0</v>
      </c>
      <c r="H148" s="47">
        <f t="shared" si="21"/>
        <v>18000</v>
      </c>
      <c r="I148" s="47">
        <f t="shared" si="21"/>
        <v>0</v>
      </c>
      <c r="J148" s="47">
        <f t="shared" si="21"/>
        <v>18000</v>
      </c>
      <c r="K148" s="47">
        <f t="shared" si="21"/>
        <v>0</v>
      </c>
      <c r="L148" s="47">
        <f t="shared" si="21"/>
        <v>18000</v>
      </c>
      <c r="M148" s="47">
        <f t="shared" si="21"/>
        <v>0</v>
      </c>
      <c r="N148" s="47">
        <f t="shared" si="21"/>
        <v>18000</v>
      </c>
      <c r="O148" s="47">
        <f t="shared" si="21"/>
        <v>0</v>
      </c>
      <c r="P148" s="3"/>
      <c r="Q148" s="3"/>
      <c r="R148" s="3"/>
      <c r="S148" s="3"/>
      <c r="T148" s="3"/>
      <c r="U148" s="3"/>
      <c r="V148" s="3"/>
      <c r="W148" s="3"/>
      <c r="X148" s="3"/>
      <c r="Y148" s="3"/>
      <c r="Z148" s="3"/>
    </row>
    <row r="149" spans="1:26" ht="12.75" x14ac:dyDescent="0.2">
      <c r="A149" s="11"/>
      <c r="B149" s="44"/>
      <c r="C149" s="480" t="s">
        <v>840</v>
      </c>
      <c r="D149" s="44"/>
      <c r="E149" s="45"/>
      <c r="F149" s="47">
        <f>($F$148/$F$69)</f>
        <v>9000</v>
      </c>
      <c r="G149" s="47">
        <f t="shared" ref="G149:O149" si="22">(G148/$F$69)</f>
        <v>0</v>
      </c>
      <c r="H149" s="47">
        <f t="shared" si="22"/>
        <v>9000</v>
      </c>
      <c r="I149" s="47">
        <f t="shared" si="22"/>
        <v>0</v>
      </c>
      <c r="J149" s="47">
        <f t="shared" si="22"/>
        <v>9000</v>
      </c>
      <c r="K149" s="47">
        <f t="shared" si="22"/>
        <v>0</v>
      </c>
      <c r="L149" s="47">
        <f t="shared" si="22"/>
        <v>9000</v>
      </c>
      <c r="M149" s="47">
        <f t="shared" si="22"/>
        <v>0</v>
      </c>
      <c r="N149" s="47">
        <f t="shared" si="22"/>
        <v>9000</v>
      </c>
      <c r="O149" s="47">
        <f t="shared" si="22"/>
        <v>0</v>
      </c>
      <c r="P149" s="3"/>
      <c r="Q149" s="3"/>
      <c r="R149" s="3"/>
      <c r="S149" s="3"/>
      <c r="T149" s="3"/>
      <c r="U149" s="3"/>
      <c r="V149" s="3"/>
      <c r="W149" s="3"/>
      <c r="X149" s="3"/>
      <c r="Y149" s="3"/>
      <c r="Z149" s="3"/>
    </row>
    <row r="150" spans="1:26" ht="12.75" x14ac:dyDescent="0.2">
      <c r="A150" s="11"/>
      <c r="B150" s="11"/>
      <c r="C150" s="3"/>
      <c r="D150" s="11"/>
      <c r="E150" s="26"/>
      <c r="F150" s="11"/>
      <c r="G150" s="11"/>
      <c r="H150" s="11"/>
      <c r="I150" s="11"/>
      <c r="J150" s="11"/>
      <c r="K150" s="11"/>
      <c r="L150" s="11"/>
      <c r="M150" s="11"/>
      <c r="N150" s="11"/>
      <c r="O150" s="3"/>
      <c r="P150" s="3"/>
      <c r="Q150" s="3"/>
      <c r="R150" s="3"/>
      <c r="S150" s="3"/>
      <c r="T150" s="3"/>
      <c r="U150" s="3"/>
      <c r="V150" s="3"/>
      <c r="W150" s="3"/>
      <c r="X150" s="3"/>
      <c r="Y150" s="3"/>
      <c r="Z150" s="3"/>
    </row>
    <row r="151" spans="1:26" ht="12.75" x14ac:dyDescent="0.2">
      <c r="A151" s="11"/>
      <c r="B151" s="557" t="s">
        <v>886</v>
      </c>
      <c r="C151" s="46"/>
      <c r="D151" s="44"/>
      <c r="E151" s="45"/>
      <c r="F151" s="47"/>
      <c r="G151" s="47"/>
      <c r="H151" s="47"/>
      <c r="I151" s="47"/>
      <c r="J151" s="47"/>
      <c r="K151" s="47"/>
      <c r="L151" s="47"/>
      <c r="M151" s="47"/>
      <c r="N151" s="47"/>
      <c r="O151" s="47"/>
      <c r="P151" s="3"/>
      <c r="Q151" s="3"/>
      <c r="R151" s="3"/>
      <c r="S151" s="3"/>
      <c r="T151" s="3"/>
      <c r="U151" s="3"/>
      <c r="V151" s="3"/>
      <c r="W151" s="3"/>
      <c r="X151" s="3"/>
      <c r="Y151" s="3"/>
      <c r="Z151" s="3"/>
    </row>
    <row r="152" spans="1:26" ht="12.75" x14ac:dyDescent="0.2">
      <c r="A152" s="11"/>
      <c r="B152" s="42"/>
      <c r="C152" s="480" t="s">
        <v>838</v>
      </c>
      <c r="D152" s="44"/>
      <c r="E152" s="45"/>
      <c r="F152" s="47">
        <f>IF(MOD(F120,$I$69)=0,1,0)</f>
        <v>1</v>
      </c>
      <c r="G152" s="47">
        <f>IF(MOD(G120,$I$69)=0,1,0)</f>
        <v>0</v>
      </c>
      <c r="H152" s="47">
        <f>IF(MOD(H120,$I$69)=0,1,0)</f>
        <v>1</v>
      </c>
      <c r="I152" s="47">
        <f>IF(MOD(I120,$I$69)=0,1,0)</f>
        <v>0</v>
      </c>
      <c r="J152" s="47">
        <f>IF(MOD(J120,$I$69)=0,1,0)</f>
        <v>1</v>
      </c>
      <c r="K152" s="47">
        <f>IF(MOD(K120,$I$69)=0,1,0)</f>
        <v>0</v>
      </c>
      <c r="L152" s="47">
        <f>IF(MOD(L120,$I$69)=0,1,0)</f>
        <v>1</v>
      </c>
      <c r="M152" s="47">
        <f>IF(MOD(M120,$I$69)=0,1,0)</f>
        <v>0</v>
      </c>
      <c r="N152" s="47">
        <f>IF(MOD(N120,$I$69)=0,1,0)</f>
        <v>1</v>
      </c>
      <c r="O152" s="47">
        <f>IF(MOD(O120,$I$69)=0,1,0)</f>
        <v>0</v>
      </c>
      <c r="P152" s="3"/>
      <c r="Q152" s="3"/>
      <c r="R152" s="3"/>
      <c r="S152" s="3"/>
      <c r="T152" s="3"/>
      <c r="U152" s="3"/>
      <c r="V152" s="3"/>
      <c r="W152" s="3"/>
      <c r="X152" s="3"/>
      <c r="Y152" s="3"/>
      <c r="Z152" s="3"/>
    </row>
    <row r="153" spans="1:26" ht="12.75" x14ac:dyDescent="0.2">
      <c r="A153" s="11"/>
      <c r="B153" s="42"/>
      <c r="C153" s="480" t="s">
        <v>839</v>
      </c>
      <c r="D153" s="44"/>
      <c r="E153" s="45"/>
      <c r="F153" s="47">
        <f>F152*$I$68</f>
        <v>18000</v>
      </c>
      <c r="G153" s="47">
        <f t="shared" ref="G153:O153" si="23">G152*$I$68</f>
        <v>0</v>
      </c>
      <c r="H153" s="47">
        <f t="shared" si="23"/>
        <v>18000</v>
      </c>
      <c r="I153" s="47">
        <f t="shared" si="23"/>
        <v>0</v>
      </c>
      <c r="J153" s="47">
        <f t="shared" si="23"/>
        <v>18000</v>
      </c>
      <c r="K153" s="47">
        <f t="shared" si="23"/>
        <v>0</v>
      </c>
      <c r="L153" s="47">
        <f t="shared" si="23"/>
        <v>18000</v>
      </c>
      <c r="M153" s="47">
        <f t="shared" si="23"/>
        <v>0</v>
      </c>
      <c r="N153" s="47">
        <f t="shared" si="23"/>
        <v>18000</v>
      </c>
      <c r="O153" s="47">
        <f t="shared" si="23"/>
        <v>0</v>
      </c>
      <c r="P153" s="3"/>
      <c r="Q153" s="3"/>
      <c r="R153" s="3"/>
      <c r="S153" s="3"/>
      <c r="T153" s="3"/>
      <c r="U153" s="3"/>
      <c r="V153" s="3"/>
      <c r="W153" s="3"/>
      <c r="X153" s="3"/>
      <c r="Y153" s="3"/>
      <c r="Z153" s="3"/>
    </row>
    <row r="154" spans="1:26" ht="12.75" x14ac:dyDescent="0.2">
      <c r="A154" s="11"/>
      <c r="B154" s="44"/>
      <c r="C154" s="480" t="s">
        <v>840</v>
      </c>
      <c r="D154" s="44"/>
      <c r="E154" s="45"/>
      <c r="F154" s="47">
        <f>(F153/$I$69)</f>
        <v>9000</v>
      </c>
      <c r="G154" s="47">
        <f t="shared" ref="G154:O154" si="24">(G153/$I$69)</f>
        <v>0</v>
      </c>
      <c r="H154" s="47">
        <f t="shared" si="24"/>
        <v>9000</v>
      </c>
      <c r="I154" s="47">
        <f t="shared" si="24"/>
        <v>0</v>
      </c>
      <c r="J154" s="47">
        <f t="shared" si="24"/>
        <v>9000</v>
      </c>
      <c r="K154" s="47">
        <f t="shared" si="24"/>
        <v>0</v>
      </c>
      <c r="L154" s="47">
        <f t="shared" si="24"/>
        <v>9000</v>
      </c>
      <c r="M154" s="47">
        <f t="shared" si="24"/>
        <v>0</v>
      </c>
      <c r="N154" s="47">
        <f t="shared" si="24"/>
        <v>9000</v>
      </c>
      <c r="O154" s="47">
        <f t="shared" si="24"/>
        <v>0</v>
      </c>
      <c r="P154" s="3"/>
      <c r="Q154" s="3"/>
      <c r="R154" s="3"/>
      <c r="S154" s="3"/>
      <c r="T154" s="3"/>
      <c r="U154" s="3"/>
      <c r="V154" s="3"/>
      <c r="W154" s="3"/>
      <c r="X154" s="3"/>
      <c r="Y154" s="3"/>
      <c r="Z154" s="3"/>
    </row>
    <row r="155" spans="1:26" ht="12.75" x14ac:dyDescent="0.2">
      <c r="A155" s="11"/>
      <c r="B155" s="11"/>
      <c r="C155" s="3"/>
      <c r="D155" s="11"/>
      <c r="E155" s="26"/>
      <c r="F155" s="11"/>
      <c r="G155" s="11"/>
      <c r="H155" s="11"/>
      <c r="I155" s="11"/>
      <c r="J155" s="11"/>
      <c r="K155" s="11"/>
      <c r="L155" s="11"/>
      <c r="M155" s="11"/>
      <c r="N155" s="11"/>
      <c r="O155" s="3"/>
      <c r="P155" s="3"/>
      <c r="Q155" s="3"/>
      <c r="R155" s="3"/>
      <c r="S155" s="3"/>
      <c r="T155" s="3"/>
      <c r="U155" s="3"/>
      <c r="V155" s="3"/>
      <c r="W155" s="3"/>
      <c r="X155" s="3"/>
      <c r="Y155" s="3"/>
      <c r="Z155" s="3"/>
    </row>
    <row r="156" spans="1:26" s="57" customFormat="1" ht="12.75" x14ac:dyDescent="0.2">
      <c r="A156" s="52" t="s">
        <v>192</v>
      </c>
      <c r="B156" s="52"/>
      <c r="C156" s="53"/>
      <c r="D156" s="54" t="s">
        <v>174</v>
      </c>
      <c r="E156" s="55"/>
      <c r="F156" s="56">
        <v>0</v>
      </c>
      <c r="G156" s="56">
        <v>1</v>
      </c>
      <c r="H156" s="56">
        <v>2</v>
      </c>
      <c r="I156" s="56">
        <v>3</v>
      </c>
      <c r="J156" s="56">
        <v>4</v>
      </c>
      <c r="K156" s="56">
        <v>5</v>
      </c>
      <c r="L156" s="56">
        <v>6</v>
      </c>
      <c r="M156" s="56">
        <v>7</v>
      </c>
      <c r="N156" s="56">
        <v>8</v>
      </c>
      <c r="O156" s="56">
        <v>9</v>
      </c>
      <c r="P156" s="43"/>
      <c r="Q156" s="43"/>
      <c r="R156" s="43"/>
      <c r="S156" s="43"/>
      <c r="T156" s="43"/>
      <c r="U156" s="43"/>
      <c r="V156" s="43"/>
      <c r="W156" s="43"/>
      <c r="X156" s="43"/>
      <c r="Y156" s="43"/>
      <c r="Z156" s="43"/>
    </row>
    <row r="157" spans="1:26" s="784" customFormat="1" ht="12.75" x14ac:dyDescent="0.2">
      <c r="A157" s="3"/>
      <c r="B157" s="392" t="s">
        <v>194</v>
      </c>
      <c r="C157" s="9"/>
      <c r="D157" s="749"/>
      <c r="E157" s="749"/>
      <c r="F157" s="749"/>
      <c r="G157" s="749"/>
      <c r="H157" s="749"/>
      <c r="I157" s="749"/>
      <c r="J157" s="749"/>
      <c r="K157" s="749"/>
      <c r="L157" s="749"/>
      <c r="M157" s="749"/>
      <c r="N157" s="749"/>
      <c r="O157" s="749"/>
      <c r="P157" s="43"/>
      <c r="Q157" s="43"/>
      <c r="R157" s="43"/>
      <c r="S157" s="43"/>
      <c r="T157" s="43"/>
      <c r="U157" s="43"/>
      <c r="V157" s="43"/>
      <c r="W157" s="43"/>
      <c r="X157" s="43"/>
      <c r="Y157" s="43"/>
      <c r="Z157" s="43"/>
    </row>
    <row r="158" spans="1:26" s="784" customFormat="1" ht="12.75" x14ac:dyDescent="0.2">
      <c r="A158" s="3"/>
      <c r="B158" s="749"/>
      <c r="C158" s="781" t="s">
        <v>1031</v>
      </c>
      <c r="D158" s="749"/>
      <c r="E158" s="749"/>
      <c r="F158" s="39">
        <f>F$143*$F$30*F134</f>
        <v>2.58</v>
      </c>
      <c r="G158" s="39">
        <f>G$143*$F$30*G134</f>
        <v>2.6057999999999999</v>
      </c>
      <c r="H158" s="39">
        <f>H$143*$F$30*H134</f>
        <v>2.6318580000000003</v>
      </c>
      <c r="I158" s="39">
        <f>I$143*$F$30*I134</f>
        <v>2.6581765799999997</v>
      </c>
      <c r="J158" s="39">
        <f>J$143*$F$30*J134</f>
        <v>2.6847583458000002</v>
      </c>
      <c r="K158" s="39">
        <f>K$143*$F$30*K134</f>
        <v>2.7116059292579999</v>
      </c>
      <c r="L158" s="39">
        <f>L$143*$F$30*L134</f>
        <v>2.73872198855058</v>
      </c>
      <c r="M158" s="39">
        <f>M$143*$F$30*M134</f>
        <v>2.7661092084360854</v>
      </c>
      <c r="N158" s="39">
        <f>N$143*$F$30*N134</f>
        <v>2.7937703005204466</v>
      </c>
      <c r="O158" s="39">
        <f>O$143*$F$30*O134</f>
        <v>2.821708003525651</v>
      </c>
      <c r="P158" s="43"/>
      <c r="Q158" s="43"/>
      <c r="R158" s="43"/>
      <c r="S158" s="43"/>
      <c r="T158" s="43"/>
      <c r="U158" s="43"/>
      <c r="V158" s="43"/>
      <c r="W158" s="43"/>
      <c r="X158" s="43"/>
      <c r="Y158" s="43"/>
      <c r="Z158" s="43"/>
    </row>
    <row r="159" spans="1:26" s="784" customFormat="1" ht="12.75" x14ac:dyDescent="0.2">
      <c r="A159" s="3"/>
      <c r="B159" s="749"/>
      <c r="C159" s="27" t="s">
        <v>232</v>
      </c>
      <c r="D159" s="749"/>
      <c r="E159" s="749"/>
      <c r="F159" s="39">
        <f>$F$36*F158</f>
        <v>0.58050000000000002</v>
      </c>
      <c r="G159" s="39">
        <f t="shared" ref="G159:O159" si="25">$F$36*G158</f>
        <v>0.58630499999999997</v>
      </c>
      <c r="H159" s="39">
        <f t="shared" si="25"/>
        <v>0.59216805000000006</v>
      </c>
      <c r="I159" s="39">
        <f t="shared" si="25"/>
        <v>0.59808973049999992</v>
      </c>
      <c r="J159" s="39">
        <f t="shared" si="25"/>
        <v>0.60407062780500009</v>
      </c>
      <c r="K159" s="39">
        <f t="shared" si="25"/>
        <v>0.61011133408304996</v>
      </c>
      <c r="L159" s="39">
        <f t="shared" si="25"/>
        <v>0.61621244742388048</v>
      </c>
      <c r="M159" s="39">
        <f t="shared" si="25"/>
        <v>0.62237457189811929</v>
      </c>
      <c r="N159" s="39">
        <f t="shared" si="25"/>
        <v>0.6285983176171005</v>
      </c>
      <c r="O159" s="39">
        <f t="shared" si="25"/>
        <v>0.63488430079327152</v>
      </c>
      <c r="P159" s="43"/>
      <c r="Q159" s="43"/>
      <c r="R159" s="43"/>
      <c r="S159" s="43"/>
      <c r="T159" s="43"/>
      <c r="U159" s="43"/>
      <c r="V159" s="43"/>
      <c r="W159" s="43"/>
      <c r="X159" s="43"/>
      <c r="Y159" s="43"/>
      <c r="Z159" s="43"/>
    </row>
    <row r="160" spans="1:26" s="784" customFormat="1" ht="12.75" x14ac:dyDescent="0.2">
      <c r="A160" s="3"/>
      <c r="B160" s="749"/>
      <c r="C160" s="27" t="s">
        <v>233</v>
      </c>
      <c r="D160" s="749"/>
      <c r="E160" s="749"/>
      <c r="F160" s="39">
        <f>$F$27/1000</f>
        <v>9.459999999999999E-2</v>
      </c>
      <c r="G160" s="39">
        <f t="shared" ref="G160:O160" si="26">$F$27/1000</f>
        <v>9.459999999999999E-2</v>
      </c>
      <c r="H160" s="39">
        <f t="shared" si="26"/>
        <v>9.459999999999999E-2</v>
      </c>
      <c r="I160" s="39">
        <f t="shared" si="26"/>
        <v>9.459999999999999E-2</v>
      </c>
      <c r="J160" s="39">
        <f t="shared" si="26"/>
        <v>9.459999999999999E-2</v>
      </c>
      <c r="K160" s="39">
        <f t="shared" si="26"/>
        <v>9.459999999999999E-2</v>
      </c>
      <c r="L160" s="39">
        <f t="shared" si="26"/>
        <v>9.459999999999999E-2</v>
      </c>
      <c r="M160" s="39">
        <f t="shared" si="26"/>
        <v>9.459999999999999E-2</v>
      </c>
      <c r="N160" s="39">
        <f t="shared" si="26"/>
        <v>9.459999999999999E-2</v>
      </c>
      <c r="O160" s="39">
        <f t="shared" si="26"/>
        <v>9.459999999999999E-2</v>
      </c>
      <c r="P160" s="43"/>
      <c r="Q160" s="43"/>
      <c r="R160" s="43"/>
      <c r="S160" s="43"/>
      <c r="T160" s="43"/>
      <c r="U160" s="43"/>
      <c r="V160" s="43"/>
      <c r="W160" s="43"/>
      <c r="X160" s="43"/>
      <c r="Y160" s="43"/>
      <c r="Z160" s="43"/>
    </row>
    <row r="161" spans="1:26" s="784" customFormat="1" ht="12.75" x14ac:dyDescent="0.2">
      <c r="A161" s="3"/>
      <c r="B161" s="749"/>
      <c r="C161" s="27" t="s">
        <v>234</v>
      </c>
      <c r="D161" s="749"/>
      <c r="E161" s="749"/>
      <c r="F161" s="39">
        <f>$F$63*F$143/1000</f>
        <v>7.4999999999999997E-2</v>
      </c>
      <c r="G161" s="39">
        <f>$F$63*G$143/1000</f>
        <v>7.4999999999999997E-2</v>
      </c>
      <c r="H161" s="39">
        <f>$F$63*H$143/1000</f>
        <v>7.4999999999999997E-2</v>
      </c>
      <c r="I161" s="39">
        <f>$F$63*I$143/1000</f>
        <v>7.4999999999999997E-2</v>
      </c>
      <c r="J161" s="39">
        <f>$F$63*J$143/1000</f>
        <v>7.4999999999999997E-2</v>
      </c>
      <c r="K161" s="39">
        <f>$F$63*K$143/1000</f>
        <v>7.4999999999999997E-2</v>
      </c>
      <c r="L161" s="39">
        <f>$F$63*L$143/1000</f>
        <v>7.4999999999999997E-2</v>
      </c>
      <c r="M161" s="39">
        <f>$F$63*M$143/1000</f>
        <v>7.4999999999999997E-2</v>
      </c>
      <c r="N161" s="39">
        <f>$F$63*N$143/1000</f>
        <v>7.4999999999999997E-2</v>
      </c>
      <c r="O161" s="39">
        <f>$F$63*O$143/1000</f>
        <v>7.4999999999999997E-2</v>
      </c>
      <c r="P161" s="43"/>
      <c r="Q161" s="43"/>
      <c r="R161" s="43"/>
      <c r="S161" s="43"/>
      <c r="T161" s="43"/>
      <c r="U161" s="43"/>
      <c r="V161" s="43"/>
      <c r="W161" s="43"/>
      <c r="X161" s="43"/>
      <c r="Y161" s="43"/>
      <c r="Z161" s="43"/>
    </row>
    <row r="162" spans="1:26" s="784" customFormat="1" ht="12.75" x14ac:dyDescent="0.2">
      <c r="A162" s="3"/>
      <c r="B162" s="749"/>
      <c r="C162" s="781" t="s">
        <v>1032</v>
      </c>
      <c r="D162" s="749"/>
      <c r="E162" s="749"/>
      <c r="F162" s="39">
        <f>F158-SUM(F159:F161)</f>
        <v>1.8299000000000001</v>
      </c>
      <c r="G162" s="39">
        <f t="shared" ref="G162:O162" si="27">G158-SUM(G159:G161)</f>
        <v>1.8498950000000001</v>
      </c>
      <c r="H162" s="39">
        <f t="shared" si="27"/>
        <v>1.8700899500000001</v>
      </c>
      <c r="I162" s="39">
        <f t="shared" si="27"/>
        <v>1.8904868494999998</v>
      </c>
      <c r="J162" s="39">
        <f t="shared" si="27"/>
        <v>1.9110877179950001</v>
      </c>
      <c r="K162" s="39">
        <f t="shared" si="27"/>
        <v>1.93189459517495</v>
      </c>
      <c r="L162" s="39">
        <f t="shared" si="27"/>
        <v>1.9529095411266995</v>
      </c>
      <c r="M162" s="39">
        <f t="shared" si="27"/>
        <v>1.9741346365379662</v>
      </c>
      <c r="N162" s="39">
        <f t="shared" si="27"/>
        <v>1.9955719829033463</v>
      </c>
      <c r="O162" s="39">
        <f t="shared" si="27"/>
        <v>2.0172237027323794</v>
      </c>
      <c r="P162" s="43"/>
      <c r="Q162" s="43"/>
      <c r="R162" s="43"/>
      <c r="S162" s="43"/>
      <c r="T162" s="43"/>
      <c r="U162" s="43"/>
      <c r="V162" s="43"/>
      <c r="W162" s="43"/>
      <c r="X162" s="43"/>
      <c r="Y162" s="43"/>
      <c r="Z162" s="43"/>
    </row>
    <row r="163" spans="1:26" s="784" customFormat="1" ht="12.75" x14ac:dyDescent="0.2">
      <c r="A163" s="3"/>
      <c r="B163" s="3"/>
      <c r="C163" s="12"/>
      <c r="D163" s="3"/>
      <c r="E163" s="3"/>
      <c r="F163" s="28"/>
      <c r="G163" s="28"/>
      <c r="H163" s="28"/>
      <c r="I163" s="28"/>
      <c r="J163" s="28"/>
      <c r="K163" s="28"/>
      <c r="L163" s="28"/>
      <c r="M163" s="3"/>
      <c r="N163" s="3"/>
      <c r="O163" s="3"/>
      <c r="P163" s="43"/>
      <c r="Q163" s="43"/>
      <c r="R163" s="43"/>
      <c r="S163" s="43"/>
      <c r="T163" s="43"/>
      <c r="U163" s="43"/>
      <c r="V163" s="43"/>
      <c r="W163" s="43"/>
      <c r="X163" s="43"/>
      <c r="Y163" s="43"/>
      <c r="Z163" s="43"/>
    </row>
    <row r="164" spans="1:26" s="784" customFormat="1" ht="12.75" x14ac:dyDescent="0.2">
      <c r="A164" s="3"/>
      <c r="B164" s="392" t="s">
        <v>197</v>
      </c>
      <c r="C164" s="9"/>
      <c r="D164" s="749"/>
      <c r="E164" s="749"/>
      <c r="F164" s="749"/>
      <c r="G164" s="749"/>
      <c r="H164" s="749"/>
      <c r="I164" s="749"/>
      <c r="J164" s="749"/>
      <c r="K164" s="749"/>
      <c r="L164" s="749"/>
      <c r="M164" s="749"/>
      <c r="N164" s="749"/>
      <c r="O164" s="749"/>
      <c r="P164" s="43"/>
      <c r="Q164" s="43"/>
      <c r="R164" s="43"/>
      <c r="S164" s="43"/>
      <c r="T164" s="43"/>
      <c r="U164" s="43"/>
      <c r="V164" s="43"/>
      <c r="W164" s="43"/>
      <c r="X164" s="43"/>
      <c r="Y164" s="43"/>
      <c r="Z164" s="43"/>
    </row>
    <row r="165" spans="1:26" s="784" customFormat="1" ht="12.75" x14ac:dyDescent="0.2">
      <c r="A165" s="3"/>
      <c r="B165" s="749"/>
      <c r="C165" s="781" t="s">
        <v>1031</v>
      </c>
      <c r="D165" s="749"/>
      <c r="E165" s="749"/>
      <c r="F165" s="39">
        <f>MIN(F$144*$I$30*F$136,$I$31*F$144)</f>
        <v>4.2880000000000003</v>
      </c>
      <c r="G165" s="39">
        <f>MIN(G$144*$I$30*G$136,$I$31*G$144)</f>
        <v>4.5024000000000006</v>
      </c>
      <c r="H165" s="39">
        <f>MIN(H$144*$I$30*H$136,$I$31*H$144)</f>
        <v>4.7275200000000002</v>
      </c>
      <c r="I165" s="39">
        <f>MIN(I$144*$I$30*I$136,$I$31*I$144)</f>
        <v>4.963896000000001</v>
      </c>
      <c r="J165" s="39">
        <f>MIN(J$144*$I$30*J$136,$I$31*J$144)</f>
        <v>5.2120908000000012</v>
      </c>
      <c r="K165" s="39">
        <f>MIN(K$144*$I$30*K$136,$I$31*K$144)</f>
        <v>5.4726953400000022</v>
      </c>
      <c r="L165" s="39">
        <f>MIN(L$144*$I$30*L$136,$I$31*L$144)</f>
        <v>5.6</v>
      </c>
      <c r="M165" s="39">
        <f>MIN(M$144*$I$30*M$136,$I$31*M$144)</f>
        <v>5.6</v>
      </c>
      <c r="N165" s="39">
        <f>MIN(N$144*$I$30*N$136,$I$31*N$144)</f>
        <v>5.6</v>
      </c>
      <c r="O165" s="39">
        <f>MIN(O$144*$I$30*O$136,$I$31*O$144)</f>
        <v>5.6</v>
      </c>
      <c r="P165" s="43"/>
      <c r="Q165" s="43"/>
      <c r="R165" s="43"/>
      <c r="S165" s="43"/>
      <c r="T165" s="43"/>
      <c r="U165" s="43"/>
      <c r="V165" s="43"/>
      <c r="W165" s="43"/>
      <c r="X165" s="43"/>
      <c r="Y165" s="43"/>
      <c r="Z165" s="43"/>
    </row>
    <row r="166" spans="1:26" s="784" customFormat="1" ht="12.75" x14ac:dyDescent="0.2">
      <c r="A166" s="3"/>
      <c r="B166" s="749"/>
      <c r="C166" s="27" t="s">
        <v>232</v>
      </c>
      <c r="D166" s="749"/>
      <c r="E166" s="749"/>
      <c r="F166" s="39">
        <f>IF(F156&lt;=$I$37,($F$36-(F156*$I$38)),$I$36)*F165</f>
        <v>0.9648000000000001</v>
      </c>
      <c r="G166" s="39">
        <f t="shared" ref="G166:O166" si="28">IF(G156&lt;=$I$37,($F$36-(G156*$I$38)),$I$36)*G165</f>
        <v>0.90048000000000017</v>
      </c>
      <c r="H166" s="39">
        <f t="shared" si="28"/>
        <v>0.82731599999999994</v>
      </c>
      <c r="I166" s="39">
        <f t="shared" si="28"/>
        <v>0.74458440000000015</v>
      </c>
      <c r="J166" s="39">
        <f t="shared" si="28"/>
        <v>0.78181362000000021</v>
      </c>
      <c r="K166" s="39">
        <f t="shared" si="28"/>
        <v>0.82090430100000034</v>
      </c>
      <c r="L166" s="39">
        <f t="shared" si="28"/>
        <v>0.84</v>
      </c>
      <c r="M166" s="39">
        <f t="shared" si="28"/>
        <v>0.84</v>
      </c>
      <c r="N166" s="39">
        <f t="shared" si="28"/>
        <v>0.84</v>
      </c>
      <c r="O166" s="39">
        <f t="shared" si="28"/>
        <v>0.84</v>
      </c>
      <c r="P166" s="43"/>
      <c r="Q166" s="43"/>
      <c r="R166" s="43"/>
      <c r="S166" s="43"/>
      <c r="T166" s="43"/>
      <c r="U166" s="43"/>
      <c r="V166" s="43"/>
      <c r="W166" s="43"/>
      <c r="X166" s="43"/>
      <c r="Y166" s="43"/>
      <c r="Z166" s="43"/>
    </row>
    <row r="167" spans="1:26" s="784" customFormat="1" ht="12.75" x14ac:dyDescent="0.2">
      <c r="A167" s="3"/>
      <c r="B167" s="749"/>
      <c r="C167" s="27" t="s">
        <v>233</v>
      </c>
      <c r="D167" s="749"/>
      <c r="E167" s="749"/>
      <c r="F167" s="39">
        <f>$I$27/1000</f>
        <v>0.15</v>
      </c>
      <c r="G167" s="39">
        <f t="shared" ref="G167:O167" si="29">$I$27/1000</f>
        <v>0.15</v>
      </c>
      <c r="H167" s="39">
        <f t="shared" si="29"/>
        <v>0.15</v>
      </c>
      <c r="I167" s="39">
        <f t="shared" si="29"/>
        <v>0.15</v>
      </c>
      <c r="J167" s="39">
        <f t="shared" si="29"/>
        <v>0.15</v>
      </c>
      <c r="K167" s="39">
        <f t="shared" si="29"/>
        <v>0.15</v>
      </c>
      <c r="L167" s="39">
        <f t="shared" si="29"/>
        <v>0.15</v>
      </c>
      <c r="M167" s="39">
        <f t="shared" si="29"/>
        <v>0.15</v>
      </c>
      <c r="N167" s="39">
        <f t="shared" si="29"/>
        <v>0.15</v>
      </c>
      <c r="O167" s="39">
        <f t="shared" si="29"/>
        <v>0.15</v>
      </c>
      <c r="P167" s="43"/>
      <c r="Q167" s="43"/>
      <c r="R167" s="43"/>
      <c r="S167" s="43"/>
      <c r="T167" s="43"/>
      <c r="U167" s="43"/>
      <c r="V167" s="43"/>
      <c r="W167" s="43"/>
      <c r="X167" s="43"/>
      <c r="Y167" s="43"/>
      <c r="Z167" s="43"/>
    </row>
    <row r="168" spans="1:26" s="784" customFormat="1" ht="12.75" x14ac:dyDescent="0.2">
      <c r="A168" s="3"/>
      <c r="B168" s="749"/>
      <c r="C168" s="27" t="s">
        <v>234</v>
      </c>
      <c r="D168" s="749"/>
      <c r="E168" s="749"/>
      <c r="F168" s="39">
        <f>$I$63*F$144/1000</f>
        <v>0</v>
      </c>
      <c r="G168" s="39">
        <f>$I$63*G$144/1000*$F$29</f>
        <v>0</v>
      </c>
      <c r="H168" s="39">
        <f>$I$63*H$144/1000*$F$29</f>
        <v>0</v>
      </c>
      <c r="I168" s="39">
        <f>$I$63*I$144/1000*$F$29</f>
        <v>0</v>
      </c>
      <c r="J168" s="39">
        <f>$I$63*J$144/1000*$F$29</f>
        <v>0</v>
      </c>
      <c r="K168" s="39">
        <f>$I$63*K$144/1000*$F$29</f>
        <v>0</v>
      </c>
      <c r="L168" s="39">
        <f>$I$63*L$144/1000*$F$29</f>
        <v>0</v>
      </c>
      <c r="M168" s="39">
        <f>$I$63*M$144/1000*$F$29</f>
        <v>0</v>
      </c>
      <c r="N168" s="39">
        <f>$I$63*N$144/1000*$F$29</f>
        <v>0</v>
      </c>
      <c r="O168" s="39">
        <f>$I$63*O$144/1000*$F$29</f>
        <v>0</v>
      </c>
      <c r="P168" s="43"/>
      <c r="Q168" s="43"/>
      <c r="R168" s="43"/>
      <c r="S168" s="43"/>
      <c r="T168" s="43"/>
      <c r="U168" s="43"/>
      <c r="V168" s="43"/>
      <c r="W168" s="43"/>
      <c r="X168" s="43"/>
      <c r="Y168" s="43"/>
      <c r="Z168" s="43"/>
    </row>
    <row r="169" spans="1:26" s="784" customFormat="1" ht="12.75" x14ac:dyDescent="0.2">
      <c r="A169" s="3"/>
      <c r="B169" s="749"/>
      <c r="C169" s="781" t="s">
        <v>1032</v>
      </c>
      <c r="D169" s="749"/>
      <c r="E169" s="749"/>
      <c r="F169" s="39">
        <f>F165-SUM(F166:F168)</f>
        <v>3.1732000000000005</v>
      </c>
      <c r="G169" s="39">
        <f t="shared" ref="G169:O169" si="30">G165-SUM(G166:G168)</f>
        <v>3.4519200000000003</v>
      </c>
      <c r="H169" s="39">
        <f t="shared" si="30"/>
        <v>3.7502040000000001</v>
      </c>
      <c r="I169" s="39">
        <f t="shared" si="30"/>
        <v>4.0693116000000007</v>
      </c>
      <c r="J169" s="39">
        <f t="shared" si="30"/>
        <v>4.2802771800000006</v>
      </c>
      <c r="K169" s="39">
        <f t="shared" si="30"/>
        <v>4.5017910390000022</v>
      </c>
      <c r="L169" s="39">
        <f t="shared" si="30"/>
        <v>4.6099999999999994</v>
      </c>
      <c r="M169" s="39">
        <f t="shared" si="30"/>
        <v>4.6099999999999994</v>
      </c>
      <c r="N169" s="39">
        <f t="shared" si="30"/>
        <v>4.6099999999999994</v>
      </c>
      <c r="O169" s="39">
        <f t="shared" si="30"/>
        <v>4.6099999999999994</v>
      </c>
      <c r="P169" s="43"/>
      <c r="Q169" s="43"/>
      <c r="R169" s="43"/>
      <c r="S169" s="43"/>
      <c r="T169" s="43"/>
      <c r="U169" s="43"/>
      <c r="V169" s="43"/>
      <c r="W169" s="43"/>
      <c r="X169" s="43"/>
      <c r="Y169" s="43"/>
      <c r="Z169" s="43"/>
    </row>
    <row r="170" spans="1:26" s="784" customFormat="1" ht="12.75" x14ac:dyDescent="0.2">
      <c r="A170" s="3"/>
      <c r="B170" s="3"/>
      <c r="C170" s="12"/>
      <c r="D170" s="3"/>
      <c r="E170" s="3"/>
      <c r="F170" s="28"/>
      <c r="G170" s="28"/>
      <c r="H170" s="28"/>
      <c r="I170" s="28"/>
      <c r="J170" s="28"/>
      <c r="K170" s="28"/>
      <c r="L170" s="28"/>
      <c r="M170" s="3"/>
      <c r="N170" s="3"/>
      <c r="O170" s="3"/>
      <c r="P170" s="43"/>
      <c r="Q170" s="43"/>
      <c r="R170" s="43"/>
      <c r="S170" s="43"/>
      <c r="T170" s="43"/>
      <c r="U170" s="43"/>
      <c r="V170" s="43"/>
      <c r="W170" s="43"/>
      <c r="X170" s="43"/>
      <c r="Y170" s="43"/>
      <c r="Z170" s="43"/>
    </row>
    <row r="171" spans="1:26" ht="12.75" x14ac:dyDescent="0.2">
      <c r="A171" s="3"/>
      <c r="B171" s="4" t="s">
        <v>194</v>
      </c>
      <c r="C171" s="9"/>
      <c r="D171" s="2"/>
      <c r="E171" s="2"/>
      <c r="F171" s="2"/>
      <c r="G171" s="2"/>
      <c r="H171" s="2"/>
      <c r="I171" s="2"/>
      <c r="J171" s="2"/>
      <c r="K171" s="2"/>
      <c r="L171" s="2"/>
      <c r="M171" s="2"/>
      <c r="N171" s="2"/>
      <c r="O171" s="2"/>
      <c r="P171" s="3"/>
      <c r="Q171" s="3"/>
      <c r="R171" s="3"/>
      <c r="S171" s="3"/>
      <c r="T171" s="3"/>
      <c r="U171" s="3"/>
      <c r="V171" s="3"/>
      <c r="W171" s="3"/>
      <c r="X171" s="3"/>
      <c r="Y171" s="3"/>
      <c r="Z171" s="3"/>
    </row>
    <row r="172" spans="1:26" ht="12.75" x14ac:dyDescent="0.2">
      <c r="A172" s="3"/>
      <c r="B172" s="2"/>
      <c r="C172" s="9" t="s">
        <v>640</v>
      </c>
      <c r="D172" s="2"/>
      <c r="E172" s="2"/>
      <c r="F172" s="39">
        <f>F$143*$F$32*F134</f>
        <v>3</v>
      </c>
      <c r="G172" s="39">
        <f>G$143*$F$32*G134</f>
        <v>3.0300000000000002</v>
      </c>
      <c r="H172" s="39">
        <f>H$143*$F$32*H134</f>
        <v>3.0602999999999998</v>
      </c>
      <c r="I172" s="39">
        <f>I$143*$F$32*I134</f>
        <v>3.090903</v>
      </c>
      <c r="J172" s="39">
        <f>J$143*$F$32*J134</f>
        <v>3.1218120300000001</v>
      </c>
      <c r="K172" s="39">
        <f>K$143*$F$32*K134</f>
        <v>3.1530301502999998</v>
      </c>
      <c r="L172" s="39">
        <f>L$143*$F$32*L134</f>
        <v>3.1845604518029997</v>
      </c>
      <c r="M172" s="39">
        <f>M$143*$F$32*M134</f>
        <v>3.2164060563210297</v>
      </c>
      <c r="N172" s="39">
        <f>N$143*$F$32*N134</f>
        <v>3.24857011688424</v>
      </c>
      <c r="O172" s="39">
        <f>O$143*$F$32*O134</f>
        <v>3.2810558180530824</v>
      </c>
      <c r="P172" s="3"/>
      <c r="Q172" s="3"/>
      <c r="R172" s="3"/>
      <c r="S172" s="3"/>
      <c r="T172" s="3"/>
      <c r="U172" s="3"/>
      <c r="V172" s="3"/>
      <c r="W172" s="3"/>
      <c r="X172" s="3"/>
      <c r="Y172" s="3"/>
      <c r="Z172" s="3"/>
    </row>
    <row r="173" spans="1:26" ht="12.75" x14ac:dyDescent="0.2">
      <c r="A173" s="3"/>
      <c r="B173" s="2"/>
      <c r="C173" s="27" t="s">
        <v>232</v>
      </c>
      <c r="D173" s="2"/>
      <c r="E173" s="2"/>
      <c r="F173" s="39">
        <f>$F$36*F172</f>
        <v>0.67500000000000004</v>
      </c>
      <c r="G173" s="39">
        <f t="shared" ref="G173:O173" si="31">$F$36*G172</f>
        <v>0.68175000000000008</v>
      </c>
      <c r="H173" s="39">
        <f t="shared" si="31"/>
        <v>0.6885675</v>
      </c>
      <c r="I173" s="39">
        <f t="shared" si="31"/>
        <v>0.69545317500000003</v>
      </c>
      <c r="J173" s="39">
        <f t="shared" si="31"/>
        <v>0.70240770675000008</v>
      </c>
      <c r="K173" s="39">
        <f t="shared" si="31"/>
        <v>0.70943178381749994</v>
      </c>
      <c r="L173" s="39">
        <f t="shared" si="31"/>
        <v>0.71652610165567499</v>
      </c>
      <c r="M173" s="39">
        <f t="shared" si="31"/>
        <v>0.72369136267223166</v>
      </c>
      <c r="N173" s="39">
        <f t="shared" si="31"/>
        <v>0.73092827629895407</v>
      </c>
      <c r="O173" s="39">
        <f t="shared" si="31"/>
        <v>0.73823755906194355</v>
      </c>
      <c r="P173" s="3"/>
      <c r="Q173" s="3"/>
      <c r="R173" s="3"/>
      <c r="S173" s="3"/>
      <c r="T173" s="3"/>
      <c r="U173" s="3"/>
      <c r="V173" s="3"/>
      <c r="W173" s="3"/>
      <c r="X173" s="3"/>
      <c r="Y173" s="3"/>
      <c r="Z173" s="3"/>
    </row>
    <row r="174" spans="1:26" ht="12.75" x14ac:dyDescent="0.2">
      <c r="A174" s="3"/>
      <c r="B174" s="2"/>
      <c r="C174" s="27" t="s">
        <v>234</v>
      </c>
      <c r="D174" s="2"/>
      <c r="E174" s="2"/>
      <c r="F174" s="39">
        <f>$F$63*F$143/1000</f>
        <v>7.4999999999999997E-2</v>
      </c>
      <c r="G174" s="39">
        <f>$F$63*G$143/1000</f>
        <v>7.4999999999999997E-2</v>
      </c>
      <c r="H174" s="39">
        <f>$F$63*H$143/1000</f>
        <v>7.4999999999999997E-2</v>
      </c>
      <c r="I174" s="39">
        <f>$F$63*I$143/1000</f>
        <v>7.4999999999999997E-2</v>
      </c>
      <c r="J174" s="39">
        <f>$F$63*J$143/1000</f>
        <v>7.4999999999999997E-2</v>
      </c>
      <c r="K174" s="39">
        <f>$F$63*K$143/1000</f>
        <v>7.4999999999999997E-2</v>
      </c>
      <c r="L174" s="39">
        <f>$F$63*L$143/1000</f>
        <v>7.4999999999999997E-2</v>
      </c>
      <c r="M174" s="39">
        <f>$F$63*M$143/1000</f>
        <v>7.4999999999999997E-2</v>
      </c>
      <c r="N174" s="39">
        <f>$F$63*N$143/1000</f>
        <v>7.4999999999999997E-2</v>
      </c>
      <c r="O174" s="39">
        <f>$F$63*O$143/1000</f>
        <v>7.4999999999999997E-2</v>
      </c>
      <c r="P174" s="3"/>
      <c r="Q174" s="3"/>
      <c r="R174" s="3"/>
      <c r="S174" s="3"/>
      <c r="T174" s="3"/>
      <c r="U174" s="3"/>
      <c r="V174" s="3"/>
      <c r="W174" s="3"/>
      <c r="X174" s="3"/>
      <c r="Y174" s="3"/>
      <c r="Z174" s="3"/>
    </row>
    <row r="175" spans="1:26" ht="12.75" x14ac:dyDescent="0.2">
      <c r="A175" s="3"/>
      <c r="B175" s="2"/>
      <c r="C175" s="27" t="s">
        <v>641</v>
      </c>
      <c r="D175" s="2"/>
      <c r="E175" s="2"/>
      <c r="F175" s="39">
        <f t="shared" ref="F175:O175" si="32">F172-SUM(F173:F174)</f>
        <v>2.25</v>
      </c>
      <c r="G175" s="39">
        <f t="shared" si="32"/>
        <v>2.27325</v>
      </c>
      <c r="H175" s="39">
        <f t="shared" si="32"/>
        <v>2.2967325000000001</v>
      </c>
      <c r="I175" s="39">
        <f t="shared" si="32"/>
        <v>2.3204498249999999</v>
      </c>
      <c r="J175" s="39">
        <f t="shared" si="32"/>
        <v>2.34440432325</v>
      </c>
      <c r="K175" s="39">
        <f t="shared" si="32"/>
        <v>2.3685983664824999</v>
      </c>
      <c r="L175" s="39">
        <f t="shared" si="32"/>
        <v>2.3930343501473246</v>
      </c>
      <c r="M175" s="39">
        <f t="shared" si="32"/>
        <v>2.4177146936487981</v>
      </c>
      <c r="N175" s="39">
        <f t="shared" si="32"/>
        <v>2.4426418405852859</v>
      </c>
      <c r="O175" s="39">
        <f t="shared" si="32"/>
        <v>2.467818258991139</v>
      </c>
      <c r="P175" s="3"/>
      <c r="Q175" s="3"/>
      <c r="R175" s="3"/>
      <c r="S175" s="3"/>
      <c r="T175" s="3"/>
      <c r="U175" s="3"/>
      <c r="V175" s="3"/>
      <c r="W175" s="3"/>
      <c r="X175" s="3"/>
      <c r="Y175" s="3"/>
      <c r="Z175" s="3"/>
    </row>
    <row r="176" spans="1:26" ht="12.75" x14ac:dyDescent="0.2">
      <c r="A176" s="3"/>
      <c r="B176" s="3"/>
      <c r="C176" s="12"/>
      <c r="D176" s="3"/>
      <c r="E176" s="3"/>
      <c r="F176" s="28"/>
      <c r="G176" s="28"/>
      <c r="H176" s="28"/>
      <c r="I176" s="28"/>
      <c r="J176" s="28"/>
      <c r="K176" s="28"/>
      <c r="L176" s="28"/>
      <c r="M176" s="3"/>
      <c r="N176" s="3"/>
      <c r="O176" s="3"/>
      <c r="P176" s="3"/>
      <c r="Q176" s="3"/>
      <c r="R176" s="3"/>
      <c r="S176" s="3"/>
      <c r="T176" s="3"/>
      <c r="U176" s="3"/>
      <c r="V176" s="3"/>
      <c r="W176" s="3"/>
      <c r="X176" s="3"/>
      <c r="Y176" s="3"/>
      <c r="Z176" s="3"/>
    </row>
    <row r="177" spans="1:26" ht="12.75" x14ac:dyDescent="0.2">
      <c r="A177" s="3"/>
      <c r="B177" s="4" t="s">
        <v>197</v>
      </c>
      <c r="C177" s="9"/>
      <c r="D177" s="2"/>
      <c r="E177" s="2"/>
      <c r="F177" s="2"/>
      <c r="G177" s="749"/>
      <c r="H177" s="749"/>
      <c r="I177" s="749"/>
      <c r="J177" s="749"/>
      <c r="K177" s="749"/>
      <c r="L177" s="2"/>
      <c r="M177" s="2"/>
      <c r="N177" s="2"/>
      <c r="O177" s="2"/>
      <c r="P177" s="3"/>
      <c r="Q177" s="3"/>
      <c r="R177" s="3"/>
      <c r="S177" s="3"/>
      <c r="T177" s="3"/>
      <c r="U177" s="3"/>
      <c r="V177" s="3"/>
      <c r="W177" s="3"/>
      <c r="X177" s="3"/>
      <c r="Y177" s="3"/>
      <c r="Z177" s="3"/>
    </row>
    <row r="178" spans="1:26" ht="12.75" x14ac:dyDescent="0.2">
      <c r="A178" s="3"/>
      <c r="B178" s="2"/>
      <c r="C178" s="9" t="s">
        <v>640</v>
      </c>
      <c r="D178" s="2"/>
      <c r="E178" s="2"/>
      <c r="F178" s="39">
        <f>MIN(F$144*$I$32*F$136,$I$33*F$144)</f>
        <v>5.36</v>
      </c>
      <c r="G178" s="39">
        <f>MIN(G$144*$I$32*G$136,$I$33*G$144)</f>
        <v>5.628000000000001</v>
      </c>
      <c r="H178" s="39">
        <f>MIN(H$144*$I$32*H$136,$I$33*H$144)</f>
        <v>5.9094000000000007</v>
      </c>
      <c r="I178" s="39">
        <f>MIN(I$144*$I$32*I$136,$I$33*I$144)</f>
        <v>6.2048700000000014</v>
      </c>
      <c r="J178" s="39">
        <f>MIN(J$144*$I$32*J$136,$I$33*J$144)</f>
        <v>6.5151135000000018</v>
      </c>
      <c r="K178" s="39">
        <f>MIN(K$144*$I$32*K$136,$I$33*K$144)</f>
        <v>6.7</v>
      </c>
      <c r="L178" s="39">
        <f>MIN(L$144*$I$32*L$136,$I$33*L$144)</f>
        <v>6.7</v>
      </c>
      <c r="M178" s="39">
        <f>MIN(M$144*$I$32*M$136,$I$33*M$144)</f>
        <v>6.7</v>
      </c>
      <c r="N178" s="39">
        <f>MIN(N$144*$I$32*N$136,$I$33*N$144)</f>
        <v>6.7</v>
      </c>
      <c r="O178" s="39">
        <f>MIN(O$144*$I$32*O$136,$I$33*O$144)</f>
        <v>6.7</v>
      </c>
      <c r="P178" s="3"/>
      <c r="Q178" s="3"/>
      <c r="R178" s="3"/>
      <c r="S178" s="3"/>
      <c r="T178" s="3"/>
      <c r="U178" s="3"/>
      <c r="V178" s="3"/>
      <c r="W178" s="3"/>
      <c r="X178" s="3"/>
      <c r="Y178" s="3"/>
      <c r="Z178" s="3"/>
    </row>
    <row r="179" spans="1:26" ht="12.75" x14ac:dyDescent="0.2">
      <c r="A179" s="3"/>
      <c r="B179" s="2"/>
      <c r="C179" s="27" t="s">
        <v>232</v>
      </c>
      <c r="D179" s="2"/>
      <c r="E179" s="2"/>
      <c r="F179" s="39">
        <f t="shared" ref="F179:O179" si="33">IF(F156&lt;=$I$37,($F$36-(F156*$I$38)),$I$36)*F178</f>
        <v>1.2060000000000002</v>
      </c>
      <c r="G179" s="39">
        <f t="shared" si="33"/>
        <v>1.1256000000000002</v>
      </c>
      <c r="H179" s="39">
        <f t="shared" si="33"/>
        <v>1.0341450000000001</v>
      </c>
      <c r="I179" s="39">
        <f t="shared" si="33"/>
        <v>0.93073050000000013</v>
      </c>
      <c r="J179" s="39">
        <f t="shared" si="33"/>
        <v>0.97726702500000018</v>
      </c>
      <c r="K179" s="39">
        <f t="shared" si="33"/>
        <v>1.0049999999999999</v>
      </c>
      <c r="L179" s="39">
        <f t="shared" si="33"/>
        <v>1.0049999999999999</v>
      </c>
      <c r="M179" s="39">
        <f t="shared" si="33"/>
        <v>1.0049999999999999</v>
      </c>
      <c r="N179" s="39">
        <f t="shared" si="33"/>
        <v>1.0049999999999999</v>
      </c>
      <c r="O179" s="39">
        <f t="shared" si="33"/>
        <v>1.0049999999999999</v>
      </c>
      <c r="P179" s="3"/>
      <c r="Q179" s="3"/>
      <c r="R179" s="3"/>
      <c r="S179" s="3"/>
      <c r="T179" s="3"/>
      <c r="U179" s="3"/>
      <c r="V179" s="3"/>
      <c r="W179" s="3"/>
      <c r="X179" s="3"/>
      <c r="Y179" s="3"/>
      <c r="Z179" s="3"/>
    </row>
    <row r="180" spans="1:26" ht="12.75" x14ac:dyDescent="0.2">
      <c r="A180" s="3"/>
      <c r="B180" s="2"/>
      <c r="C180" s="27" t="s">
        <v>234</v>
      </c>
      <c r="D180" s="2"/>
      <c r="E180" s="2"/>
      <c r="F180" s="821">
        <f>$I$63*F$144/1000</f>
        <v>0</v>
      </c>
      <c r="G180" s="39">
        <f>$I$63*G$144/1000</f>
        <v>0</v>
      </c>
      <c r="H180" s="39">
        <f>$I$63*H$144/1000</f>
        <v>0</v>
      </c>
      <c r="I180" s="39">
        <f>$I$63*I$144/1000</f>
        <v>0</v>
      </c>
      <c r="J180" s="39">
        <f>$I$63*J$144/1000</f>
        <v>0</v>
      </c>
      <c r="K180" s="39">
        <f>$I$63*K$144/1000</f>
        <v>0</v>
      </c>
      <c r="L180" s="39">
        <f>$I$63*L$144/1000</f>
        <v>0</v>
      </c>
      <c r="M180" s="39">
        <f>$I$63*M$144/1000</f>
        <v>0</v>
      </c>
      <c r="N180" s="39">
        <f>$I$63*N$144/1000</f>
        <v>0</v>
      </c>
      <c r="O180" s="39">
        <f>$I$63*O$144/1000</f>
        <v>0</v>
      </c>
      <c r="P180" s="3"/>
      <c r="Q180" s="3"/>
      <c r="R180" s="3"/>
      <c r="S180" s="3"/>
      <c r="T180" s="3"/>
      <c r="U180" s="3"/>
      <c r="V180" s="3"/>
      <c r="W180" s="3"/>
      <c r="X180" s="3"/>
      <c r="Y180" s="3"/>
      <c r="Z180" s="3"/>
    </row>
    <row r="181" spans="1:26" ht="12.75" x14ac:dyDescent="0.2">
      <c r="A181" s="3"/>
      <c r="B181" s="2"/>
      <c r="C181" s="27" t="s">
        <v>641</v>
      </c>
      <c r="D181" s="2"/>
      <c r="E181" s="2"/>
      <c r="F181" s="39">
        <f t="shared" ref="F181:O181" si="34">F178-SUM(F179:F180)</f>
        <v>4.1539999999999999</v>
      </c>
      <c r="G181" s="39">
        <f t="shared" si="34"/>
        <v>4.5024000000000006</v>
      </c>
      <c r="H181" s="39">
        <f t="shared" si="34"/>
        <v>4.875255000000001</v>
      </c>
      <c r="I181" s="39">
        <f t="shared" si="34"/>
        <v>5.2741395000000013</v>
      </c>
      <c r="J181" s="39">
        <f t="shared" si="34"/>
        <v>5.537846475000002</v>
      </c>
      <c r="K181" s="39">
        <f t="shared" si="34"/>
        <v>5.6950000000000003</v>
      </c>
      <c r="L181" s="39">
        <f t="shared" si="34"/>
        <v>5.6950000000000003</v>
      </c>
      <c r="M181" s="39">
        <f t="shared" si="34"/>
        <v>5.6950000000000003</v>
      </c>
      <c r="N181" s="39">
        <f t="shared" si="34"/>
        <v>5.6950000000000003</v>
      </c>
      <c r="O181" s="39">
        <f t="shared" si="34"/>
        <v>5.6950000000000003</v>
      </c>
      <c r="P181" s="3"/>
      <c r="Q181" s="3"/>
      <c r="R181" s="3"/>
      <c r="S181" s="3"/>
      <c r="T181" s="3"/>
      <c r="U181" s="3"/>
      <c r="V181" s="3"/>
      <c r="W181" s="3"/>
      <c r="X181" s="3"/>
      <c r="Y181" s="3"/>
      <c r="Z181" s="3"/>
    </row>
    <row r="182" spans="1:26" ht="12.75" hidden="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hidden="1" x14ac:dyDescent="0.2">
      <c r="A183" s="3"/>
      <c r="B183" s="4" t="s">
        <v>198</v>
      </c>
      <c r="C183" s="9"/>
      <c r="D183" s="2"/>
      <c r="E183" s="2"/>
      <c r="F183" s="2"/>
      <c r="G183" s="2"/>
      <c r="H183" s="2"/>
      <c r="I183" s="2"/>
      <c r="J183" s="2"/>
      <c r="K183" s="2"/>
      <c r="L183" s="2"/>
      <c r="M183" s="2"/>
      <c r="N183" s="2"/>
      <c r="O183" s="2"/>
      <c r="P183" s="3"/>
      <c r="Q183" s="3"/>
      <c r="R183" s="3"/>
      <c r="S183" s="3"/>
      <c r="T183" s="3"/>
      <c r="U183" s="3"/>
      <c r="V183" s="3"/>
      <c r="W183" s="3"/>
      <c r="X183" s="3"/>
      <c r="Y183" s="3"/>
      <c r="Z183" s="3"/>
    </row>
    <row r="184" spans="1:26" ht="12.75" hidden="1" x14ac:dyDescent="0.2">
      <c r="A184" s="3"/>
      <c r="B184" s="2"/>
      <c r="C184" s="9" t="s">
        <v>640</v>
      </c>
      <c r="D184" s="2"/>
      <c r="E184" s="2"/>
      <c r="F184" s="39" t="e">
        <f>MIN(#REF!*$M$32*F$136,$M$33*#REF!)*$F$29</f>
        <v>#REF!</v>
      </c>
      <c r="G184" s="39" t="e">
        <f>MIN(#REF!*$M$32*G$136,$M$33*#REF!)*$F$29</f>
        <v>#REF!</v>
      </c>
      <c r="H184" s="39" t="e">
        <f>MIN(#REF!*$M$32*H$136,$M$33*#REF!)*$F$29</f>
        <v>#REF!</v>
      </c>
      <c r="I184" s="39" t="e">
        <f>MIN(#REF!*$M$32*I$136,$M$33*#REF!)*$F$29</f>
        <v>#REF!</v>
      </c>
      <c r="J184" s="39" t="e">
        <f>MIN(#REF!*$M$32*J$136,$M$33*#REF!)*$F$29</f>
        <v>#REF!</v>
      </c>
      <c r="K184" s="39" t="e">
        <f>MIN(#REF!*$M$32*K$136,$M$33*#REF!)*$F$29</f>
        <v>#REF!</v>
      </c>
      <c r="L184" s="39" t="e">
        <f>MIN(#REF!*$M$32*L$136,$M$33*#REF!)*$F$29</f>
        <v>#REF!</v>
      </c>
      <c r="M184" s="39" t="e">
        <f>MIN(#REF!*$M$32*M$136,$M$33*#REF!)*$F$29</f>
        <v>#REF!</v>
      </c>
      <c r="N184" s="39" t="e">
        <f>MIN(#REF!*$M$32*N$136,$M$33*#REF!)*$F$29</f>
        <v>#REF!</v>
      </c>
      <c r="O184" s="39" t="e">
        <f>MIN(#REF!*$M$32*O$136,$M$33*#REF!)*$F$29</f>
        <v>#REF!</v>
      </c>
      <c r="P184" s="3"/>
      <c r="Q184" s="3"/>
      <c r="R184" s="3"/>
      <c r="S184" s="3"/>
      <c r="T184" s="3"/>
      <c r="U184" s="3"/>
      <c r="V184" s="3"/>
      <c r="W184" s="3"/>
      <c r="X184" s="3"/>
      <c r="Y184" s="3"/>
      <c r="Z184" s="3"/>
    </row>
    <row r="185" spans="1:26" ht="12.75" hidden="1" x14ac:dyDescent="0.2">
      <c r="A185" s="3"/>
      <c r="B185" s="2"/>
      <c r="C185" s="27" t="s">
        <v>232</v>
      </c>
      <c r="D185" s="2"/>
      <c r="E185" s="2"/>
      <c r="F185" s="39" t="e">
        <f>$M$36*F184</f>
        <v>#REF!</v>
      </c>
      <c r="G185" s="39" t="e">
        <f t="shared" ref="G185:O185" si="35">$M$36*G184</f>
        <v>#REF!</v>
      </c>
      <c r="H185" s="39" t="e">
        <f t="shared" si="35"/>
        <v>#REF!</v>
      </c>
      <c r="I185" s="39" t="e">
        <f t="shared" si="35"/>
        <v>#REF!</v>
      </c>
      <c r="J185" s="39" t="e">
        <f t="shared" si="35"/>
        <v>#REF!</v>
      </c>
      <c r="K185" s="39" t="e">
        <f t="shared" si="35"/>
        <v>#REF!</v>
      </c>
      <c r="L185" s="39" t="e">
        <f t="shared" si="35"/>
        <v>#REF!</v>
      </c>
      <c r="M185" s="39">
        <v>2.5529999999999999</v>
      </c>
      <c r="N185" s="39" t="e">
        <f t="shared" si="35"/>
        <v>#REF!</v>
      </c>
      <c r="O185" s="39" t="e">
        <f t="shared" si="35"/>
        <v>#REF!</v>
      </c>
      <c r="P185" s="3"/>
      <c r="Q185" s="3"/>
      <c r="R185" s="3"/>
      <c r="S185" s="3"/>
      <c r="T185" s="3"/>
      <c r="U185" s="3"/>
      <c r="V185" s="3"/>
      <c r="W185" s="3"/>
      <c r="X185" s="3"/>
      <c r="Y185" s="3"/>
      <c r="Z185" s="3"/>
    </row>
    <row r="186" spans="1:26" ht="12.75" hidden="1" x14ac:dyDescent="0.2">
      <c r="A186" s="3"/>
      <c r="B186" s="2"/>
      <c r="C186" s="27" t="s">
        <v>233</v>
      </c>
      <c r="D186" s="2"/>
      <c r="E186" s="2"/>
      <c r="F186" s="39">
        <f>$M$27/1000</f>
        <v>0</v>
      </c>
      <c r="G186" s="39">
        <f t="shared" ref="G186:O186" si="36">$M$27/1000</f>
        <v>0</v>
      </c>
      <c r="H186" s="39">
        <f t="shared" si="36"/>
        <v>0</v>
      </c>
      <c r="I186" s="39">
        <f t="shared" si="36"/>
        <v>0</v>
      </c>
      <c r="J186" s="39">
        <f t="shared" si="36"/>
        <v>0</v>
      </c>
      <c r="K186" s="39">
        <f t="shared" si="36"/>
        <v>0</v>
      </c>
      <c r="L186" s="39">
        <f t="shared" si="36"/>
        <v>0</v>
      </c>
      <c r="M186" s="39">
        <f t="shared" si="36"/>
        <v>0</v>
      </c>
      <c r="N186" s="39">
        <f t="shared" si="36"/>
        <v>0</v>
      </c>
      <c r="O186" s="39">
        <f t="shared" si="36"/>
        <v>0</v>
      </c>
      <c r="P186" s="3"/>
      <c r="Q186" s="3"/>
      <c r="R186" s="3"/>
      <c r="S186" s="3"/>
      <c r="T186" s="3"/>
      <c r="U186" s="3"/>
      <c r="V186" s="3"/>
      <c r="W186" s="3"/>
      <c r="X186" s="3"/>
      <c r="Y186" s="3"/>
      <c r="Z186" s="3"/>
    </row>
    <row r="187" spans="1:26" ht="12.75" hidden="1" x14ac:dyDescent="0.2">
      <c r="A187" s="3"/>
      <c r="B187" s="2"/>
      <c r="C187" s="27" t="s">
        <v>234</v>
      </c>
      <c r="D187" s="2"/>
      <c r="E187" s="2"/>
      <c r="F187" s="39" t="e">
        <f>$M$63*#REF!/1000*$F$29</f>
        <v>#REF!</v>
      </c>
      <c r="G187" s="39" t="e">
        <f>$M$63*#REF!/1000*$F$29</f>
        <v>#REF!</v>
      </c>
      <c r="H187" s="39" t="e">
        <f>$M$63*#REF!/1000*$F$29</f>
        <v>#REF!</v>
      </c>
      <c r="I187" s="39" t="e">
        <f>$M$63*#REF!/1000*$F$29</f>
        <v>#REF!</v>
      </c>
      <c r="J187" s="39" t="e">
        <f>$M$63*#REF!/1000*$F$29</f>
        <v>#REF!</v>
      </c>
      <c r="K187" s="39" t="e">
        <f>$M$63*#REF!/1000*$F$29</f>
        <v>#REF!</v>
      </c>
      <c r="L187" s="39" t="e">
        <f>$M$63*#REF!/1000*$F$29</f>
        <v>#REF!</v>
      </c>
      <c r="M187" s="39" t="e">
        <f>$M$63*#REF!/1000*$F$29</f>
        <v>#REF!</v>
      </c>
      <c r="N187" s="39" t="e">
        <f>$M$63*#REF!/1000*$F$29</f>
        <v>#REF!</v>
      </c>
      <c r="O187" s="39" t="e">
        <f>$M$63*#REF!/1000*$F$29</f>
        <v>#REF!</v>
      </c>
      <c r="P187" s="3"/>
      <c r="Q187" s="3"/>
      <c r="R187" s="3"/>
      <c r="S187" s="3"/>
      <c r="T187" s="3"/>
      <c r="U187" s="3"/>
      <c r="V187" s="3"/>
      <c r="W187" s="3"/>
      <c r="X187" s="3"/>
      <c r="Y187" s="3"/>
      <c r="Z187" s="3"/>
    </row>
    <row r="188" spans="1:26" ht="12.75" hidden="1" x14ac:dyDescent="0.2">
      <c r="A188" s="3"/>
      <c r="B188" s="2"/>
      <c r="C188" s="27" t="s">
        <v>641</v>
      </c>
      <c r="D188" s="2"/>
      <c r="E188" s="2"/>
      <c r="F188" s="39" t="e">
        <f>F184-F185-F186-F187</f>
        <v>#REF!</v>
      </c>
      <c r="G188" s="39" t="e">
        <f t="shared" ref="G188:O188" si="37">G184-G185-G186-G187</f>
        <v>#REF!</v>
      </c>
      <c r="H188" s="39" t="e">
        <f t="shared" si="37"/>
        <v>#REF!</v>
      </c>
      <c r="I188" s="39" t="e">
        <f t="shared" si="37"/>
        <v>#REF!</v>
      </c>
      <c r="J188" s="39" t="e">
        <f t="shared" si="37"/>
        <v>#REF!</v>
      </c>
      <c r="K188" s="39" t="e">
        <f t="shared" si="37"/>
        <v>#REF!</v>
      </c>
      <c r="L188" s="39" t="e">
        <f t="shared" si="37"/>
        <v>#REF!</v>
      </c>
      <c r="M188" s="39" t="e">
        <f t="shared" si="37"/>
        <v>#REF!</v>
      </c>
      <c r="N188" s="39" t="e">
        <f t="shared" si="37"/>
        <v>#REF!</v>
      </c>
      <c r="O188" s="39" t="e">
        <f t="shared" si="37"/>
        <v>#REF!</v>
      </c>
      <c r="P188" s="3"/>
      <c r="Q188" s="3"/>
      <c r="R188" s="3"/>
      <c r="S188" s="3"/>
      <c r="T188" s="3"/>
      <c r="U188" s="3"/>
      <c r="V188" s="3"/>
      <c r="W188" s="3"/>
      <c r="X188" s="3"/>
      <c r="Y188" s="3"/>
      <c r="Z188" s="3"/>
    </row>
    <row r="189" spans="1:26" ht="12.75"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x14ac:dyDescent="0.2">
      <c r="A190" s="3"/>
      <c r="B190" s="29" t="s">
        <v>225</v>
      </c>
      <c r="C190" s="2"/>
      <c r="D190" s="2"/>
      <c r="E190" s="2"/>
      <c r="F190" s="39"/>
      <c r="G190" s="39"/>
      <c r="H190" s="39"/>
      <c r="I190" s="39"/>
      <c r="J190" s="39"/>
      <c r="K190" s="39"/>
      <c r="L190" s="39"/>
      <c r="M190" s="39"/>
      <c r="N190" s="39"/>
      <c r="O190" s="39"/>
      <c r="P190" s="3"/>
      <c r="Q190" s="3"/>
      <c r="R190" s="3"/>
      <c r="S190" s="3"/>
      <c r="T190" s="3"/>
      <c r="U190" s="3"/>
      <c r="V190" s="3"/>
      <c r="W190" s="3"/>
      <c r="X190" s="3"/>
      <c r="Y190" s="3"/>
      <c r="Z190" s="3"/>
    </row>
    <row r="191" spans="1:26" ht="12.75" x14ac:dyDescent="0.2">
      <c r="A191" s="3"/>
      <c r="B191" s="2"/>
      <c r="C191" s="781" t="s">
        <v>1037</v>
      </c>
      <c r="D191" s="2"/>
      <c r="E191" s="2"/>
      <c r="F191" s="39">
        <f>(F158+F172)*$F$92*F$123*(1+$F$95)</f>
        <v>348.13620000000003</v>
      </c>
      <c r="G191" s="39">
        <f t="shared" ref="G191:O191" si="38">(G158+G172)*$F$92*G$123*(1+$F$95)</f>
        <v>379.39534939799995</v>
      </c>
      <c r="H191" s="39">
        <f t="shared" si="38"/>
        <v>413.46125782044641</v>
      </c>
      <c r="I191" s="39">
        <f t="shared" si="38"/>
        <v>450.58594416014427</v>
      </c>
      <c r="J191" s="39">
        <f t="shared" si="38"/>
        <v>491.0440560862836</v>
      </c>
      <c r="K191" s="39">
        <f t="shared" si="38"/>
        <v>535.13490188227104</v>
      </c>
      <c r="L191" s="39">
        <f t="shared" si="38"/>
        <v>583.1846647222801</v>
      </c>
      <c r="M191" s="39">
        <f t="shared" si="38"/>
        <v>635.54881576769355</v>
      </c>
      <c r="N191" s="39">
        <f t="shared" si="38"/>
        <v>692.61474393547462</v>
      </c>
      <c r="O191" s="39">
        <f t="shared" si="38"/>
        <v>754.80462179344102</v>
      </c>
      <c r="P191" s="3"/>
      <c r="Q191" s="3"/>
      <c r="R191" s="3"/>
      <c r="S191" s="3"/>
      <c r="T191" s="3"/>
      <c r="U191" s="3"/>
      <c r="V191" s="3"/>
      <c r="W191" s="3"/>
      <c r="X191" s="3"/>
      <c r="Y191" s="3"/>
      <c r="Z191" s="3"/>
    </row>
    <row r="192" spans="1:26" ht="12.75" x14ac:dyDescent="0.2">
      <c r="A192" s="3"/>
      <c r="B192" s="2"/>
      <c r="C192" s="27" t="s">
        <v>231</v>
      </c>
      <c r="D192" s="2"/>
      <c r="E192" s="2"/>
      <c r="F192" s="39">
        <f>(F159+F173)*$F$93*F$123*(1+$F$95)</f>
        <v>75.819645000000008</v>
      </c>
      <c r="G192" s="39">
        <f t="shared" ref="G192:O192" si="39">(G159+G173)*$F$93*G$123*(1+$F$95)</f>
        <v>82.627490924549988</v>
      </c>
      <c r="H192" s="39">
        <f t="shared" si="39"/>
        <v>90.046613334665352</v>
      </c>
      <c r="I192" s="39">
        <f t="shared" si="39"/>
        <v>98.131898745984927</v>
      </c>
      <c r="J192" s="39">
        <f t="shared" si="39"/>
        <v>106.94316193438695</v>
      </c>
      <c r="K192" s="39">
        <f t="shared" si="39"/>
        <v>116.5455884444755</v>
      </c>
      <c r="L192" s="39">
        <f t="shared" si="39"/>
        <v>127.01021683090499</v>
      </c>
      <c r="M192" s="39">
        <f t="shared" si="39"/>
        <v>138.41446420015191</v>
      </c>
      <c r="N192" s="39">
        <f t="shared" si="39"/>
        <v>150.84269894068356</v>
      </c>
      <c r="O192" s="39">
        <f t="shared" si="39"/>
        <v>164.38686487856754</v>
      </c>
      <c r="P192" s="3"/>
      <c r="Q192" s="3"/>
      <c r="R192" s="3"/>
      <c r="S192" s="3"/>
      <c r="T192" s="3"/>
      <c r="U192" s="3"/>
      <c r="V192" s="3"/>
      <c r="W192" s="3"/>
      <c r="X192" s="3"/>
      <c r="Y192" s="3"/>
      <c r="Z192" s="3"/>
    </row>
    <row r="193" spans="1:26" ht="12.75" x14ac:dyDescent="0.2">
      <c r="A193" s="3"/>
      <c r="B193" s="2"/>
      <c r="C193" s="393" t="s">
        <v>878</v>
      </c>
      <c r="D193" s="2"/>
      <c r="E193" s="2"/>
      <c r="F193" s="39">
        <f>F160*$F$93*F$123*(1+$F$95)</f>
        <v>5.7128939999999995</v>
      </c>
      <c r="G193" s="39">
        <f t="shared" ref="G193:O193" si="40">G160*$F$93*G$123*(1+$F$95)</f>
        <v>6.1642126259999994</v>
      </c>
      <c r="H193" s="39">
        <f t="shared" si="40"/>
        <v>6.6511854234539989</v>
      </c>
      <c r="I193" s="39">
        <f t="shared" si="40"/>
        <v>7.1766290719068646</v>
      </c>
      <c r="J193" s="39">
        <f t="shared" si="40"/>
        <v>7.7435827685875074</v>
      </c>
      <c r="K193" s="39">
        <f t="shared" si="40"/>
        <v>8.3553258073059204</v>
      </c>
      <c r="L193" s="39">
        <f t="shared" si="40"/>
        <v>9.0153965460830872</v>
      </c>
      <c r="M193" s="39">
        <f t="shared" si="40"/>
        <v>9.7276128732236504</v>
      </c>
      <c r="N193" s="39">
        <f t="shared" si="40"/>
        <v>10.496094290208319</v>
      </c>
      <c r="O193" s="39">
        <f t="shared" si="40"/>
        <v>11.325285739134776</v>
      </c>
      <c r="P193" s="3"/>
      <c r="Q193" s="3"/>
      <c r="R193" s="3"/>
      <c r="S193" s="3"/>
      <c r="T193" s="3"/>
      <c r="U193" s="3"/>
      <c r="V193" s="3"/>
      <c r="W193" s="3"/>
      <c r="X193" s="3"/>
      <c r="Y193" s="3"/>
      <c r="Z193" s="3"/>
    </row>
    <row r="194" spans="1:26" ht="12.75" x14ac:dyDescent="0.2">
      <c r="A194" s="3"/>
      <c r="B194" s="2"/>
      <c r="C194" s="393" t="s">
        <v>879</v>
      </c>
      <c r="D194" s="2"/>
      <c r="E194" s="2"/>
      <c r="F194" s="39">
        <f>(F161+F174)*$F$93*F$123*(1+$F$95)</f>
        <v>9.0585000000000004</v>
      </c>
      <c r="G194" s="39">
        <f>(G161+G174)*$F$93*G$123*(1+$F$95)</f>
        <v>9.7741214999999997</v>
      </c>
      <c r="H194" s="39">
        <f t="shared" ref="H194:O194" si="41">(H161+H174)*$F$93*H$123*(1+$F$95)</f>
        <v>10.546277098499999</v>
      </c>
      <c r="I194" s="39">
        <f t="shared" si="41"/>
        <v>11.379432989281499</v>
      </c>
      <c r="J194" s="39">
        <f t="shared" si="41"/>
        <v>12.278408195434737</v>
      </c>
      <c r="K194" s="39">
        <f t="shared" si="41"/>
        <v>13.248402442874081</v>
      </c>
      <c r="L194" s="39">
        <f t="shared" si="41"/>
        <v>14.295026235861133</v>
      </c>
      <c r="M194" s="39">
        <f t="shared" si="41"/>
        <v>15.424333308494163</v>
      </c>
      <c r="N194" s="39">
        <f t="shared" si="41"/>
        <v>16.6428556398652</v>
      </c>
      <c r="O194" s="39">
        <f t="shared" si="41"/>
        <v>17.957641235414552</v>
      </c>
      <c r="P194" s="3"/>
      <c r="Q194" s="3"/>
      <c r="R194" s="3"/>
      <c r="S194" s="3"/>
      <c r="T194" s="3"/>
      <c r="U194" s="3"/>
      <c r="V194" s="3"/>
      <c r="W194" s="3"/>
      <c r="X194" s="3"/>
      <c r="Y194" s="3"/>
      <c r="Z194" s="3"/>
    </row>
    <row r="195" spans="1:26" ht="12.75" x14ac:dyDescent="0.2">
      <c r="A195" s="3"/>
      <c r="B195" s="2"/>
      <c r="C195" s="822" t="s">
        <v>1034</v>
      </c>
      <c r="D195" s="60"/>
      <c r="E195" s="60"/>
      <c r="F195" s="61">
        <f>F191-SUM(F192:F194)</f>
        <v>257.54516100000001</v>
      </c>
      <c r="G195" s="61">
        <f t="shared" ref="G195:O195" si="42">G191-SUM(G192:G194)</f>
        <v>280.82952434744993</v>
      </c>
      <c r="H195" s="61">
        <f t="shared" si="42"/>
        <v>306.21718196382704</v>
      </c>
      <c r="I195" s="61">
        <f t="shared" si="42"/>
        <v>333.89798335297098</v>
      </c>
      <c r="J195" s="61">
        <f t="shared" si="42"/>
        <v>364.0789031878744</v>
      </c>
      <c r="K195" s="61">
        <f t="shared" si="42"/>
        <v>396.98558518761553</v>
      </c>
      <c r="L195" s="61">
        <f t="shared" si="42"/>
        <v>432.86402510943088</v>
      </c>
      <c r="M195" s="61">
        <f t="shared" si="42"/>
        <v>471.98240538582382</v>
      </c>
      <c r="N195" s="61">
        <f t="shared" si="42"/>
        <v>514.63309506471751</v>
      </c>
      <c r="O195" s="61">
        <f t="shared" si="42"/>
        <v>561.13482994032415</v>
      </c>
      <c r="P195" s="3"/>
      <c r="Q195" s="3"/>
      <c r="R195" s="3"/>
      <c r="S195" s="3"/>
      <c r="T195" s="3"/>
      <c r="U195" s="3"/>
      <c r="V195" s="3"/>
      <c r="W195" s="3"/>
      <c r="X195" s="3"/>
      <c r="Y195" s="3"/>
      <c r="Z195" s="3"/>
    </row>
    <row r="196" spans="1:26" ht="12.75" x14ac:dyDescent="0.2">
      <c r="A196" s="3"/>
      <c r="B196" s="3"/>
      <c r="C196" s="3"/>
      <c r="D196" s="3"/>
      <c r="E196" s="3"/>
      <c r="F196" s="28"/>
      <c r="G196" s="28"/>
      <c r="H196" s="28"/>
      <c r="I196" s="28"/>
      <c r="J196" s="28"/>
      <c r="K196" s="28"/>
      <c r="L196" s="28"/>
      <c r="M196" s="3"/>
      <c r="N196" s="3"/>
      <c r="O196" s="3"/>
      <c r="P196" s="3"/>
      <c r="Q196" s="3"/>
      <c r="R196" s="3"/>
      <c r="S196" s="3"/>
      <c r="T196" s="3"/>
      <c r="U196" s="3"/>
      <c r="V196" s="3"/>
      <c r="W196" s="3"/>
      <c r="X196" s="3"/>
      <c r="Y196" s="3"/>
      <c r="Z196" s="3"/>
    </row>
    <row r="197" spans="1:26" ht="12.75" x14ac:dyDescent="0.2">
      <c r="A197" s="3"/>
      <c r="B197" s="392" t="s">
        <v>224</v>
      </c>
      <c r="C197" s="2"/>
      <c r="D197" s="2"/>
      <c r="E197" s="2"/>
      <c r="F197" s="2"/>
      <c r="G197" s="2"/>
      <c r="H197" s="2"/>
      <c r="I197" s="2"/>
      <c r="J197" s="2"/>
      <c r="K197" s="2"/>
      <c r="L197" s="2"/>
      <c r="M197" s="2"/>
      <c r="N197" s="2"/>
      <c r="O197" s="2"/>
      <c r="P197" s="3"/>
      <c r="Q197" s="3"/>
      <c r="R197" s="3"/>
      <c r="S197" s="3"/>
      <c r="T197" s="3"/>
      <c r="U197" s="3"/>
      <c r="V197" s="3"/>
      <c r="W197" s="3"/>
      <c r="X197" s="3"/>
      <c r="Y197" s="3"/>
      <c r="Z197" s="3"/>
    </row>
    <row r="198" spans="1:26" ht="12.75" x14ac:dyDescent="0.2">
      <c r="A198" s="3"/>
      <c r="B198" s="2"/>
      <c r="C198" s="781" t="s">
        <v>1037</v>
      </c>
      <c r="D198" s="2"/>
      <c r="E198" s="2"/>
      <c r="F198" s="39">
        <f>(F165+F178)*$I$92*F$123*(1+$F$95)</f>
        <v>601.93871999999999</v>
      </c>
      <c r="G198" s="39">
        <f t="shared" ref="G198:O198" si="43">(G165+G178)*$I$92*G$123*(1+$F$95)</f>
        <v>681.96647282400011</v>
      </c>
      <c r="H198" s="39">
        <f t="shared" si="43"/>
        <v>772.63391538595079</v>
      </c>
      <c r="I198" s="39">
        <f t="shared" si="43"/>
        <v>875.355594436513</v>
      </c>
      <c r="J198" s="39">
        <f t="shared" si="43"/>
        <v>991.73412071684754</v>
      </c>
      <c r="K198" s="39">
        <f t="shared" si="43"/>
        <v>1110.7311754806483</v>
      </c>
      <c r="L198" s="39">
        <f t="shared" si="43"/>
        <v>1211.0128882619779</v>
      </c>
      <c r="M198" s="39">
        <f t="shared" si="43"/>
        <v>1306.6829064346741</v>
      </c>
      <c r="N198" s="39">
        <f t="shared" si="43"/>
        <v>1409.9108560430134</v>
      </c>
      <c r="O198" s="39">
        <f t="shared" si="43"/>
        <v>1521.2938136704113</v>
      </c>
      <c r="P198" s="3"/>
      <c r="Q198" s="3"/>
      <c r="R198" s="3"/>
      <c r="S198" s="3"/>
      <c r="T198" s="3"/>
      <c r="U198" s="3"/>
      <c r="V198" s="3"/>
      <c r="W198" s="3"/>
      <c r="X198" s="3"/>
      <c r="Y198" s="3"/>
      <c r="Z198" s="3"/>
    </row>
    <row r="199" spans="1:26" ht="12.75" x14ac:dyDescent="0.2">
      <c r="A199" s="3"/>
      <c r="B199" s="2"/>
      <c r="C199" s="27" t="s">
        <v>231</v>
      </c>
      <c r="D199" s="2"/>
      <c r="E199" s="2"/>
      <c r="F199" s="39">
        <f>(F166+F179)*$I$93*F$123*(1+$F$95)</f>
        <v>131.09461200000001</v>
      </c>
      <c r="G199" s="39">
        <f t="shared" ref="G199:O199" si="44">(G166+G179)*$I$93*G$123*(1+$F$95)</f>
        <v>132.02101392480003</v>
      </c>
      <c r="H199" s="39">
        <f t="shared" si="44"/>
        <v>130.87655676033938</v>
      </c>
      <c r="I199" s="39">
        <f t="shared" si="44"/>
        <v>127.09422426996559</v>
      </c>
      <c r="J199" s="39">
        <f t="shared" si="44"/>
        <v>143.99140138665751</v>
      </c>
      <c r="K199" s="39">
        <f t="shared" si="44"/>
        <v>161.26876667881797</v>
      </c>
      <c r="L199" s="39">
        <f t="shared" si="44"/>
        <v>175.82882270109192</v>
      </c>
      <c r="M199" s="39">
        <f t="shared" si="44"/>
        <v>189.71929969447817</v>
      </c>
      <c r="N199" s="39">
        <f t="shared" si="44"/>
        <v>204.70712437034194</v>
      </c>
      <c r="O199" s="39">
        <f t="shared" si="44"/>
        <v>220.87898719559894</v>
      </c>
      <c r="P199" s="3"/>
      <c r="Q199" s="3"/>
      <c r="R199" s="3"/>
      <c r="S199" s="3"/>
      <c r="T199" s="3"/>
      <c r="U199" s="3"/>
      <c r="V199" s="3"/>
      <c r="W199" s="3"/>
      <c r="X199" s="3"/>
      <c r="Y199" s="3"/>
      <c r="Z199" s="3"/>
    </row>
    <row r="200" spans="1:26" ht="12.75" x14ac:dyDescent="0.2">
      <c r="A200" s="3"/>
      <c r="B200" s="2"/>
      <c r="C200" s="393" t="s">
        <v>878</v>
      </c>
      <c r="D200" s="2"/>
      <c r="E200" s="2"/>
      <c r="F200" s="39">
        <f>F167*$I$93*F$123*(1+$F$95)</f>
        <v>9.0585000000000004</v>
      </c>
      <c r="G200" s="39">
        <f t="shared" ref="G200:O200" si="45">G167*$I$93*G$123*(1+$F$95)</f>
        <v>9.7741214999999997</v>
      </c>
      <c r="H200" s="39">
        <f t="shared" si="45"/>
        <v>10.546277098499999</v>
      </c>
      <c r="I200" s="39">
        <f t="shared" si="45"/>
        <v>11.379432989281499</v>
      </c>
      <c r="J200" s="39">
        <f t="shared" si="45"/>
        <v>12.278408195434737</v>
      </c>
      <c r="K200" s="39">
        <f t="shared" si="45"/>
        <v>13.248402442874081</v>
      </c>
      <c r="L200" s="39">
        <f t="shared" si="45"/>
        <v>14.295026235861133</v>
      </c>
      <c r="M200" s="39">
        <f t="shared" si="45"/>
        <v>15.424333308494163</v>
      </c>
      <c r="N200" s="39">
        <f t="shared" si="45"/>
        <v>16.6428556398652</v>
      </c>
      <c r="O200" s="39">
        <f t="shared" si="45"/>
        <v>17.957641235414552</v>
      </c>
      <c r="P200" s="3"/>
      <c r="Q200" s="3"/>
      <c r="R200" s="3"/>
      <c r="S200" s="3"/>
      <c r="T200" s="3"/>
      <c r="U200" s="3"/>
      <c r="V200" s="3"/>
      <c r="W200" s="3"/>
      <c r="X200" s="3"/>
      <c r="Y200" s="3"/>
      <c r="Z200" s="3"/>
    </row>
    <row r="201" spans="1:26" ht="12.75" x14ac:dyDescent="0.2">
      <c r="A201" s="3"/>
      <c r="B201" s="2"/>
      <c r="C201" s="393" t="s">
        <v>879</v>
      </c>
      <c r="D201" s="2"/>
      <c r="E201" s="2"/>
      <c r="F201" s="39">
        <f>(F168+F180)*$I$93*F$123*(1+$F$95)</f>
        <v>0</v>
      </c>
      <c r="G201" s="39">
        <f t="shared" ref="G201:O201" si="46">(G168+G180)*$I$93*G$123*(1+$F$95)</f>
        <v>0</v>
      </c>
      <c r="H201" s="39">
        <f t="shared" si="46"/>
        <v>0</v>
      </c>
      <c r="I201" s="39">
        <f t="shared" si="46"/>
        <v>0</v>
      </c>
      <c r="J201" s="39">
        <f t="shared" si="46"/>
        <v>0</v>
      </c>
      <c r="K201" s="39">
        <f t="shared" si="46"/>
        <v>0</v>
      </c>
      <c r="L201" s="39">
        <f t="shared" si="46"/>
        <v>0</v>
      </c>
      <c r="M201" s="39">
        <f t="shared" si="46"/>
        <v>0</v>
      </c>
      <c r="N201" s="39">
        <f t="shared" si="46"/>
        <v>0</v>
      </c>
      <c r="O201" s="39">
        <f t="shared" si="46"/>
        <v>0</v>
      </c>
      <c r="P201" s="3"/>
      <c r="Q201" s="3"/>
      <c r="R201" s="3"/>
      <c r="S201" s="3"/>
      <c r="T201" s="3"/>
      <c r="U201" s="3"/>
      <c r="V201" s="3"/>
      <c r="W201" s="3"/>
      <c r="X201" s="3"/>
      <c r="Y201" s="3"/>
      <c r="Z201" s="3"/>
    </row>
    <row r="202" spans="1:26" ht="12.75" x14ac:dyDescent="0.2">
      <c r="A202" s="3"/>
      <c r="B202" s="2"/>
      <c r="C202" s="822" t="s">
        <v>196</v>
      </c>
      <c r="D202" s="60"/>
      <c r="E202" s="60"/>
      <c r="F202" s="61">
        <f t="shared" ref="F202:O202" si="47">F198-SUM(F199:F201)</f>
        <v>461.78560799999997</v>
      </c>
      <c r="G202" s="61">
        <f t="shared" si="47"/>
        <v>540.17133739920007</v>
      </c>
      <c r="H202" s="61">
        <f t="shared" si="47"/>
        <v>631.21108152711145</v>
      </c>
      <c r="I202" s="61">
        <f t="shared" si="47"/>
        <v>736.88193717726585</v>
      </c>
      <c r="J202" s="61">
        <f t="shared" si="47"/>
        <v>835.46431113475523</v>
      </c>
      <c r="K202" s="61">
        <f t="shared" si="47"/>
        <v>936.21400635895623</v>
      </c>
      <c r="L202" s="61">
        <f t="shared" si="47"/>
        <v>1020.8890393250248</v>
      </c>
      <c r="M202" s="61">
        <f t="shared" si="47"/>
        <v>1101.5392734317018</v>
      </c>
      <c r="N202" s="61">
        <f t="shared" si="47"/>
        <v>1188.5608760328062</v>
      </c>
      <c r="O202" s="61">
        <f t="shared" si="47"/>
        <v>1282.4571852393979</v>
      </c>
      <c r="P202" s="3"/>
      <c r="Q202" s="3"/>
      <c r="R202" s="3"/>
      <c r="S202" s="3"/>
      <c r="T202" s="3"/>
      <c r="U202" s="3"/>
      <c r="V202" s="3"/>
      <c r="W202" s="3"/>
      <c r="X202" s="3"/>
      <c r="Y202" s="3"/>
      <c r="Z202" s="3"/>
    </row>
    <row r="203" spans="1:26" ht="12.75" x14ac:dyDescent="0.2">
      <c r="A203" s="3"/>
      <c r="B203" s="3"/>
      <c r="C203" s="3"/>
      <c r="D203" s="3"/>
      <c r="E203" s="3"/>
      <c r="F203" s="28"/>
      <c r="G203" s="3"/>
      <c r="H203" s="3"/>
      <c r="I203" s="3"/>
      <c r="J203" s="3"/>
      <c r="K203" s="3"/>
      <c r="L203" s="3"/>
      <c r="M203" s="3"/>
      <c r="N203" s="3"/>
      <c r="O203" s="3"/>
      <c r="P203" s="3"/>
      <c r="Q203" s="3"/>
      <c r="R203" s="3"/>
      <c r="S203" s="3"/>
      <c r="T203" s="3"/>
      <c r="U203" s="3"/>
      <c r="V203" s="3"/>
      <c r="W203" s="3"/>
      <c r="X203" s="3"/>
      <c r="Y203" s="3"/>
      <c r="Z203" s="3"/>
    </row>
    <row r="204" spans="1:26" ht="12.75" x14ac:dyDescent="0.2">
      <c r="A204" s="4" t="s">
        <v>202</v>
      </c>
      <c r="B204" s="2"/>
      <c r="C204" s="2"/>
      <c r="D204" s="6" t="s">
        <v>174</v>
      </c>
      <c r="E204" s="21"/>
      <c r="F204" s="51">
        <v>0</v>
      </c>
      <c r="G204" s="51">
        <v>1</v>
      </c>
      <c r="H204" s="51">
        <v>2</v>
      </c>
      <c r="I204" s="51">
        <v>3</v>
      </c>
      <c r="J204" s="51">
        <v>4</v>
      </c>
      <c r="K204" s="51">
        <v>5</v>
      </c>
      <c r="L204" s="51">
        <v>6</v>
      </c>
      <c r="M204" s="51">
        <v>7</v>
      </c>
      <c r="N204" s="51">
        <v>8</v>
      </c>
      <c r="O204" s="51">
        <v>9</v>
      </c>
      <c r="P204" s="2"/>
      <c r="Q204" s="2"/>
      <c r="R204" s="2"/>
      <c r="S204" s="2"/>
      <c r="T204" s="2"/>
      <c r="U204" s="2"/>
      <c r="V204" s="2"/>
      <c r="W204" s="2"/>
      <c r="X204" s="2"/>
      <c r="Y204" s="2"/>
      <c r="Z204" s="2"/>
    </row>
    <row r="205" spans="1:26" ht="12.75" x14ac:dyDescent="0.2">
      <c r="A205" s="3"/>
      <c r="B205" s="32" t="s">
        <v>226</v>
      </c>
      <c r="C205" s="33"/>
      <c r="D205" s="33"/>
      <c r="E205" s="33"/>
      <c r="F205" s="33"/>
      <c r="G205" s="33"/>
      <c r="H205" s="33"/>
      <c r="I205" s="33"/>
      <c r="J205" s="33"/>
      <c r="K205" s="33"/>
      <c r="L205" s="33"/>
      <c r="M205" s="33"/>
      <c r="N205" s="33"/>
      <c r="O205" s="33"/>
      <c r="P205" s="3"/>
      <c r="Q205" s="3"/>
      <c r="R205" s="3"/>
      <c r="S205" s="3"/>
      <c r="T205" s="3"/>
      <c r="U205" s="3"/>
      <c r="V205" s="3"/>
      <c r="W205" s="3"/>
      <c r="X205" s="3"/>
      <c r="Y205" s="3"/>
      <c r="Z205" s="3"/>
    </row>
    <row r="206" spans="1:26" ht="12.75" x14ac:dyDescent="0.2">
      <c r="A206" s="3"/>
      <c r="B206" s="33"/>
      <c r="C206" s="34" t="s">
        <v>218</v>
      </c>
      <c r="D206" s="33"/>
      <c r="E206" s="33"/>
      <c r="F206" s="33"/>
      <c r="G206" s="33"/>
      <c r="H206" s="33"/>
      <c r="I206" s="33"/>
      <c r="J206" s="33"/>
      <c r="K206" s="33"/>
      <c r="L206" s="33"/>
      <c r="M206" s="33"/>
      <c r="N206" s="33"/>
      <c r="O206" s="33"/>
      <c r="P206" s="3"/>
      <c r="Q206" s="3"/>
      <c r="R206" s="3"/>
      <c r="S206" s="3"/>
      <c r="T206" s="3"/>
      <c r="U206" s="3"/>
      <c r="V206" s="3"/>
      <c r="W206" s="3"/>
      <c r="X206" s="3"/>
      <c r="Y206" s="3"/>
      <c r="Z206" s="3"/>
    </row>
    <row r="207" spans="1:26" ht="12.75" x14ac:dyDescent="0.2">
      <c r="A207" s="3"/>
      <c r="B207" s="33"/>
      <c r="C207" s="94" t="s">
        <v>272</v>
      </c>
      <c r="D207" s="33"/>
      <c r="E207" s="33"/>
      <c r="F207" s="39">
        <f>$F41*F$143*$F49*F$138*F$123/1000*$F$29</f>
        <v>25.229760920000004</v>
      </c>
      <c r="G207" s="39">
        <f>$F41*G$143*$F49*G$138*G$123/1000*$F$29</f>
        <v>27.222912032680004</v>
      </c>
      <c r="H207" s="39">
        <f>$F41*H$143*$F49*H$138*H$123/1000*$F$29</f>
        <v>29.373522083261719</v>
      </c>
      <c r="I207" s="39">
        <f>$F41*I$143*$F49*I$138*I$123/1000*$F$29</f>
        <v>31.6940303278394</v>
      </c>
      <c r="J207" s="39">
        <f>$F41*J$143*$F49*J$138*J$123/1000*$F$29</f>
        <v>34.197858723738712</v>
      </c>
      <c r="K207" s="39">
        <f>$F41*K$143*$F49*K$138*K$123/1000*$F$29</f>
        <v>36.89948956291407</v>
      </c>
      <c r="L207" s="39">
        <f>$F41*L$143*$F49*L$138*L$123/1000*$F$29</f>
        <v>39.814549238384281</v>
      </c>
      <c r="M207" s="39">
        <f>$F41*M$143*$F49*M$138*M$123/1000*$F$29</f>
        <v>42.959898628216635</v>
      </c>
      <c r="N207" s="39">
        <f>$F41*N$143*$F49*N$138*N$123/1000*$F$29</f>
        <v>46.353730619845742</v>
      </c>
      <c r="O207" s="39">
        <f>$F41*O$143*$F49*O$138*O$123/1000*$F$29</f>
        <v>50.015675338813566</v>
      </c>
      <c r="P207" s="3"/>
      <c r="Q207" s="3"/>
      <c r="R207" s="3"/>
      <c r="S207" s="3"/>
      <c r="T207" s="3"/>
      <c r="U207" s="3"/>
      <c r="V207" s="3"/>
      <c r="W207" s="3"/>
      <c r="X207" s="3"/>
      <c r="Y207" s="3"/>
      <c r="Z207" s="3"/>
    </row>
    <row r="208" spans="1:26" ht="12.75" x14ac:dyDescent="0.2">
      <c r="A208" s="3"/>
      <c r="B208" s="33"/>
      <c r="C208" s="94" t="s">
        <v>273</v>
      </c>
      <c r="D208" s="33"/>
      <c r="E208" s="33"/>
      <c r="F208" s="39">
        <f>$F42*F$143*$F50*F$138*F$123/1000*$F$29</f>
        <v>18.484303200000003</v>
      </c>
      <c r="G208" s="39">
        <f>$F42*G$143*$F50*G$138*G$123/1000*$F$29</f>
        <v>19.944563152800001</v>
      </c>
      <c r="H208" s="39">
        <f>$F42*H$143*$F50*H$138*H$123/1000*$F$29</f>
        <v>21.520183641871203</v>
      </c>
      <c r="I208" s="39">
        <f>$F42*I$143*$F50*I$138*I$123/1000*$F$29</f>
        <v>23.220278149579027</v>
      </c>
      <c r="J208" s="39">
        <f>$F42*J$143*$F50*J$138*J$123/1000*$F$29</f>
        <v>25.054680123395769</v>
      </c>
      <c r="K208" s="39">
        <f>$F42*K$143*$F50*K$138*K$123/1000*$F$29</f>
        <v>27.033999853144032</v>
      </c>
      <c r="L208" s="39">
        <f>$F42*L$143*$F50*L$138*L$123/1000*$F$29</f>
        <v>29.16968584154241</v>
      </c>
      <c r="M208" s="39">
        <f>$F42*M$143*$F50*M$138*M$123/1000*$F$29</f>
        <v>31.474091023024258</v>
      </c>
      <c r="N208" s="39">
        <f>$F42*N$143*$F50*N$138*N$123/1000*$F$29</f>
        <v>33.960544213843178</v>
      </c>
      <c r="O208" s="39">
        <f>$F42*O$143*$F50*O$138*O$123/1000*$F$29</f>
        <v>36.643427206736789</v>
      </c>
      <c r="P208" s="3"/>
      <c r="Q208" s="3"/>
      <c r="R208" s="3"/>
      <c r="S208" s="3"/>
      <c r="T208" s="3"/>
      <c r="U208" s="3"/>
      <c r="V208" s="3"/>
      <c r="W208" s="3"/>
      <c r="X208" s="3"/>
      <c r="Y208" s="3"/>
      <c r="Z208" s="3"/>
    </row>
    <row r="209" spans="1:26" ht="12.75" x14ac:dyDescent="0.2">
      <c r="A209" s="3"/>
      <c r="B209" s="33"/>
      <c r="C209" s="94" t="s">
        <v>274</v>
      </c>
      <c r="D209" s="33"/>
      <c r="E209" s="35"/>
      <c r="F209" s="39">
        <f>$F43*F$143*$F51*F$138*F$123/1000*$F$29</f>
        <v>46.6925776</v>
      </c>
      <c r="G209" s="39">
        <f>$F43*G$143*$F51*G$138*G$123/1000*$F$29</f>
        <v>50.381291230399995</v>
      </c>
      <c r="H209" s="39">
        <f>$F43*H$143*$F51*H$138*H$123/1000*$F$29</f>
        <v>54.361413237601589</v>
      </c>
      <c r="I209" s="39">
        <f>$F43*I$143*$F51*I$138*I$123/1000*$F$29</f>
        <v>58.655964883372114</v>
      </c>
      <c r="J209" s="39">
        <f>$F43*J$143*$F51*J$138*J$123/1000*$F$29</f>
        <v>63.289786109158513</v>
      </c>
      <c r="K209" s="39">
        <f>$F43*K$143*$F51*K$138*K$123/1000*$F$29</f>
        <v>68.28967921178203</v>
      </c>
      <c r="L209" s="39">
        <f>$F43*L$143*$F51*L$138*L$123/1000*$F$29</f>
        <v>73.684563869512814</v>
      </c>
      <c r="M209" s="39">
        <f>$F43*M$143*$F51*M$138*M$123/1000*$F$29</f>
        <v>79.50564441520433</v>
      </c>
      <c r="N209" s="39">
        <f>$F43*N$143*$F51*N$138*N$123/1000*$F$29</f>
        <v>85.786590324005459</v>
      </c>
      <c r="O209" s="39">
        <f>$F43*O$143*$F51*O$138*O$123/1000*$F$29</f>
        <v>92.563730959601884</v>
      </c>
      <c r="P209" s="3"/>
      <c r="Q209" s="3"/>
      <c r="R209" s="3"/>
      <c r="S209" s="3"/>
      <c r="T209" s="3"/>
      <c r="U209" s="3"/>
      <c r="V209" s="3"/>
      <c r="W209" s="3"/>
      <c r="X209" s="3"/>
      <c r="Y209" s="3"/>
      <c r="Z209" s="3"/>
    </row>
    <row r="210" spans="1:26" ht="12.75" x14ac:dyDescent="0.2">
      <c r="A210" s="3"/>
      <c r="B210" s="33"/>
      <c r="C210" s="94" t="s">
        <v>275</v>
      </c>
      <c r="D210" s="33"/>
      <c r="E210" s="35"/>
      <c r="F210" s="39">
        <f>$F44*F$143*$F52*F$138*F$123/1000*$F$29</f>
        <v>37.173015759999991</v>
      </c>
      <c r="G210" s="39">
        <f>$F44*G$143*$F52*G$138*G$123/1000*$F$29</f>
        <v>40.109684005039995</v>
      </c>
      <c r="H210" s="39">
        <f>$F44*H$143*$F52*H$138*H$123/1000*$F$29</f>
        <v>43.278349041438155</v>
      </c>
      <c r="I210" s="39">
        <f>$F44*I$143*$F52*I$138*I$123/1000*$F$29</f>
        <v>46.697338615711764</v>
      </c>
      <c r="J210" s="39">
        <f>$F44*J$143*$F52*J$138*J$123/1000*$F$29</f>
        <v>50.386428366352995</v>
      </c>
      <c r="K210" s="39">
        <f>$F44*K$143*$F52*K$138*K$123/1000*$F$29</f>
        <v>54.366956207294876</v>
      </c>
      <c r="L210" s="39">
        <f>$F44*L$143*$F52*L$138*L$123/1000*$F$29</f>
        <v>58.661945747671169</v>
      </c>
      <c r="M210" s="39">
        <f>$F44*M$143*$F52*M$138*M$123/1000*$F$29</f>
        <v>63.296239461737187</v>
      </c>
      <c r="N210" s="39">
        <f>$F44*N$143*$F52*N$138*N$123/1000*$F$29</f>
        <v>68.296642379214418</v>
      </c>
      <c r="O210" s="39">
        <f>$F44*O$143*$F52*O$138*O$123/1000*$F$29</f>
        <v>73.692077127172368</v>
      </c>
      <c r="P210" s="3"/>
      <c r="Q210" s="3"/>
      <c r="R210" s="3"/>
      <c r="S210" s="3"/>
      <c r="T210" s="3"/>
      <c r="U210" s="3"/>
      <c r="V210" s="3"/>
      <c r="W210" s="3"/>
      <c r="X210" s="3"/>
      <c r="Y210" s="3"/>
      <c r="Z210" s="3"/>
    </row>
    <row r="211" spans="1:26" ht="12.75" x14ac:dyDescent="0.2">
      <c r="A211" s="3"/>
      <c r="B211" s="33"/>
      <c r="C211" s="84" t="s">
        <v>293</v>
      </c>
      <c r="D211" s="33"/>
      <c r="E211" s="35"/>
      <c r="F211" s="104">
        <f>$F45*F$143*$F53*F$138*F$123/1000*$F$29</f>
        <v>11.475999999999997</v>
      </c>
      <c r="G211" s="104">
        <f>$F45*G$143*$F53*G$138*G$123/1000*$F$29</f>
        <v>12.382603999999997</v>
      </c>
      <c r="H211" s="104">
        <f>$F45*H$143*$F53*H$138*H$123/1000*$F$29</f>
        <v>13.360829715999996</v>
      </c>
      <c r="I211" s="104">
        <f>$F45*I$143*$F53*I$138*I$123/1000*$F$29</f>
        <v>14.416335263563997</v>
      </c>
      <c r="J211" s="104">
        <f>$F45*J$143*$F53*J$138*J$123/1000*$F$29</f>
        <v>15.555225749385553</v>
      </c>
      <c r="K211" s="104">
        <f>$F45*K$143*$F53*K$138*K$123/1000*$F$29</f>
        <v>16.78408858358701</v>
      </c>
      <c r="L211" s="104">
        <f>$F45*L$143*$F53*L$138*L$123/1000*$F$29</f>
        <v>18.110031581690382</v>
      </c>
      <c r="M211" s="104">
        <f>$F45*M$143*$F53*M$138*M$123/1000*$F$29</f>
        <v>19.540724076643922</v>
      </c>
      <c r="N211" s="104">
        <f>$F45*N$143*$F53*N$138*N$123/1000*$F$29</f>
        <v>21.084441278698794</v>
      </c>
      <c r="O211" s="104">
        <f>$F45*O$143*$F53*O$138*O$123/1000*$F$29</f>
        <v>22.750112139715995</v>
      </c>
      <c r="P211" s="3"/>
      <c r="Q211" s="3"/>
      <c r="R211" s="3"/>
      <c r="S211" s="3"/>
      <c r="T211" s="3"/>
      <c r="U211" s="3"/>
      <c r="V211" s="3"/>
      <c r="W211" s="3"/>
      <c r="X211" s="3"/>
      <c r="Y211" s="3"/>
      <c r="Z211" s="3"/>
    </row>
    <row r="212" spans="1:26" ht="12.75" x14ac:dyDescent="0.2">
      <c r="A212" s="3"/>
      <c r="B212" s="33"/>
      <c r="C212" s="94" t="s">
        <v>278</v>
      </c>
      <c r="D212" s="33"/>
      <c r="E212" s="35"/>
      <c r="F212" s="39">
        <f>$F46*F$143*$F54*F$138*F$123/1000*$F$29</f>
        <v>126.66687944</v>
      </c>
      <c r="G212" s="39">
        <f>$F46*G$143*$F54*G$138*G$123/1000*$F$29</f>
        <v>136.67356291576002</v>
      </c>
      <c r="H212" s="39">
        <f>$F46*H$143*$F54*H$138*H$123/1000*$F$29</f>
        <v>147.47077438610503</v>
      </c>
      <c r="I212" s="39">
        <f>$F46*I$143*$F54*I$138*I$123/1000*$F$29</f>
        <v>159.12096556260732</v>
      </c>
      <c r="J212" s="39">
        <f>$F46*J$143*$F54*J$138*J$123/1000*$F$29</f>
        <v>171.69152184205331</v>
      </c>
      <c r="K212" s="39">
        <f>$F46*K$143*$F54*K$138*K$123/1000*$F$29</f>
        <v>185.25515206757552</v>
      </c>
      <c r="L212" s="39">
        <f>$F46*L$143*$F54*L$138*L$123/1000*$F$29</f>
        <v>199.89030908091399</v>
      </c>
      <c r="M212" s="39">
        <f>$F46*M$143*$F54*M$138*M$123/1000*$F$29</f>
        <v>215.68164349830616</v>
      </c>
      <c r="N212" s="39">
        <f>$F46*N$143*$F54*N$138*N$123/1000*$F$29</f>
        <v>232.72049333467237</v>
      </c>
      <c r="O212" s="39">
        <f>$F46*O$143*$F54*O$138*O$123/1000*$F$29</f>
        <v>251.10541230811145</v>
      </c>
      <c r="P212" s="3"/>
      <c r="Q212" s="3"/>
      <c r="R212" s="3"/>
      <c r="S212" s="3"/>
      <c r="T212" s="3"/>
      <c r="U212" s="3"/>
      <c r="V212" s="3"/>
      <c r="W212" s="3"/>
      <c r="X212" s="3"/>
      <c r="Y212" s="3"/>
      <c r="Z212" s="3"/>
    </row>
    <row r="213" spans="1:26" ht="12.75" x14ac:dyDescent="0.2">
      <c r="A213" s="3"/>
      <c r="B213" s="33"/>
      <c r="C213" s="9" t="s">
        <v>85</v>
      </c>
      <c r="D213" s="33"/>
      <c r="E213" s="35"/>
      <c r="F213" s="39">
        <f>IF(F204&gt;($F$48-1),0,$F47*$F54*F$138*F$123/1000)</f>
        <v>0</v>
      </c>
      <c r="G213" s="39">
        <f>IF(G204&gt;($F$48-1),0,$F47*$F54*G$138*G$123/1000)</f>
        <v>0</v>
      </c>
      <c r="H213" s="39">
        <f>IF(H204&gt;($F$48-1),0,$F47*$F54*H$138*H$123/1000)</f>
        <v>0</v>
      </c>
      <c r="I213" s="39">
        <f>IF(I204&gt;($F$48-1),0,$F47*$F54*I$138*I$123/1000)</f>
        <v>0</v>
      </c>
      <c r="J213" s="39">
        <f>IF(J204&gt;($F$48-1),0,$F47*$F54*J$138*J$123/1000)</f>
        <v>0</v>
      </c>
      <c r="K213" s="39">
        <f>IF(K204&gt;($F$48-1),0,$F47*$F54*K$138*K$123/1000)</f>
        <v>0</v>
      </c>
      <c r="L213" s="39">
        <f>IF(L204&gt;($F$48-1),0,$F47*$F54*L$138*L$123/1000)</f>
        <v>0</v>
      </c>
      <c r="M213" s="39">
        <f>IF(M204&gt;($F$48-1),0,$F47*$F54*M$138*M$123/1000)</f>
        <v>0</v>
      </c>
      <c r="N213" s="39">
        <f>IF(N204&gt;($F$48-1),0,$F47*$F54*N$138*N$123/1000)</f>
        <v>0</v>
      </c>
      <c r="O213" s="39">
        <f>IF(O204&gt;($F$48-1),0,$F47*$F54*O$138*O$123/1000)</f>
        <v>0</v>
      </c>
      <c r="P213" s="3"/>
      <c r="Q213" s="3"/>
      <c r="R213" s="3"/>
      <c r="S213" s="3"/>
      <c r="T213" s="3"/>
      <c r="U213" s="3"/>
      <c r="V213" s="3"/>
      <c r="W213" s="3"/>
      <c r="X213" s="3"/>
      <c r="Y213" s="3"/>
      <c r="Z213" s="3"/>
    </row>
    <row r="214" spans="1:26" ht="12.75" x14ac:dyDescent="0.2">
      <c r="A214" s="3"/>
      <c r="B214" s="33"/>
      <c r="C214" s="31" t="s">
        <v>207</v>
      </c>
      <c r="D214" s="36"/>
      <c r="E214" s="36"/>
      <c r="F214" s="40">
        <f>SUM(F207:F213)</f>
        <v>265.72253692000004</v>
      </c>
      <c r="G214" s="40">
        <f t="shared" ref="G214:O214" si="48">SUM(G207:G213)</f>
        <v>286.71461733668002</v>
      </c>
      <c r="H214" s="40">
        <f t="shared" si="48"/>
        <v>309.36507210627769</v>
      </c>
      <c r="I214" s="40">
        <f t="shared" si="48"/>
        <v>333.80491280267364</v>
      </c>
      <c r="J214" s="40">
        <f t="shared" si="48"/>
        <v>360.17550091408486</v>
      </c>
      <c r="K214" s="40">
        <f t="shared" si="48"/>
        <v>388.6293654862975</v>
      </c>
      <c r="L214" s="40">
        <f t="shared" si="48"/>
        <v>419.33108535971508</v>
      </c>
      <c r="M214" s="40">
        <f t="shared" si="48"/>
        <v>452.45824110313254</v>
      </c>
      <c r="N214" s="40">
        <f t="shared" si="48"/>
        <v>488.20244215027992</v>
      </c>
      <c r="O214" s="40">
        <f t="shared" si="48"/>
        <v>526.77043508015208</v>
      </c>
      <c r="P214" s="3"/>
      <c r="Q214" s="3"/>
      <c r="R214" s="3"/>
      <c r="S214" s="3"/>
      <c r="T214" s="3"/>
      <c r="U214" s="3"/>
      <c r="V214" s="3"/>
      <c r="W214" s="3"/>
      <c r="X214" s="3"/>
      <c r="Y214" s="3"/>
      <c r="Z214" s="3"/>
    </row>
    <row r="215" spans="1:26" ht="12.75" x14ac:dyDescent="0.2">
      <c r="A215" s="3"/>
      <c r="B215" s="33"/>
      <c r="C215" s="9"/>
      <c r="D215" s="33"/>
      <c r="E215" s="33"/>
      <c r="F215" s="41"/>
      <c r="G215" s="41"/>
      <c r="H215" s="41"/>
      <c r="I215" s="41"/>
      <c r="J215" s="41"/>
      <c r="K215" s="41"/>
      <c r="L215" s="41"/>
      <c r="M215" s="41"/>
      <c r="N215" s="41"/>
      <c r="O215" s="41"/>
      <c r="P215" s="3"/>
      <c r="Q215" s="3"/>
      <c r="R215" s="3"/>
      <c r="S215" s="3"/>
      <c r="T215" s="3"/>
      <c r="U215" s="3"/>
      <c r="V215" s="3"/>
      <c r="W215" s="3"/>
      <c r="X215" s="3"/>
      <c r="Y215" s="3"/>
      <c r="Z215" s="3"/>
    </row>
    <row r="216" spans="1:26" ht="12.75" x14ac:dyDescent="0.2">
      <c r="A216" s="3"/>
      <c r="B216" s="33"/>
      <c r="C216" s="34" t="s">
        <v>215</v>
      </c>
      <c r="D216" s="33"/>
      <c r="E216" s="33"/>
      <c r="F216" s="41"/>
      <c r="G216" s="41"/>
      <c r="H216" s="41"/>
      <c r="I216" s="41"/>
      <c r="J216" s="41"/>
      <c r="K216" s="41"/>
      <c r="L216" s="41"/>
      <c r="M216" s="41"/>
      <c r="N216" s="41"/>
      <c r="O216" s="41"/>
      <c r="P216" s="3"/>
      <c r="Q216" s="3"/>
      <c r="R216" s="3"/>
      <c r="S216" s="3"/>
      <c r="T216" s="3"/>
      <c r="U216" s="3"/>
      <c r="V216" s="3"/>
      <c r="W216" s="3"/>
      <c r="X216" s="3"/>
      <c r="Y216" s="3"/>
      <c r="Z216" s="3"/>
    </row>
    <row r="217" spans="1:26" ht="12.75" x14ac:dyDescent="0.2">
      <c r="A217" s="3"/>
      <c r="B217" s="33"/>
      <c r="C217" s="9" t="s">
        <v>110</v>
      </c>
      <c r="D217" s="33"/>
      <c r="E217" s="33"/>
      <c r="F217" s="104">
        <f>$F$58*F$143*F$123/1000</f>
        <v>2.6819999999999999</v>
      </c>
      <c r="G217" s="104">
        <f>$F$58*G$143*G$123/1000</f>
        <v>2.8938779999999995</v>
      </c>
      <c r="H217" s="104">
        <f>$F$58*H$143*H$123/1000</f>
        <v>3.1224943619999994</v>
      </c>
      <c r="I217" s="104">
        <f>$F$58*I$143*I$123/1000</f>
        <v>3.3691714165979998</v>
      </c>
      <c r="J217" s="104">
        <f>$F$58*J$143*J$123/1000</f>
        <v>3.6353359585092417</v>
      </c>
      <c r="K217" s="104">
        <f>$F$58*K$143*K$123/1000</f>
        <v>3.9225274992314718</v>
      </c>
      <c r="L217" s="104">
        <f>$F$58*L$143*L$123/1000</f>
        <v>4.2324071716707579</v>
      </c>
      <c r="M217" s="104">
        <f>$F$58*M$143*M$123/1000</f>
        <v>4.5667673382327472</v>
      </c>
      <c r="N217" s="104">
        <f>$F$58*N$143*N$123/1000</f>
        <v>4.9275419579531343</v>
      </c>
      <c r="O217" s="104">
        <f>$F$58*O$143*O$123/1000</f>
        <v>5.3168177726314312</v>
      </c>
      <c r="P217" s="3"/>
      <c r="Q217" s="3"/>
      <c r="R217" s="3"/>
      <c r="S217" s="3"/>
      <c r="T217" s="3"/>
      <c r="U217" s="3"/>
      <c r="V217" s="3"/>
      <c r="W217" s="3"/>
      <c r="X217" s="3"/>
      <c r="Y217" s="3"/>
      <c r="Z217" s="3"/>
    </row>
    <row r="218" spans="1:26" ht="12.75" x14ac:dyDescent="0.2">
      <c r="A218" s="3"/>
      <c r="B218" s="33"/>
      <c r="C218" s="27" t="s">
        <v>283</v>
      </c>
      <c r="D218" s="33"/>
      <c r="E218" s="33"/>
      <c r="F218" s="107">
        <f>($F$60+$F$60*(F$143-1)*($F$59))/1000*F$123</f>
        <v>2.4788235294117649</v>
      </c>
      <c r="G218" s="107">
        <f>($F$60+$F$60*(G$143-1)*($F$59))/1000*G$123</f>
        <v>2.674650588235294</v>
      </c>
      <c r="H218" s="107">
        <f>($F$60+$F$60*(H$143-1)*($F$59))/1000*H$123</f>
        <v>2.885947984705882</v>
      </c>
      <c r="I218" s="107">
        <f>($F$60+$F$60*(I$143-1)*($F$59))/1000*I$123</f>
        <v>3.1139378754976472</v>
      </c>
      <c r="J218" s="107">
        <f>($F$60+$F$60*(J$143-1)*($F$59))/1000*J$123</f>
        <v>3.3599389676619613</v>
      </c>
      <c r="K218" s="107">
        <f>($F$60+$F$60*(K$143-1)*($F$59))/1000*K$123</f>
        <v>3.6253741461072559</v>
      </c>
      <c r="L218" s="107">
        <f>($F$60+$F$60*(L$143-1)*($F$59))/1000*L$123</f>
        <v>3.9117787036497291</v>
      </c>
      <c r="M218" s="107">
        <f>($F$60+$F$60*(M$143-1)*($F$59))/1000*M$123</f>
        <v>4.2208092212380572</v>
      </c>
      <c r="N218" s="107">
        <f>($F$60+$F$60*(N$143-1)*($F$59))/1000*N$123</f>
        <v>4.5542531497158638</v>
      </c>
      <c r="O218" s="107">
        <f>($F$60+$F$60*(O$143-1)*($F$59))/1000*O$123</f>
        <v>4.9140391485434174</v>
      </c>
      <c r="P218" s="3"/>
      <c r="Q218" s="3"/>
      <c r="R218" s="3"/>
      <c r="S218" s="3"/>
      <c r="T218" s="3"/>
      <c r="U218" s="3"/>
      <c r="V218" s="3"/>
      <c r="W218" s="3"/>
      <c r="X218" s="3"/>
      <c r="Y218" s="3"/>
      <c r="Z218" s="3"/>
    </row>
    <row r="219" spans="1:26" ht="12.75" x14ac:dyDescent="0.2">
      <c r="A219" s="3"/>
      <c r="B219" s="33"/>
      <c r="C219" s="31" t="s">
        <v>216</v>
      </c>
      <c r="D219" s="36"/>
      <c r="E219" s="36"/>
      <c r="F219" s="40">
        <f t="shared" ref="F219:O219" si="49">SUM(F217:F218)</f>
        <v>5.1608235294117648</v>
      </c>
      <c r="G219" s="40">
        <f t="shared" si="49"/>
        <v>5.568528588235294</v>
      </c>
      <c r="H219" s="40">
        <f t="shared" si="49"/>
        <v>6.0084423467058814</v>
      </c>
      <c r="I219" s="40">
        <f t="shared" si="49"/>
        <v>6.483109292095647</v>
      </c>
      <c r="J219" s="40">
        <f t="shared" si="49"/>
        <v>6.9952749261712031</v>
      </c>
      <c r="K219" s="40">
        <f t="shared" si="49"/>
        <v>7.5479016453387278</v>
      </c>
      <c r="L219" s="40">
        <f t="shared" si="49"/>
        <v>8.1441858753204865</v>
      </c>
      <c r="M219" s="40">
        <f t="shared" si="49"/>
        <v>8.7875765594708035</v>
      </c>
      <c r="N219" s="40">
        <f t="shared" si="49"/>
        <v>9.4817951076689972</v>
      </c>
      <c r="O219" s="40">
        <f t="shared" si="49"/>
        <v>10.230856921174848</v>
      </c>
      <c r="P219" s="3"/>
      <c r="Q219" s="3"/>
      <c r="R219" s="3"/>
      <c r="S219" s="3"/>
      <c r="T219" s="3"/>
      <c r="U219" s="3"/>
      <c r="V219" s="3"/>
      <c r="W219" s="3"/>
      <c r="X219" s="3"/>
      <c r="Y219" s="3"/>
      <c r="Z219" s="3"/>
    </row>
    <row r="220" spans="1:26" ht="12.75" x14ac:dyDescent="0.2">
      <c r="A220" s="3"/>
      <c r="B220" s="33"/>
      <c r="C220" s="35"/>
      <c r="D220" s="33"/>
      <c r="E220" s="33"/>
      <c r="F220" s="41"/>
      <c r="G220" s="41"/>
      <c r="H220" s="41"/>
      <c r="I220" s="41"/>
      <c r="J220" s="41"/>
      <c r="K220" s="41"/>
      <c r="L220" s="41"/>
      <c r="M220" s="41"/>
      <c r="N220" s="41"/>
      <c r="O220" s="41"/>
      <c r="P220" s="3"/>
      <c r="Q220" s="3"/>
      <c r="R220" s="3"/>
      <c r="S220" s="3"/>
      <c r="T220" s="3"/>
      <c r="U220" s="3"/>
      <c r="V220" s="3"/>
      <c r="W220" s="3"/>
      <c r="X220" s="3"/>
      <c r="Y220" s="3"/>
      <c r="Z220" s="3"/>
    </row>
    <row r="221" spans="1:26" ht="12.75" x14ac:dyDescent="0.2">
      <c r="A221" s="3"/>
      <c r="B221" s="33"/>
      <c r="C221" s="34" t="s">
        <v>219</v>
      </c>
      <c r="D221" s="33"/>
      <c r="E221" s="33"/>
      <c r="F221" s="41"/>
      <c r="G221" s="41"/>
      <c r="H221" s="41"/>
      <c r="I221" s="41"/>
      <c r="J221" s="41"/>
      <c r="K221" s="41"/>
      <c r="L221" s="41"/>
      <c r="M221" s="41"/>
      <c r="N221" s="41"/>
      <c r="O221" s="41"/>
      <c r="P221" s="3"/>
      <c r="Q221" s="3"/>
      <c r="R221" s="3"/>
      <c r="S221" s="3"/>
      <c r="T221" s="3"/>
      <c r="U221" s="3"/>
      <c r="V221" s="3"/>
      <c r="W221" s="3"/>
      <c r="X221" s="3"/>
      <c r="Y221" s="3"/>
      <c r="Z221" s="3"/>
    </row>
    <row r="222" spans="1:26" ht="12.75" x14ac:dyDescent="0.2">
      <c r="A222" s="3"/>
      <c r="B222" s="33"/>
      <c r="C222" s="9" t="s">
        <v>92</v>
      </c>
      <c r="D222" s="33"/>
      <c r="E222" s="33"/>
      <c r="F222" s="39">
        <f>F194*(1+$F$85)</f>
        <v>9.0585000000000004</v>
      </c>
      <c r="G222" s="39">
        <f>G194*(1+$F$85)</f>
        <v>9.7741214999999997</v>
      </c>
      <c r="H222" s="39">
        <f>H194*(1+$F$85)</f>
        <v>10.546277098499999</v>
      </c>
      <c r="I222" s="39">
        <f>I194*(1+$F$85)</f>
        <v>11.379432989281499</v>
      </c>
      <c r="J222" s="39">
        <f>J194*(1+$F$85)</f>
        <v>12.278408195434737</v>
      </c>
      <c r="K222" s="39">
        <f>K194*(1+$F$85)</f>
        <v>13.248402442874081</v>
      </c>
      <c r="L222" s="39">
        <f>L194*(1+$F$85)</f>
        <v>14.295026235861133</v>
      </c>
      <c r="M222" s="39">
        <f>M194*(1+$F$85)</f>
        <v>15.424333308494163</v>
      </c>
      <c r="N222" s="39">
        <f>N194*(1+$F$85)</f>
        <v>16.6428556398652</v>
      </c>
      <c r="O222" s="39">
        <f>O194*(1+$F$85)</f>
        <v>17.957641235414552</v>
      </c>
      <c r="P222" s="3"/>
      <c r="Q222" s="3"/>
      <c r="R222" s="3"/>
      <c r="S222" s="3"/>
      <c r="T222" s="3"/>
      <c r="U222" s="3"/>
      <c r="V222" s="3"/>
      <c r="W222" s="3"/>
      <c r="X222" s="3"/>
      <c r="Y222" s="3"/>
      <c r="Z222" s="3"/>
    </row>
    <row r="223" spans="1:26" ht="12.75" x14ac:dyDescent="0.2">
      <c r="A223" s="3"/>
      <c r="B223" s="33"/>
      <c r="C223" s="9" t="s">
        <v>96</v>
      </c>
      <c r="D223" s="33"/>
      <c r="E223" s="33"/>
      <c r="F223" s="39">
        <f>$F64*F$143*$F78/1000*F$123*F$140*$F$29*(1+$F$85)</f>
        <v>0</v>
      </c>
      <c r="G223" s="39">
        <f>$F64*G$143*$F78/1000*G$123*G$140*$F$29*(1+$F$85)</f>
        <v>0</v>
      </c>
      <c r="H223" s="39">
        <f>$F64*H$143*$F78/1000*H$123*H$140*$F$29*(1+$F$85)</f>
        <v>0</v>
      </c>
      <c r="I223" s="39">
        <f>$F64*I$143*$F78/1000*I$123*I$140*$F$29*(1+$F$85)</f>
        <v>0</v>
      </c>
      <c r="J223" s="39">
        <f>$F64*J$143*$F78/1000*J$123*J$140*$F$29*(1+$F$85)</f>
        <v>0</v>
      </c>
      <c r="K223" s="39">
        <f>$F64*K$143*$F78/1000*K$123*K$140*$F$29*(1+$F$85)</f>
        <v>0</v>
      </c>
      <c r="L223" s="39">
        <f>$F64*L$143*$F78/1000*L$123*L$140*$F$29*(1+$F$85)</f>
        <v>0</v>
      </c>
      <c r="M223" s="39">
        <f>$F64*M$143*$F78/1000*M$123*M$140*$F$29*(1+$F$85)</f>
        <v>0</v>
      </c>
      <c r="N223" s="39">
        <f>$F64*N$143*$F78/1000*N$123*N$140*$F$29*(1+$F$85)</f>
        <v>0</v>
      </c>
      <c r="O223" s="39">
        <f>$F64*O$143*$F78/1000*O$123*O$140*$F$29*(1+$F$85)</f>
        <v>0</v>
      </c>
      <c r="P223" s="3"/>
      <c r="Q223" s="3"/>
      <c r="R223" s="3"/>
      <c r="S223" s="3"/>
      <c r="T223" s="3"/>
      <c r="U223" s="3"/>
      <c r="V223" s="3"/>
      <c r="W223" s="3"/>
      <c r="X223" s="3"/>
      <c r="Y223" s="3"/>
      <c r="Z223" s="3"/>
    </row>
    <row r="224" spans="1:26" ht="12.75" x14ac:dyDescent="0.2">
      <c r="A224" s="3"/>
      <c r="B224" s="33"/>
      <c r="C224" s="9" t="s">
        <v>99</v>
      </c>
      <c r="D224" s="33"/>
      <c r="E224" s="33"/>
      <c r="F224" s="39">
        <f>$F65*F$143*$F79/1000*F$125*$F$29*(1+$F$85)*F$130</f>
        <v>9.5154159999999983</v>
      </c>
      <c r="G224" s="39">
        <f>$F65*G$143*$F79/1000*G$125*$F$29*(1+$F$85)*G$130</f>
        <v>10.267133863999998</v>
      </c>
      <c r="H224" s="39">
        <f>$F65*H$143*$F79/1000*H$125*$F$29*(1+$F$85)*H$130</f>
        <v>11.078237439255997</v>
      </c>
      <c r="I224" s="39">
        <f>$F65*I$143*$F79/1000*I$125*$F$29*(1+$F$85)*I$130</f>
        <v>11.953418196957223</v>
      </c>
      <c r="J224" s="39">
        <f>$F65*J$143*$F79/1000*J$125*$F$29*(1+$F$85)*J$130</f>
        <v>12.897738234516842</v>
      </c>
      <c r="K224" s="39">
        <f>$F65*K$143*$F79/1000*K$125*$F$29*(1+$F$85)*K$130</f>
        <v>13.916659555043671</v>
      </c>
      <c r="L224" s="39">
        <f>$F65*L$143*$F79/1000*L$125*$F$29*(1+$F$85)*L$130</f>
        <v>15.016075659892122</v>
      </c>
      <c r="M224" s="39">
        <f>$F65*M$143*$F79/1000*M$125*$F$29*(1+$F$85)*M$130</f>
        <v>16.202345637023598</v>
      </c>
      <c r="N224" s="39">
        <f>$F65*N$143*$F79/1000*N$125*$F$29*(1+$F$85)*N$130</f>
        <v>17.482330942348465</v>
      </c>
      <c r="O224" s="39">
        <f>$F65*O$143*$F79/1000*O$125*$F$29*(1+$F$85)*O$130</f>
        <v>18.863435086793988</v>
      </c>
      <c r="P224" s="3"/>
      <c r="Q224" s="3"/>
      <c r="R224" s="3"/>
      <c r="S224" s="3"/>
      <c r="T224" s="3"/>
      <c r="U224" s="3"/>
      <c r="V224" s="3"/>
      <c r="W224" s="3"/>
      <c r="X224" s="3"/>
      <c r="Y224" s="3"/>
      <c r="Z224" s="3"/>
    </row>
    <row r="225" spans="1:26" ht="12.75" x14ac:dyDescent="0.2">
      <c r="A225" s="3"/>
      <c r="B225" s="33"/>
      <c r="C225" s="9" t="s">
        <v>102</v>
      </c>
      <c r="D225" s="33"/>
      <c r="E225" s="33"/>
      <c r="F225" s="39">
        <f>$F66*F$143*$F80/1000*F$125*$F$29*(1+$F$85)*F$130</f>
        <v>0</v>
      </c>
      <c r="G225" s="39">
        <f>$F66*G$143*$F80/1000*G$125*$F$29*(1+$F$85)*G$130</f>
        <v>0</v>
      </c>
      <c r="H225" s="39">
        <f>$F66*H$143*$F80/1000*H$125*$F$29*(1+$F$85)*H$130</f>
        <v>0</v>
      </c>
      <c r="I225" s="39">
        <f>$F66*I$143*$F80/1000*I$125*$F$29*(1+$F$85)*I$130</f>
        <v>0</v>
      </c>
      <c r="J225" s="39">
        <f>$F66*J$143*$F80/1000*J$125*$F$29*(1+$F$85)*J$130</f>
        <v>0</v>
      </c>
      <c r="K225" s="39">
        <f>$F66*K$143*$F80/1000*K$125*$F$29*(1+$F$85)*K$130</f>
        <v>0</v>
      </c>
      <c r="L225" s="39">
        <f>$F66*L$143*$F80/1000*L$125*$F$29*(1+$F$85)*L$130</f>
        <v>0</v>
      </c>
      <c r="M225" s="39">
        <f>$F66*M$143*$F80/1000*M$125*$F$29*(1+$F$85)*M$130</f>
        <v>0</v>
      </c>
      <c r="N225" s="39">
        <f>$F66*N$143*$F80/1000*N$125*$F$29*(1+$F$85)*N$130</f>
        <v>0</v>
      </c>
      <c r="O225" s="39">
        <f>$F66*O$143*$F80/1000*O$125*$F$29*(1+$F$85)*O$130</f>
        <v>0</v>
      </c>
      <c r="P225" s="3"/>
      <c r="Q225" s="3"/>
      <c r="R225" s="3"/>
      <c r="S225" s="3"/>
      <c r="T225" s="3"/>
      <c r="U225" s="3"/>
      <c r="V225" s="3"/>
      <c r="W225" s="3"/>
      <c r="X225" s="3"/>
      <c r="Y225" s="3"/>
      <c r="Z225" s="3"/>
    </row>
    <row r="226" spans="1:26" ht="12.75" x14ac:dyDescent="0.2">
      <c r="A226" s="3"/>
      <c r="B226" s="33"/>
      <c r="C226" s="460" t="s">
        <v>834</v>
      </c>
      <c r="D226" s="33"/>
      <c r="E226" s="33"/>
      <c r="F226" s="39">
        <f>F148*ROUNDUP($F$25-0.4,0)/1000*F123</f>
        <v>18</v>
      </c>
      <c r="G226" s="39">
        <f>G148*ROUNDUP($F$25-0.4,0)/1000*G123</f>
        <v>0</v>
      </c>
      <c r="H226" s="39">
        <f>H148*ROUNDUP($F$25-0.4,0)/1000*H123</f>
        <v>20.956337999999999</v>
      </c>
      <c r="I226" s="39">
        <f>I148*ROUNDUP($F$25-0.4,0)/1000*I123</f>
        <v>0</v>
      </c>
      <c r="J226" s="39">
        <f>J148*ROUNDUP($F$25-0.4,0)/1000*J123</f>
        <v>24.398227909457997</v>
      </c>
      <c r="K226" s="39">
        <f>K148*ROUNDUP($F$25-0.4,0)/1000*K123</f>
        <v>0</v>
      </c>
      <c r="L226" s="39">
        <f>L148*ROUNDUP($F$25-0.4,0)/1000*L123</f>
        <v>28.405417259535287</v>
      </c>
      <c r="M226" s="39">
        <f>M148*ROUNDUP($F$25-0.4,0)/1000*M123</f>
        <v>0</v>
      </c>
      <c r="N226" s="39">
        <f>N148*ROUNDUP($F$25-0.4,0)/1000*N123</f>
        <v>33.070751395658618</v>
      </c>
      <c r="O226" s="39">
        <f>O148*ROUNDUP($F$25-0.4,0)/1000*O123</f>
        <v>0</v>
      </c>
      <c r="P226" s="566" t="s">
        <v>855</v>
      </c>
      <c r="Q226" s="3"/>
      <c r="R226" s="3"/>
      <c r="S226" s="3"/>
      <c r="T226" s="3"/>
      <c r="U226" s="3"/>
      <c r="V226" s="3"/>
      <c r="W226" s="3"/>
      <c r="X226" s="3"/>
      <c r="Y226" s="3"/>
      <c r="Z226" s="3"/>
    </row>
    <row r="227" spans="1:26" ht="12.75" x14ac:dyDescent="0.2">
      <c r="A227" s="3"/>
      <c r="B227" s="33"/>
      <c r="C227" s="460" t="s">
        <v>841</v>
      </c>
      <c r="D227" s="33"/>
      <c r="E227" s="33"/>
      <c r="F227" s="39">
        <f>$F$81*$F$70*$F$72*$F$71*$F$25*F123/1000</f>
        <v>7.6290500000000012</v>
      </c>
      <c r="G227" s="39">
        <f>$F$81*$F$70*$F$72*$F$71*$F$25*G123/1000</f>
        <v>8.2317449499999995</v>
      </c>
      <c r="H227" s="39">
        <f>$F$81*$F$70*$F$72*$F$71*$F$25*H123/1000</f>
        <v>8.8820528010499995</v>
      </c>
      <c r="I227" s="39">
        <f>$F$81*$F$70*$F$72*$F$71*$F$25*I123/1000</f>
        <v>9.5837349723329499</v>
      </c>
      <c r="J227" s="39">
        <f>$F$81*$F$70*$F$72*$F$71*$F$25*J123/1000</f>
        <v>10.340850035147254</v>
      </c>
      <c r="K227" s="39">
        <f>$F$81*$F$70*$F$72*$F$71*$F$25*K123/1000</f>
        <v>11.157777187923886</v>
      </c>
      <c r="L227" s="39">
        <f>$F$81*$F$70*$F$72*$F$71*$F$25*L123/1000</f>
        <v>12.039241585769872</v>
      </c>
      <c r="M227" s="39">
        <f>$F$81*$F$70*$F$72*$F$71*$F$25*M123/1000</f>
        <v>12.990341671045691</v>
      </c>
      <c r="N227" s="39">
        <f>$F$81*$F$70*$F$72*$F$71*$F$25*N123/1000</f>
        <v>14.016578663058301</v>
      </c>
      <c r="O227" s="39">
        <f>$F$81*$F$70*$F$72*$F$71*$F$25*O123/1000</f>
        <v>15.123888377439908</v>
      </c>
      <c r="P227" s="3"/>
      <c r="Q227" s="3"/>
      <c r="R227" s="3"/>
      <c r="S227" s="3"/>
      <c r="T227" s="3"/>
      <c r="U227" s="3"/>
      <c r="V227" s="3"/>
      <c r="W227" s="3"/>
      <c r="X227" s="3"/>
      <c r="Y227" s="3"/>
      <c r="Z227" s="3"/>
    </row>
    <row r="228" spans="1:26" ht="12.75" x14ac:dyDescent="0.2">
      <c r="A228" s="3"/>
      <c r="B228" s="33"/>
      <c r="C228" s="9" t="s">
        <v>105</v>
      </c>
      <c r="D228" s="33"/>
      <c r="E228" s="33"/>
      <c r="F228" s="39">
        <f>$F73*F$143*$F82/1000*F$125*$F$29*(1+$F$85)*F$130</f>
        <v>3.2</v>
      </c>
      <c r="G228" s="39">
        <f>$F73*G$143*$F82/1000*G$125*$F$29*(1+$F$85)*G$130</f>
        <v>3.4527999999999994</v>
      </c>
      <c r="H228" s="39">
        <f>$F73*H$143*$F82/1000*H$125*$F$29*(1+$F$85)*H$130</f>
        <v>3.7255711999999992</v>
      </c>
      <c r="I228" s="39">
        <f>$F73*I$143*$F82/1000*I$125*$F$29*(1+$F$85)*I$130</f>
        <v>4.0198913247999997</v>
      </c>
      <c r="J228" s="39">
        <f>$F73*J$143*$F82/1000*J$125*$F$29*(1+$F$85)*J$130</f>
        <v>4.3374627394591991</v>
      </c>
      <c r="K228" s="39">
        <f>$F73*K$143*$F82/1000*K$125*$F$29*(1+$F$85)*K$130</f>
        <v>4.6801222958764761</v>
      </c>
      <c r="L228" s="39">
        <f>$F73*L$143*$F82/1000*L$125*$F$29*(1+$F$85)*L$130</f>
        <v>5.0498519572507181</v>
      </c>
      <c r="M228" s="39">
        <f>$F73*M$143*$F82/1000*M$125*$F$29*(1+$F$85)*M$130</f>
        <v>5.4487902618735244</v>
      </c>
      <c r="N228" s="39">
        <f>$F73*N$143*$F82/1000*N$125*$F$29*(1+$F$85)*N$130</f>
        <v>5.8792446925615325</v>
      </c>
      <c r="O228" s="39">
        <f>$F73*O$143*$F82/1000*O$125*$F$29*(1+$F$85)*O$130</f>
        <v>6.343705023273893</v>
      </c>
      <c r="P228" s="3"/>
      <c r="Q228" s="3"/>
      <c r="R228" s="3"/>
      <c r="S228" s="3"/>
      <c r="T228" s="3"/>
      <c r="U228" s="3"/>
      <c r="V228" s="3"/>
      <c r="W228" s="3"/>
      <c r="X228" s="3"/>
      <c r="Y228" s="3"/>
      <c r="Z228" s="3"/>
    </row>
    <row r="229" spans="1:26" ht="12.75" x14ac:dyDescent="0.2">
      <c r="A229" s="3"/>
      <c r="B229" s="33"/>
      <c r="C229" s="9" t="s">
        <v>108</v>
      </c>
      <c r="D229" s="33"/>
      <c r="E229" s="33"/>
      <c r="F229" s="39">
        <f>ROUNDUP((F162+F175)*1000/$F$74,0)*$F83/1000*F$123</f>
        <v>8.1999999999999993</v>
      </c>
      <c r="G229" s="39">
        <f>ROUNDUP((G162+G175)*1000/$F$74,0)*$F83/1000*G$123</f>
        <v>8.9557000000000002</v>
      </c>
      <c r="H229" s="39">
        <f>ROUNDUP((H162+H175)*1000/$F$74,0)*$F83/1000*H$123</f>
        <v>9.7796243999999994</v>
      </c>
      <c r="I229" s="39">
        <f>ROUNDUP((I162+I175)*1000/$F$74,0)*$F83/1000*I$123</f>
        <v>10.6778363315</v>
      </c>
      <c r="J229" s="39">
        <f>ROUNDUP((J162+J175)*1000/$F$74,0)*$F83/1000*J$123</f>
        <v>11.656931112296599</v>
      </c>
      <c r="K229" s="39">
        <f>ROUNDUP((K162+K175)*1000/$F$74,0)*$F83/1000*K$123</f>
        <v>12.724082491914169</v>
      </c>
      <c r="L229" s="39">
        <f>ROUNDUP((L162+L175)*1000/$F$74,0)*$F83/1000*L$123</f>
        <v>13.729285008775388</v>
      </c>
      <c r="M229" s="39">
        <f>ROUNDUP((M162+M175)*1000/$F$74,0)*$F83/1000*M$123</f>
        <v>14.984173220152192</v>
      </c>
      <c r="N229" s="39">
        <f>ROUNDUP((N162+N175)*1000/$F$74,0)*$F83/1000*N$123</f>
        <v>16.351649301186761</v>
      </c>
      <c r="O229" s="39">
        <f>ROUNDUP((O162+O175)*1000/$F$74,0)*$F83/1000*O$123</f>
        <v>17.841670377957826</v>
      </c>
      <c r="P229" s="3"/>
      <c r="Q229" s="3"/>
      <c r="R229" s="3"/>
      <c r="S229" s="3"/>
      <c r="T229" s="3"/>
      <c r="U229" s="3"/>
      <c r="V229" s="3"/>
      <c r="W229" s="3"/>
      <c r="X229" s="3"/>
      <c r="Y229" s="3"/>
      <c r="Z229" s="3"/>
    </row>
    <row r="230" spans="1:26" ht="12.75" x14ac:dyDescent="0.2">
      <c r="A230" s="3"/>
      <c r="B230" s="33"/>
      <c r="C230" s="36" t="s">
        <v>217</v>
      </c>
      <c r="D230" s="36"/>
      <c r="E230" s="36"/>
      <c r="F230" s="48">
        <f>SUM(F222:F229)</f>
        <v>55.602965999999995</v>
      </c>
      <c r="G230" s="48">
        <f t="shared" ref="G230:O230" si="50">SUM(G222:G229)</f>
        <v>40.681500313999997</v>
      </c>
      <c r="H230" s="48">
        <f t="shared" si="50"/>
        <v>64.968100938805989</v>
      </c>
      <c r="I230" s="48">
        <f t="shared" si="50"/>
        <v>47.614313814871664</v>
      </c>
      <c r="J230" s="48">
        <f t="shared" si="50"/>
        <v>75.909618226312631</v>
      </c>
      <c r="K230" s="48">
        <f t="shared" si="50"/>
        <v>55.727043973632284</v>
      </c>
      <c r="L230" s="48">
        <f t="shared" si="50"/>
        <v>88.534897707084525</v>
      </c>
      <c r="M230" s="48">
        <f t="shared" si="50"/>
        <v>65.049984098589164</v>
      </c>
      <c r="N230" s="48">
        <f t="shared" si="50"/>
        <v>103.44341063467888</v>
      </c>
      <c r="O230" s="48">
        <f t="shared" si="50"/>
        <v>76.130340100880176</v>
      </c>
      <c r="P230" s="3"/>
      <c r="Q230" s="3"/>
      <c r="R230" s="3"/>
      <c r="S230" s="3"/>
      <c r="T230" s="3"/>
      <c r="U230" s="3"/>
      <c r="V230" s="3"/>
      <c r="W230" s="3"/>
      <c r="X230" s="3"/>
      <c r="Y230" s="3"/>
      <c r="Z230" s="3"/>
    </row>
    <row r="231" spans="1:26" ht="12.75" x14ac:dyDescent="0.2">
      <c r="A231" s="3"/>
      <c r="B231" s="33"/>
      <c r="C231" s="62"/>
      <c r="D231" s="62"/>
      <c r="E231" s="62"/>
      <c r="F231" s="103"/>
      <c r="G231" s="103"/>
      <c r="H231" s="103"/>
      <c r="I231" s="103"/>
      <c r="J231" s="103"/>
      <c r="K231" s="103"/>
      <c r="L231" s="103"/>
      <c r="M231" s="103"/>
      <c r="N231" s="103"/>
      <c r="O231" s="103"/>
      <c r="P231" s="3"/>
      <c r="Q231" s="3"/>
      <c r="R231" s="3"/>
      <c r="S231" s="3"/>
      <c r="T231" s="3"/>
      <c r="U231" s="3"/>
      <c r="V231" s="3"/>
      <c r="W231" s="3"/>
      <c r="X231" s="3"/>
      <c r="Y231" s="3"/>
      <c r="Z231" s="3"/>
    </row>
    <row r="232" spans="1:26" ht="12.75" x14ac:dyDescent="0.2">
      <c r="A232" s="3"/>
      <c r="B232" s="33"/>
      <c r="C232" s="34" t="s">
        <v>287</v>
      </c>
      <c r="D232" s="62"/>
      <c r="E232" s="62"/>
      <c r="F232" s="103"/>
      <c r="G232" s="103"/>
      <c r="H232" s="103"/>
      <c r="I232" s="103"/>
      <c r="J232" s="103"/>
      <c r="K232" s="103"/>
      <c r="L232" s="103"/>
      <c r="M232" s="103"/>
      <c r="N232" s="103"/>
      <c r="O232" s="103"/>
      <c r="P232" s="3"/>
      <c r="Q232" s="3"/>
      <c r="R232" s="3"/>
      <c r="S232" s="3"/>
      <c r="T232" s="3"/>
      <c r="U232" s="3"/>
      <c r="V232" s="3"/>
      <c r="W232" s="3"/>
      <c r="X232" s="3"/>
      <c r="Y232" s="3"/>
      <c r="Z232" s="3"/>
    </row>
    <row r="233" spans="1:26" ht="12.75" x14ac:dyDescent="0.2">
      <c r="A233" s="3"/>
      <c r="B233" s="33"/>
      <c r="C233" s="27" t="s">
        <v>282</v>
      </c>
      <c r="D233" s="33"/>
      <c r="E233" s="33"/>
      <c r="F233" s="106">
        <f>$F88*F$123/1000*(F$175+F$162)</f>
        <v>8.1598E-3</v>
      </c>
      <c r="G233" s="106">
        <f>$F88*G$123/1000*(G$175+G$162)</f>
        <v>8.8977469099999987E-3</v>
      </c>
      <c r="H233" s="106">
        <f>$F88*H$123/1000*(H$175+H$162)</f>
        <v>9.7023710720208992E-3</v>
      </c>
      <c r="I233" s="106">
        <f>$F88*I$123/1000*(I$175+I$162)</f>
        <v>1.0579692379440443E-2</v>
      </c>
      <c r="J233" s="106">
        <f>$F88*J$123/1000*(J$175+J$162)</f>
        <v>1.1536273854353352E-2</v>
      </c>
      <c r="K233" s="106">
        <f>$F88*K$123/1000*(K$175+K$162)</f>
        <v>1.2579270620695556E-2</v>
      </c>
      <c r="L233" s="106">
        <f>$F88*L$123/1000*(L$175+L$162)</f>
        <v>1.3716483290907456E-2</v>
      </c>
      <c r="M233" s="106">
        <f>$F88*M$123/1000*(M$175+M$162)</f>
        <v>1.4956416163710875E-2</v>
      </c>
      <c r="N233" s="106">
        <f>$F88*N$123/1000*(N$175+N$162)</f>
        <v>1.6308340666374228E-2</v>
      </c>
      <c r="O233" s="106">
        <f>$F88*O$123/1000*(O$175+O$162)</f>
        <v>1.7782364513862302E-2</v>
      </c>
      <c r="P233" s="3"/>
      <c r="Q233" s="3"/>
      <c r="R233" s="3"/>
      <c r="S233" s="3"/>
      <c r="T233" s="3"/>
      <c r="U233" s="3"/>
      <c r="V233" s="3"/>
      <c r="W233" s="3"/>
      <c r="X233" s="3"/>
      <c r="Y233" s="3"/>
      <c r="Z233" s="3"/>
    </row>
    <row r="234" spans="1:26" ht="12.75" x14ac:dyDescent="0.2">
      <c r="A234" s="3"/>
      <c r="B234" s="33"/>
      <c r="C234" s="27" t="s">
        <v>284</v>
      </c>
      <c r="D234" s="33"/>
      <c r="E234" s="33"/>
      <c r="F234" s="107">
        <f>$F89*F$123/1000*(F$175+F$174+F$162+F$161+F$160)</f>
        <v>1.4251441568627456</v>
      </c>
      <c r="G234" s="107">
        <f>$F89*G$123/1000*(G$175+G$174+G$162+G$161+G$160)</f>
        <v>1.5531078507074514</v>
      </c>
      <c r="H234" s="107">
        <f>$F89*H$123/1000*(H$175+H$174+H$162+H$161+H$160)</f>
        <v>1.6925614046224735</v>
      </c>
      <c r="I234" s="107">
        <f>$F89*I$123/1000*(I$175+I$174+I$162+I$161+I$160)</f>
        <v>1.8445364931435251</v>
      </c>
      <c r="J234" s="107">
        <f>$F89*J$123/1000*(J$175+J$174+J$162+J$161+J$160)</f>
        <v>2.0101574248628817</v>
      </c>
      <c r="K234" s="107">
        <f>$F89*K$123/1000*(K$175+K$174+K$162+K$161+K$160)</f>
        <v>2.1906494600413202</v>
      </c>
      <c r="L234" s="107">
        <f>$F89*L$123/1000*(L$175+L$174+L$162+L$161+L$160)</f>
        <v>2.3873478750584307</v>
      </c>
      <c r="M234" s="107">
        <f>$F89*M$123/1000*(M$175+M$174+M$162+M$161+M$160)</f>
        <v>2.6017078407599268</v>
      </c>
      <c r="N234" s="107">
        <f>$F89*N$123/1000*(N$175+N$174+N$162+N$161+N$160)</f>
        <v>2.8353151877817604</v>
      </c>
      <c r="O234" s="107">
        <f>$F89*O$123/1000*(O$175+O$174+O$162+O$161+O$160)</f>
        <v>3.0898981384926847</v>
      </c>
      <c r="P234" s="3"/>
      <c r="Q234" s="3"/>
      <c r="R234" s="3"/>
      <c r="S234" s="3"/>
      <c r="T234" s="3"/>
      <c r="U234" s="3"/>
      <c r="V234" s="3"/>
      <c r="W234" s="3"/>
      <c r="X234" s="3"/>
      <c r="Y234" s="3"/>
      <c r="Z234" s="3"/>
    </row>
    <row r="235" spans="1:26" ht="12.75" x14ac:dyDescent="0.2">
      <c r="A235" s="3"/>
      <c r="B235" s="33"/>
      <c r="C235" s="31" t="s">
        <v>289</v>
      </c>
      <c r="D235" s="36"/>
      <c r="E235" s="36"/>
      <c r="F235" s="40">
        <f t="shared" ref="F235:O235" si="51">SUM(F233:F234)</f>
        <v>1.4333039568627457</v>
      </c>
      <c r="G235" s="40">
        <f t="shared" si="51"/>
        <v>1.5620055976174514</v>
      </c>
      <c r="H235" s="40">
        <f t="shared" si="51"/>
        <v>1.7022637756944945</v>
      </c>
      <c r="I235" s="40">
        <f t="shared" si="51"/>
        <v>1.8551161855229654</v>
      </c>
      <c r="J235" s="40">
        <f t="shared" si="51"/>
        <v>2.0216936987172351</v>
      </c>
      <c r="K235" s="40">
        <f t="shared" si="51"/>
        <v>2.203228730662016</v>
      </c>
      <c r="L235" s="40">
        <f t="shared" si="51"/>
        <v>2.4010643583493381</v>
      </c>
      <c r="M235" s="40">
        <f t="shared" si="51"/>
        <v>2.6166642569236376</v>
      </c>
      <c r="N235" s="40">
        <f t="shared" si="51"/>
        <v>2.8516235284481346</v>
      </c>
      <c r="O235" s="40">
        <f t="shared" si="51"/>
        <v>3.1076805030065469</v>
      </c>
      <c r="P235" s="3"/>
      <c r="Q235" s="3"/>
      <c r="R235" s="3"/>
      <c r="S235" s="3"/>
      <c r="T235" s="3"/>
      <c r="U235" s="3"/>
      <c r="V235" s="3"/>
      <c r="W235" s="3"/>
      <c r="X235" s="3"/>
      <c r="Y235" s="3"/>
      <c r="Z235" s="3"/>
    </row>
    <row r="236" spans="1:26" ht="12.75" x14ac:dyDescent="0.2">
      <c r="A236" s="3"/>
      <c r="B236" s="3"/>
      <c r="C236" s="3"/>
      <c r="D236" s="3"/>
      <c r="E236" s="3"/>
      <c r="F236" s="28"/>
      <c r="G236" s="3"/>
      <c r="H236" s="3"/>
      <c r="I236" s="3"/>
      <c r="J236" s="3"/>
      <c r="K236" s="3"/>
      <c r="L236" s="3"/>
      <c r="M236" s="3"/>
      <c r="N236" s="3"/>
      <c r="O236" s="3"/>
      <c r="P236" s="3"/>
      <c r="Q236" s="3"/>
      <c r="R236" s="3"/>
      <c r="S236" s="3"/>
      <c r="T236" s="3"/>
      <c r="U236" s="3"/>
      <c r="V236" s="3"/>
      <c r="W236" s="3"/>
      <c r="X236" s="3"/>
      <c r="Y236" s="3"/>
      <c r="Z236" s="3"/>
    </row>
    <row r="237" spans="1:26" ht="12.75" x14ac:dyDescent="0.2">
      <c r="A237" s="3"/>
      <c r="B237" s="567" t="s">
        <v>227</v>
      </c>
      <c r="C237" s="33"/>
      <c r="D237" s="33"/>
      <c r="E237" s="33"/>
      <c r="F237" s="33"/>
      <c r="G237" s="33"/>
      <c r="H237" s="33"/>
      <c r="I237" s="33"/>
      <c r="J237" s="33"/>
      <c r="K237" s="33"/>
      <c r="L237" s="33"/>
      <c r="M237" s="33"/>
      <c r="N237" s="33"/>
      <c r="O237" s="33"/>
      <c r="P237" s="3"/>
      <c r="Q237" s="3"/>
      <c r="R237" s="3"/>
      <c r="S237" s="3"/>
      <c r="T237" s="3"/>
      <c r="U237" s="3"/>
      <c r="V237" s="3"/>
      <c r="W237" s="3"/>
      <c r="X237" s="3"/>
      <c r="Y237" s="3"/>
      <c r="Z237" s="3"/>
    </row>
    <row r="238" spans="1:26" ht="12.75" x14ac:dyDescent="0.2">
      <c r="A238" s="3"/>
      <c r="B238" s="33"/>
      <c r="C238" s="34" t="s">
        <v>218</v>
      </c>
      <c r="D238" s="33"/>
      <c r="E238" s="33"/>
      <c r="F238" s="33"/>
      <c r="G238" s="33"/>
      <c r="H238" s="33"/>
      <c r="I238" s="33"/>
      <c r="J238" s="33"/>
      <c r="K238" s="33"/>
      <c r="L238" s="33"/>
      <c r="M238" s="33"/>
      <c r="N238" s="33"/>
      <c r="O238" s="33"/>
      <c r="P238" s="3"/>
      <c r="Q238" s="3"/>
      <c r="R238" s="3"/>
      <c r="S238" s="3"/>
      <c r="T238" s="3"/>
      <c r="U238" s="3"/>
      <c r="V238" s="3"/>
      <c r="W238" s="3"/>
      <c r="X238" s="3"/>
      <c r="Y238" s="3"/>
      <c r="Z238" s="3"/>
    </row>
    <row r="239" spans="1:26" ht="12.75" x14ac:dyDescent="0.2">
      <c r="A239" s="3"/>
      <c r="B239" s="33"/>
      <c r="C239" s="94" t="s">
        <v>272</v>
      </c>
      <c r="D239" s="33"/>
      <c r="E239" s="33"/>
      <c r="F239" s="39">
        <f>$I41*F$144*$I49*F$138*F$123/1000*$F$29</f>
        <v>29.42</v>
      </c>
      <c r="G239" s="39">
        <f>$I41*G$144*$I49*G$138*G$123/1000*$F$29</f>
        <v>31.74418</v>
      </c>
      <c r="H239" s="39">
        <f>$I41*H$144*$I49*H$138*H$123/1000*$F$29</f>
        <v>34.251970219999997</v>
      </c>
      <c r="I239" s="39">
        <f>$I41*I$144*$I49*I$138*I$123/1000*$F$29</f>
        <v>36.957875867379997</v>
      </c>
      <c r="J239" s="39">
        <f>$I41*J$144*$I49*J$138*J$123/1000*$F$29</f>
        <v>39.877548060903017</v>
      </c>
      <c r="K239" s="39">
        <f>$I41*K$144*$I49*K$138*K$123/1000*$F$29</f>
        <v>43.027874357714353</v>
      </c>
      <c r="L239" s="39">
        <f>$I41*L$144*$I49*L$138*L$123/1000*$F$29</f>
        <v>46.427076431973788</v>
      </c>
      <c r="M239" s="39">
        <f>$I41*M$144*$I49*M$138*M$123/1000*$F$29</f>
        <v>50.094815470099711</v>
      </c>
      <c r="N239" s="39">
        <f>$I41*N$144*$I49*N$138*N$123/1000*$F$29</f>
        <v>54.052305892237584</v>
      </c>
      <c r="O239" s="39">
        <f>$I41*O$144*$I49*O$138*O$123/1000*$F$29</f>
        <v>58.322438057724355</v>
      </c>
      <c r="P239" s="3"/>
      <c r="Q239" s="3"/>
      <c r="R239" s="3"/>
      <c r="S239" s="3"/>
      <c r="T239" s="3"/>
      <c r="U239" s="3"/>
      <c r="V239" s="3"/>
      <c r="W239" s="3"/>
      <c r="X239" s="3"/>
      <c r="Y239" s="3"/>
      <c r="Z239" s="3"/>
    </row>
    <row r="240" spans="1:26" ht="12.75" x14ac:dyDescent="0.2">
      <c r="A240" s="3"/>
      <c r="B240" s="33"/>
      <c r="C240" s="94" t="s">
        <v>273</v>
      </c>
      <c r="D240" s="33"/>
      <c r="E240" s="33"/>
      <c r="F240" s="39">
        <f>$I42*F$144*$I50*F$138*F$123/1000*$F$29</f>
        <v>44.6</v>
      </c>
      <c r="G240" s="39">
        <f>$I42*G$144*$I50*G$138*G$123/1000*$F$29</f>
        <v>48.123400000000004</v>
      </c>
      <c r="H240" s="39">
        <f>$I42*H$144*$I50*H$138*H$123/1000*$F$29</f>
        <v>51.925148599999993</v>
      </c>
      <c r="I240" s="39">
        <f>$I42*I$144*$I50*I$138*I$123/1000*$F$29</f>
        <v>56.027235339399994</v>
      </c>
      <c r="J240" s="39">
        <f>$I42*J$144*$I50*J$138*J$123/1000*$F$29</f>
        <v>60.453386931212599</v>
      </c>
      <c r="K240" s="39">
        <f>$I42*K$144*$I50*K$138*K$123/1000*$F$29</f>
        <v>65.229204498778387</v>
      </c>
      <c r="L240" s="39">
        <f>$I42*L$144*$I50*L$138*L$123/1000*$F$29</f>
        <v>70.382311654181876</v>
      </c>
      <c r="M240" s="39">
        <f>$I42*M$144*$I50*M$138*M$123/1000*$F$29</f>
        <v>75.942514274862248</v>
      </c>
      <c r="N240" s="39">
        <f>$I42*N$144*$I50*N$138*N$123/1000*$F$29</f>
        <v>81.941972902576353</v>
      </c>
      <c r="O240" s="39">
        <f>$I42*O$144*$I50*O$138*O$123/1000*$F$29</f>
        <v>88.415388761879896</v>
      </c>
      <c r="P240" s="3"/>
      <c r="Q240" s="3"/>
      <c r="R240" s="3"/>
      <c r="S240" s="3"/>
      <c r="T240" s="3"/>
      <c r="U240" s="3"/>
      <c r="V240" s="3"/>
      <c r="W240" s="3"/>
      <c r="X240" s="3"/>
      <c r="Y240" s="3"/>
      <c r="Z240" s="3"/>
    </row>
    <row r="241" spans="1:26" ht="12.75" x14ac:dyDescent="0.2">
      <c r="A241" s="3"/>
      <c r="B241" s="33"/>
      <c r="C241" s="94" t="s">
        <v>274</v>
      </c>
      <c r="D241" s="33"/>
      <c r="E241" s="35"/>
      <c r="F241" s="39">
        <f>$I43*F$144*$I51*F$138*F$123/1000*$F$29</f>
        <v>59.65</v>
      </c>
      <c r="G241" s="39">
        <f>$I43*G$144*$I51*G$138*G$123/1000*$F$29</f>
        <v>64.362349999999992</v>
      </c>
      <c r="H241" s="39">
        <f>$I43*H$144*$I51*H$138*H$123/1000*$F$29</f>
        <v>69.446975649999999</v>
      </c>
      <c r="I241" s="39">
        <f>$I43*I$144*$I51*I$138*I$123/1000*$F$29</f>
        <v>74.933286726349991</v>
      </c>
      <c r="J241" s="39">
        <f>$I43*J$144*$I51*J$138*J$123/1000*$F$29</f>
        <v>80.853016377731649</v>
      </c>
      <c r="K241" s="39">
        <f>$I43*K$144*$I51*K$138*K$123/1000*$F$29</f>
        <v>87.240404671572435</v>
      </c>
      <c r="L241" s="39">
        <f>$I43*L$144*$I51*L$138*L$123/1000*$F$29</f>
        <v>94.132396640626652</v>
      </c>
      <c r="M241" s="39">
        <f>$I43*M$144*$I51*M$138*M$123/1000*$F$29</f>
        <v>101.56885597523616</v>
      </c>
      <c r="N241" s="39">
        <f>$I43*N$144*$I51*N$138*N$123/1000*$F$29</f>
        <v>109.5927955972798</v>
      </c>
      <c r="O241" s="39">
        <f>$I43*O$144*$I51*O$138*O$123/1000*$F$29</f>
        <v>118.25062644946492</v>
      </c>
      <c r="P241" s="3"/>
      <c r="Q241" s="3"/>
      <c r="R241" s="3"/>
      <c r="S241" s="3"/>
      <c r="T241" s="3"/>
      <c r="U241" s="3"/>
      <c r="V241" s="3"/>
      <c r="W241" s="3"/>
      <c r="X241" s="3"/>
      <c r="Y241" s="3"/>
      <c r="Z241" s="3"/>
    </row>
    <row r="242" spans="1:26" ht="12.75" x14ac:dyDescent="0.2">
      <c r="A242" s="3"/>
      <c r="B242" s="33"/>
      <c r="C242" s="94" t="s">
        <v>275</v>
      </c>
      <c r="D242" s="33"/>
      <c r="E242" s="35"/>
      <c r="F242" s="39">
        <f>$I44*F$144*$I52*F$138*F$123/1000*$F$29</f>
        <v>59.34</v>
      </c>
      <c r="G242" s="39">
        <f>$I44*G$144*$I52*G$138*G$123/1000*$F$29</f>
        <v>64.027860000000004</v>
      </c>
      <c r="H242" s="39">
        <f>$I44*H$144*$I52*H$138*H$123/1000*$F$29</f>
        <v>69.086060939999996</v>
      </c>
      <c r="I242" s="39">
        <f>$I44*I$144*$I52*I$138*I$123/1000*$F$29</f>
        <v>74.543859754259984</v>
      </c>
      <c r="J242" s="39">
        <f>$I44*J$144*$I52*J$138*J$123/1000*$F$29</f>
        <v>80.432824674846529</v>
      </c>
      <c r="K242" s="39">
        <f>$I44*K$144*$I52*K$138*K$123/1000*$F$29</f>
        <v>86.787017824159392</v>
      </c>
      <c r="L242" s="39">
        <f>$I44*L$144*$I52*L$138*L$123/1000*$F$29</f>
        <v>93.643192232268007</v>
      </c>
      <c r="M242" s="39">
        <f>$I44*M$144*$I52*M$138*M$123/1000*$F$29</f>
        <v>101.04100441861716</v>
      </c>
      <c r="N242" s="39">
        <f>$I44*N$144*$I52*N$138*N$123/1000*$F$29</f>
        <v>109.02324376768792</v>
      </c>
      <c r="O242" s="39">
        <f>$I44*O$144*$I52*O$138*O$123/1000*$F$29</f>
        <v>117.63608002533526</v>
      </c>
      <c r="P242" s="3"/>
      <c r="Q242" s="3"/>
      <c r="R242" s="3"/>
      <c r="S242" s="3"/>
      <c r="T242" s="3"/>
      <c r="U242" s="3"/>
      <c r="V242" s="3"/>
      <c r="W242" s="3"/>
      <c r="X242" s="3"/>
      <c r="Y242" s="3"/>
      <c r="Z242" s="3"/>
    </row>
    <row r="243" spans="1:26" ht="12.75" x14ac:dyDescent="0.2">
      <c r="A243" s="3"/>
      <c r="B243" s="33"/>
      <c r="C243" s="84" t="s">
        <v>293</v>
      </c>
      <c r="D243" s="35"/>
      <c r="E243" s="35"/>
      <c r="F243" s="104">
        <f>$I45*F$144*$I53*F$138*F$123/1000*$F$29</f>
        <v>17.29</v>
      </c>
      <c r="G243" s="104">
        <f>$I45*G$144*$I53*G$138*G$123/1000*$F$29</f>
        <v>18.655909999999999</v>
      </c>
      <c r="H243" s="104">
        <f>$I45*H$144*$I53*H$138*H$123/1000*$F$29</f>
        <v>20.129726889999997</v>
      </c>
      <c r="I243" s="104">
        <f>$I45*I$144*$I53*I$138*I$123/1000*$F$29</f>
        <v>21.719975314309998</v>
      </c>
      <c r="J243" s="104">
        <f>$I45*J$144*$I53*J$138*J$123/1000*$F$29</f>
        <v>23.435853364140488</v>
      </c>
      <c r="K243" s="104">
        <f>$I45*K$144*$I53*K$138*K$123/1000*$F$29</f>
        <v>25.287285779907588</v>
      </c>
      <c r="L243" s="104">
        <f>$I45*L$144*$I53*L$138*L$123/1000*$F$29</f>
        <v>27.284981356520287</v>
      </c>
      <c r="M243" s="104">
        <f>$I45*M$144*$I53*M$138*M$123/1000*$F$29</f>
        <v>29.440494883685382</v>
      </c>
      <c r="N243" s="104">
        <f>$I45*N$144*$I53*N$138*N$123/1000*$F$29</f>
        <v>31.766293979496528</v>
      </c>
      <c r="O243" s="104">
        <f>$I45*O$144*$I53*O$138*O$123/1000*$F$29</f>
        <v>34.275831203876756</v>
      </c>
      <c r="P243" s="3"/>
      <c r="Q243" s="3"/>
      <c r="R243" s="3"/>
      <c r="S243" s="3"/>
      <c r="T243" s="3"/>
      <c r="U243" s="3"/>
      <c r="V243" s="3"/>
      <c r="W243" s="3"/>
      <c r="X243" s="3"/>
      <c r="Y243" s="3"/>
      <c r="Z243" s="3"/>
    </row>
    <row r="244" spans="1:26" ht="12.75" x14ac:dyDescent="0.2">
      <c r="A244" s="3"/>
      <c r="B244" s="33"/>
      <c r="C244" s="94" t="s">
        <v>278</v>
      </c>
      <c r="D244" s="33"/>
      <c r="E244" s="35"/>
      <c r="F244" s="39">
        <f>($I46*F$144*$I54*F$138*F$123/1000*$F$29)*((F165+F178)/($O$178+$O$165))</f>
        <v>99.289685853658526</v>
      </c>
      <c r="G244" s="39">
        <f>($I46*G$144*$I54*G$138*G$123/1000*$F$29)*((G165+G178)/($O$178+$O$165))</f>
        <v>112.49024958790244</v>
      </c>
      <c r="H244" s="39">
        <f>($I46*H$144*$I54*H$138*H$123/1000*$F$29)*((H165+H178)/($O$178+$O$165))</f>
        <v>127.44582827061404</v>
      </c>
      <c r="I244" s="39">
        <f>($I46*I$144*$I54*I$138*I$123/1000*$F$29)*((I165+I178)/($O$178+$O$165))</f>
        <v>144.38975113919221</v>
      </c>
      <c r="J244" s="39">
        <f>($I46*J$144*$I54*J$138*J$123/1000*$F$29)*((J165+J178)/($O$178+$O$165))</f>
        <v>163.58636855314785</v>
      </c>
      <c r="K244" s="39">
        <f>($I46*K$144*$I54*K$138*K$123/1000*$F$29)*((K165+K178)/($O$178+$O$165))</f>
        <v>183.21491177928951</v>
      </c>
      <c r="L244" s="39">
        <f>($I46*L$144*$I54*L$138*L$123/1000*$F$29)*((L165+L178)/($O$178+$O$165))</f>
        <v>199.75636264147198</v>
      </c>
      <c r="M244" s="39">
        <f>($I46*M$144*$I54*M$138*M$123/1000*$F$29)*((M165+M178)/($O$178+$O$165))</f>
        <v>215.53711529014828</v>
      </c>
      <c r="N244" s="39">
        <f>($I46*N$144*$I54*N$138*N$123/1000*$F$29)*((N165+N178)/($O$178+$O$165))</f>
        <v>232.56454739806995</v>
      </c>
      <c r="O244" s="39">
        <f>($I46*O$144*$I54*O$138*O$123/1000*$F$29)*((O165+O178)/($O$178+$O$165))</f>
        <v>250.93714664251749</v>
      </c>
      <c r="P244" s="3"/>
      <c r="Q244" s="3"/>
      <c r="R244" s="3"/>
      <c r="S244" s="3"/>
      <c r="T244" s="3"/>
      <c r="U244" s="3"/>
      <c r="V244" s="3"/>
      <c r="W244" s="3"/>
      <c r="X244" s="3"/>
      <c r="Y244" s="3"/>
      <c r="Z244" s="3"/>
    </row>
    <row r="245" spans="1:26" ht="12.75" x14ac:dyDescent="0.2">
      <c r="A245" s="3"/>
      <c r="B245" s="33"/>
      <c r="C245" s="9" t="s">
        <v>85</v>
      </c>
      <c r="D245" s="33"/>
      <c r="E245" s="35"/>
      <c r="F245" s="39">
        <f>IF(F204&gt;($I$48-1),0,$I$47*$I$54*F$138*F$123/1000)</f>
        <v>26.01</v>
      </c>
      <c r="G245" s="39">
        <f>IF(G204&gt;($I$48-1),0,$I$47*$I$54*G$138*G$123/1000)</f>
        <v>28.064789999999999</v>
      </c>
      <c r="H245" s="39">
        <f>IF(H204&gt;($I$48-1),0,$I$47*$I$54*H$138*H$123/1000)</f>
        <v>30.281908409999996</v>
      </c>
      <c r="I245" s="39">
        <f>IF(I204&gt;($I$48-1),0,$I$47*$I$54*I$138*I$123/1000)</f>
        <v>32.674179174389998</v>
      </c>
      <c r="J245" s="39">
        <f>IF(J204&gt;($I$48-1),0,$I$47*$I$54*J$138*J$123/1000)</f>
        <v>0</v>
      </c>
      <c r="K245" s="39">
        <f>IF(K204&gt;($I$48-1),0,$I$47*$I$54*K$138*K$123/1000)</f>
        <v>0</v>
      </c>
      <c r="L245" s="39">
        <f>IF(L204&gt;($I$48-1),0,$I$47*$I$54*L$138*L$123/1000)</f>
        <v>0</v>
      </c>
      <c r="M245" s="39">
        <f>IF(M204&gt;($I$48-1),0,$I$47*$I$54*M$138*M$123/1000)</f>
        <v>0</v>
      </c>
      <c r="N245" s="39">
        <f>IF(N204&gt;($I$48-1),0,$I$47*$I$54*N$138*N$123/1000)</f>
        <v>0</v>
      </c>
      <c r="O245" s="39">
        <f>IF(O204&gt;($I$48-1),0,$I$47*$I$54*O$138*O$123/1000)</f>
        <v>0</v>
      </c>
      <c r="P245" s="3"/>
      <c r="Q245" s="3"/>
      <c r="R245" s="3"/>
      <c r="S245" s="3"/>
      <c r="T245" s="3"/>
      <c r="U245" s="3"/>
      <c r="V245" s="3"/>
      <c r="W245" s="3"/>
      <c r="X245" s="3"/>
      <c r="Y245" s="3"/>
      <c r="Z245" s="3"/>
    </row>
    <row r="246" spans="1:26" ht="12.75" x14ac:dyDescent="0.2">
      <c r="A246" s="3"/>
      <c r="B246" s="33"/>
      <c r="C246" s="31" t="s">
        <v>207</v>
      </c>
      <c r="D246" s="36"/>
      <c r="E246" s="36"/>
      <c r="F246" s="40">
        <f>SUM(F239:F245)</f>
        <v>335.59968585365851</v>
      </c>
      <c r="G246" s="40">
        <f t="shared" ref="G246:O246" si="52">SUM(G239:G245)</f>
        <v>367.46873958790246</v>
      </c>
      <c r="H246" s="40">
        <f t="shared" si="52"/>
        <v>402.56761898061399</v>
      </c>
      <c r="I246" s="40">
        <f t="shared" si="52"/>
        <v>441.24616331528216</v>
      </c>
      <c r="J246" s="40">
        <f t="shared" si="52"/>
        <v>448.63899796198211</v>
      </c>
      <c r="K246" s="40">
        <f t="shared" si="52"/>
        <v>490.78669891142158</v>
      </c>
      <c r="L246" s="40">
        <f t="shared" si="52"/>
        <v>531.62632095704259</v>
      </c>
      <c r="M246" s="40">
        <f t="shared" si="52"/>
        <v>573.62480031264897</v>
      </c>
      <c r="N246" s="40">
        <f t="shared" si="52"/>
        <v>618.94115953734808</v>
      </c>
      <c r="O246" s="40">
        <f t="shared" si="52"/>
        <v>667.83751114079871</v>
      </c>
      <c r="P246" s="3"/>
      <c r="Q246" s="3"/>
      <c r="R246" s="3"/>
      <c r="S246" s="3"/>
      <c r="T246" s="3"/>
      <c r="U246" s="3"/>
      <c r="V246" s="3"/>
      <c r="W246" s="3"/>
      <c r="X246" s="3"/>
      <c r="Y246" s="3"/>
      <c r="Z246" s="3"/>
    </row>
    <row r="247" spans="1:26" ht="12.75" x14ac:dyDescent="0.2">
      <c r="A247" s="3"/>
      <c r="B247" s="33"/>
      <c r="C247" s="9"/>
      <c r="D247" s="33"/>
      <c r="E247" s="33"/>
      <c r="F247" s="41"/>
      <c r="G247" s="41"/>
      <c r="H247" s="41"/>
      <c r="I247" s="41"/>
      <c r="J247" s="41"/>
      <c r="K247" s="41"/>
      <c r="L247" s="41"/>
      <c r="M247" s="41"/>
      <c r="N247" s="41"/>
      <c r="O247" s="41"/>
      <c r="P247" s="3"/>
      <c r="Q247" s="3"/>
      <c r="R247" s="3"/>
      <c r="S247" s="3"/>
      <c r="T247" s="3"/>
      <c r="U247" s="3"/>
      <c r="V247" s="3"/>
      <c r="W247" s="3"/>
      <c r="X247" s="3"/>
      <c r="Y247" s="3"/>
      <c r="Z247" s="3"/>
    </row>
    <row r="248" spans="1:26" ht="12.75" x14ac:dyDescent="0.2">
      <c r="A248" s="3"/>
      <c r="B248" s="33"/>
      <c r="C248" s="34" t="s">
        <v>215</v>
      </c>
      <c r="D248" s="33"/>
      <c r="E248" s="33"/>
      <c r="F248" s="41"/>
      <c r="G248" s="41"/>
      <c r="H248" s="41"/>
      <c r="I248" s="41"/>
      <c r="J248" s="41"/>
      <c r="K248" s="41"/>
      <c r="L248" s="41"/>
      <c r="M248" s="41"/>
      <c r="N248" s="41"/>
      <c r="O248" s="41"/>
      <c r="P248" s="3"/>
      <c r="Q248" s="3"/>
      <c r="R248" s="3"/>
      <c r="S248" s="3"/>
      <c r="T248" s="3"/>
      <c r="U248" s="3"/>
      <c r="V248" s="3"/>
      <c r="W248" s="3"/>
      <c r="X248" s="3"/>
      <c r="Y248" s="3"/>
      <c r="Z248" s="3"/>
    </row>
    <row r="249" spans="1:26" ht="12.75" x14ac:dyDescent="0.2">
      <c r="A249" s="3"/>
      <c r="B249" s="33"/>
      <c r="C249" s="9" t="s">
        <v>110</v>
      </c>
      <c r="D249" s="33"/>
      <c r="E249" s="33"/>
      <c r="F249" s="39">
        <f>$I58*F$144*F$123/1000</f>
        <v>2.6819999999999999</v>
      </c>
      <c r="G249" s="39">
        <f>$I58*G$144*G$123/1000</f>
        <v>2.8938779999999995</v>
      </c>
      <c r="H249" s="39">
        <f>$I58*H$144*H$123/1000</f>
        <v>3.1224943619999994</v>
      </c>
      <c r="I249" s="39">
        <f>$I58*I$144*I$123/1000</f>
        <v>3.3691714165979998</v>
      </c>
      <c r="J249" s="39">
        <f>$I58*J$144*J$123/1000</f>
        <v>3.6353359585092417</v>
      </c>
      <c r="K249" s="39">
        <f>$I58*K$144*K$123/1000</f>
        <v>3.9225274992314718</v>
      </c>
      <c r="L249" s="39">
        <f>$I58*L$144*L$123/1000</f>
        <v>4.2324071716707579</v>
      </c>
      <c r="M249" s="39">
        <f>$I58*M$144*M$123/1000</f>
        <v>4.5667673382327472</v>
      </c>
      <c r="N249" s="39">
        <f>$I58*N$144*N$123/1000</f>
        <v>4.9275419579531343</v>
      </c>
      <c r="O249" s="39">
        <f>$I58*O$144*O$123/1000</f>
        <v>5.3168177726314312</v>
      </c>
      <c r="P249" s="3"/>
      <c r="Q249" s="3"/>
      <c r="R249" s="3"/>
      <c r="S249" s="3"/>
      <c r="T249" s="3"/>
      <c r="U249" s="3"/>
      <c r="V249" s="3"/>
      <c r="W249" s="3"/>
      <c r="X249" s="3"/>
      <c r="Y249" s="3"/>
      <c r="Z249" s="3"/>
    </row>
    <row r="250" spans="1:26" ht="12.75" x14ac:dyDescent="0.2">
      <c r="A250" s="3"/>
      <c r="B250" s="33"/>
      <c r="C250" s="27" t="s">
        <v>283</v>
      </c>
      <c r="D250" s="33"/>
      <c r="E250" s="33"/>
      <c r="F250" s="107">
        <f>($F$60+$F$60*(F$144-1)*($F$59))/1000*F$123</f>
        <v>2.4788235294117649</v>
      </c>
      <c r="G250" s="107">
        <f>($F$60+$F$60*(G$144-1)*($F$59))/1000*G$123</f>
        <v>2.674650588235294</v>
      </c>
      <c r="H250" s="107">
        <f>($F$60+$F$60*(H$144-1)*($F$59))/1000*H$123</f>
        <v>2.885947984705882</v>
      </c>
      <c r="I250" s="107">
        <f>($F$60+$F$60*(I$144-1)*($F$59))/1000*I$123</f>
        <v>3.1139378754976472</v>
      </c>
      <c r="J250" s="107">
        <f>($F$60+$F$60*(J$144-1)*($F$59))/1000*J$123</f>
        <v>3.3599389676619613</v>
      </c>
      <c r="K250" s="107">
        <f>($F$60+$F$60*(K$144-1)*($F$59))/1000*K$123</f>
        <v>3.6253741461072559</v>
      </c>
      <c r="L250" s="107">
        <f>($F$60+$F$60*(L$144-1)*($F$59))/1000*L$123</f>
        <v>3.9117787036497291</v>
      </c>
      <c r="M250" s="107">
        <f>($F$60+$F$60*(M$144-1)*($F$59))/1000*M$123</f>
        <v>4.2208092212380572</v>
      </c>
      <c r="N250" s="107">
        <f>($F$60+$F$60*(N$144-1)*($F$59))/1000*N$123</f>
        <v>4.5542531497158638</v>
      </c>
      <c r="O250" s="107">
        <f>($F$60+$F$60*(O$144-1)*($F$59))/1000*O$123</f>
        <v>4.9140391485434174</v>
      </c>
      <c r="P250" s="3"/>
      <c r="Q250" s="3"/>
      <c r="R250" s="3"/>
      <c r="S250" s="3"/>
      <c r="T250" s="3"/>
      <c r="U250" s="3"/>
      <c r="V250" s="3"/>
      <c r="W250" s="3"/>
      <c r="X250" s="3"/>
      <c r="Y250" s="3"/>
      <c r="Z250" s="3"/>
    </row>
    <row r="251" spans="1:26" ht="12.75" x14ac:dyDescent="0.2">
      <c r="A251" s="3"/>
      <c r="B251" s="33"/>
      <c r="C251" s="31" t="s">
        <v>216</v>
      </c>
      <c r="D251" s="36"/>
      <c r="E251" s="36"/>
      <c r="F251" s="40">
        <f t="shared" ref="F251:O251" si="53">SUM(F249:F250)</f>
        <v>5.1608235294117648</v>
      </c>
      <c r="G251" s="40">
        <f t="shared" si="53"/>
        <v>5.568528588235294</v>
      </c>
      <c r="H251" s="40">
        <f t="shared" si="53"/>
        <v>6.0084423467058814</v>
      </c>
      <c r="I251" s="40">
        <f t="shared" si="53"/>
        <v>6.483109292095647</v>
      </c>
      <c r="J251" s="40">
        <f t="shared" si="53"/>
        <v>6.9952749261712031</v>
      </c>
      <c r="K251" s="40">
        <f t="shared" si="53"/>
        <v>7.5479016453387278</v>
      </c>
      <c r="L251" s="40">
        <f t="shared" si="53"/>
        <v>8.1441858753204865</v>
      </c>
      <c r="M251" s="40">
        <f t="shared" si="53"/>
        <v>8.7875765594708035</v>
      </c>
      <c r="N251" s="40">
        <f t="shared" si="53"/>
        <v>9.4817951076689972</v>
      </c>
      <c r="O251" s="40">
        <f t="shared" si="53"/>
        <v>10.230856921174848</v>
      </c>
      <c r="P251" s="3"/>
      <c r="Q251" s="3"/>
      <c r="R251" s="3"/>
      <c r="S251" s="3"/>
      <c r="T251" s="3"/>
      <c r="U251" s="3"/>
      <c r="V251" s="3"/>
      <c r="W251" s="3"/>
      <c r="X251" s="3"/>
      <c r="Y251" s="3"/>
      <c r="Z251" s="3"/>
    </row>
    <row r="252" spans="1:26" ht="12.75" x14ac:dyDescent="0.2">
      <c r="A252" s="3"/>
      <c r="B252" s="33"/>
      <c r="C252" s="35"/>
      <c r="D252" s="33"/>
      <c r="E252" s="33"/>
      <c r="F252" s="41"/>
      <c r="G252" s="41"/>
      <c r="H252" s="41"/>
      <c r="I252" s="41"/>
      <c r="J252" s="41"/>
      <c r="K252" s="41"/>
      <c r="L252" s="41"/>
      <c r="M252" s="41"/>
      <c r="N252" s="41"/>
      <c r="O252" s="41"/>
      <c r="P252" s="3"/>
      <c r="Q252" s="3"/>
      <c r="R252" s="3"/>
      <c r="S252" s="3"/>
      <c r="T252" s="3"/>
      <c r="U252" s="3"/>
      <c r="V252" s="3"/>
      <c r="W252" s="3"/>
      <c r="X252" s="3"/>
      <c r="Y252" s="3"/>
      <c r="Z252" s="3"/>
    </row>
    <row r="253" spans="1:26" ht="12.75" x14ac:dyDescent="0.2">
      <c r="A253" s="3"/>
      <c r="B253" s="33"/>
      <c r="C253" s="34" t="s">
        <v>219</v>
      </c>
      <c r="D253" s="33"/>
      <c r="E253" s="33"/>
      <c r="F253" s="41"/>
      <c r="G253" s="41"/>
      <c r="H253" s="41"/>
      <c r="I253" s="41"/>
      <c r="J253" s="41"/>
      <c r="K253" s="41"/>
      <c r="L253" s="41"/>
      <c r="M253" s="41"/>
      <c r="N253" s="41"/>
      <c r="O253" s="41"/>
      <c r="P253" s="3"/>
      <c r="Q253" s="3"/>
      <c r="R253" s="3"/>
      <c r="S253" s="3"/>
      <c r="T253" s="3"/>
      <c r="U253" s="3"/>
      <c r="V253" s="3"/>
      <c r="W253" s="3"/>
      <c r="X253" s="3"/>
      <c r="Y253" s="3"/>
      <c r="Z253" s="3"/>
    </row>
    <row r="254" spans="1:26" ht="12.75" x14ac:dyDescent="0.2">
      <c r="A254" s="3"/>
      <c r="B254" s="33"/>
      <c r="C254" s="9" t="s">
        <v>92</v>
      </c>
      <c r="D254" s="33"/>
      <c r="E254" s="33"/>
      <c r="F254" s="39">
        <f>F201*(1+$F$85)</f>
        <v>0</v>
      </c>
      <c r="G254" s="39">
        <f>G201*(1+$F$85)</f>
        <v>0</v>
      </c>
      <c r="H254" s="39">
        <f>H201*(1+$F$85)</f>
        <v>0</v>
      </c>
      <c r="I254" s="39">
        <f>I201*(1+$F$85)</f>
        <v>0</v>
      </c>
      <c r="J254" s="39">
        <f>J201*(1+$F$85)</f>
        <v>0</v>
      </c>
      <c r="K254" s="39">
        <f>K201*(1+$F$85)</f>
        <v>0</v>
      </c>
      <c r="L254" s="39">
        <f>L201*(1+$F$85)</f>
        <v>0</v>
      </c>
      <c r="M254" s="39">
        <f>M201*(1+$F$85)</f>
        <v>0</v>
      </c>
      <c r="N254" s="39">
        <f>N201*(1+$F$85)</f>
        <v>0</v>
      </c>
      <c r="O254" s="39">
        <f>O201*(1+$F$85)</f>
        <v>0</v>
      </c>
      <c r="P254" s="3"/>
      <c r="Q254" s="3"/>
      <c r="R254" s="3"/>
      <c r="S254" s="3"/>
      <c r="T254" s="3"/>
      <c r="U254" s="3"/>
      <c r="V254" s="3"/>
      <c r="W254" s="3"/>
      <c r="X254" s="3"/>
      <c r="Y254" s="3"/>
      <c r="Z254" s="3"/>
    </row>
    <row r="255" spans="1:26" ht="12.75" x14ac:dyDescent="0.2">
      <c r="A255" s="3"/>
      <c r="B255" s="33"/>
      <c r="C255" s="9" t="s">
        <v>96</v>
      </c>
      <c r="D255" s="33"/>
      <c r="E255" s="33"/>
      <c r="F255" s="39">
        <f>$I64*F$144*$I78/1000*F$123*F$140*$F$29*(1+$F$85)</f>
        <v>22.5</v>
      </c>
      <c r="G255" s="39">
        <f>$I64*G$144*$I78/1000*G$123*G$140*$F$29*(1+$F$85)</f>
        <v>24.2775</v>
      </c>
      <c r="H255" s="39">
        <f>$I64*H$144*$I78/1000*H$123*H$140*$F$29*(1+$F$85)</f>
        <v>26.195422499999996</v>
      </c>
      <c r="I255" s="39">
        <f>$I64*I$144*$I78/1000*I$123*I$140*$F$29*(1+$F$85)</f>
        <v>28.264860877499999</v>
      </c>
      <c r="J255" s="39">
        <f>$I64*J$144*$I78/1000*J$123*J$140*$F$29*(1+$F$85)</f>
        <v>30.497784886822497</v>
      </c>
      <c r="K255" s="39">
        <f>$I64*K$144*$I78/1000*K$123*K$140*$F$29*(1+$F$85)</f>
        <v>32.907109892881472</v>
      </c>
      <c r="L255" s="39">
        <f>$I64*L$144*$I78/1000*L$123*L$140*$F$29*(1+$F$85)</f>
        <v>35.506771574419112</v>
      </c>
      <c r="M255" s="39">
        <f>$I64*M$144*$I78/1000*M$123*M$140*$F$29*(1+$F$85)</f>
        <v>38.311806528798215</v>
      </c>
      <c r="N255" s="39">
        <f>$I64*N$144*$I78/1000*N$123*N$140*$F$29*(1+$F$85)</f>
        <v>41.338439244573273</v>
      </c>
      <c r="O255" s="39">
        <f>$I64*O$144*$I78/1000*O$123*O$140*$F$29*(1+$F$85)</f>
        <v>44.604175944894564</v>
      </c>
      <c r="P255" s="3"/>
      <c r="Q255" s="3"/>
      <c r="R255" s="3"/>
      <c r="S255" s="3"/>
      <c r="T255" s="3"/>
      <c r="U255" s="3"/>
      <c r="V255" s="3"/>
      <c r="W255" s="3"/>
      <c r="X255" s="3"/>
      <c r="Y255" s="3"/>
      <c r="Z255" s="3"/>
    </row>
    <row r="256" spans="1:26" ht="12.75" x14ac:dyDescent="0.2">
      <c r="A256" s="3"/>
      <c r="B256" s="33"/>
      <c r="C256" s="9" t="s">
        <v>99</v>
      </c>
      <c r="D256" s="33"/>
      <c r="E256" s="33"/>
      <c r="F256" s="39">
        <f>$I65*F$144*$I79/1000*F$125*$F$29*(1+$F$85)*F$130</f>
        <v>19.030831999999997</v>
      </c>
      <c r="G256" s="39">
        <f>$I65*G$144*$I79/1000*G$125*$F$29*(1+$F$85)*G$130</f>
        <v>20.534267727999996</v>
      </c>
      <c r="H256" s="39">
        <f>$I65*H$144*$I79/1000*H$125*$F$29*(1+$F$85)*H$130</f>
        <v>22.156474878511993</v>
      </c>
      <c r="I256" s="39">
        <f>$I65*I$144*$I79/1000*I$125*$F$29*(1+$F$85)*I$130</f>
        <v>23.906836393914446</v>
      </c>
      <c r="J256" s="39">
        <f>$I65*J$144*$I79/1000*J$125*$F$29*(1+$F$85)*J$130</f>
        <v>25.795476469033684</v>
      </c>
      <c r="K256" s="39">
        <f>$I65*K$144*$I79/1000*K$125*$F$29*(1+$F$85)*K$130</f>
        <v>27.833319110087341</v>
      </c>
      <c r="L256" s="39">
        <f>$I65*L$144*$I79/1000*L$125*$F$29*(1+$F$85)*L$130</f>
        <v>30.032151319784244</v>
      </c>
      <c r="M256" s="39">
        <f>$I65*M$144*$I79/1000*M$125*$F$29*(1+$F$85)*M$130</f>
        <v>32.404691274047195</v>
      </c>
      <c r="N256" s="39">
        <f>$I65*N$144*$I79/1000*N$125*$F$29*(1+$F$85)*N$130</f>
        <v>34.96466188469693</v>
      </c>
      <c r="O256" s="39">
        <f>$I65*O$144*$I79/1000*O$125*$F$29*(1+$F$85)*O$130</f>
        <v>37.726870173587976</v>
      </c>
      <c r="P256" s="3"/>
      <c r="Q256" s="3"/>
      <c r="R256" s="3"/>
      <c r="S256" s="3"/>
      <c r="T256" s="3"/>
      <c r="U256" s="3"/>
      <c r="V256" s="3"/>
      <c r="W256" s="3"/>
      <c r="X256" s="3"/>
      <c r="Y256" s="3"/>
      <c r="Z256" s="3"/>
    </row>
    <row r="257" spans="1:26" ht="12.75" x14ac:dyDescent="0.2">
      <c r="A257" s="3"/>
      <c r="B257" s="33"/>
      <c r="C257" s="9" t="s">
        <v>102</v>
      </c>
      <c r="D257" s="33"/>
      <c r="E257" s="33"/>
      <c r="F257" s="39">
        <f>$I66*F$144*$I80/1000*F$125*$F$29*(1+$F$85)*F$130</f>
        <v>38.376743999999995</v>
      </c>
      <c r="G257" s="39">
        <f>$I66*G$144*$I80/1000*G$125*$F$29*(1+$F$85)*G$130</f>
        <v>41.408506775999989</v>
      </c>
      <c r="H257" s="39">
        <f>$I66*H$144*$I80/1000*H$125*$F$29*(1+$F$85)*H$130</f>
        <v>44.67977881130399</v>
      </c>
      <c r="I257" s="39">
        <f>$I66*I$144*$I80/1000*I$125*$F$29*(1+$F$85)*I$130</f>
        <v>48.209481337397008</v>
      </c>
      <c r="J257" s="39">
        <f>$I66*J$144*$I80/1000*J$125*$F$29*(1+$F$85)*J$130</f>
        <v>52.018030363051366</v>
      </c>
      <c r="K257" s="39">
        <f>$I66*K$144*$I80/1000*K$125*$F$29*(1+$F$85)*K$130</f>
        <v>56.127454761732416</v>
      </c>
      <c r="L257" s="39">
        <f>$I66*L$144*$I80/1000*L$125*$F$29*(1+$F$85)*L$130</f>
        <v>60.561523687909279</v>
      </c>
      <c r="M257" s="39">
        <f>$I66*M$144*$I80/1000*M$125*$F$29*(1+$F$85)*M$130</f>
        <v>65.345884059254118</v>
      </c>
      <c r="N257" s="39">
        <f>$I66*N$144*$I80/1000*N$125*$F$29*(1+$F$85)*N$130</f>
        <v>70.508208899935184</v>
      </c>
      <c r="O257" s="39">
        <f>$I66*O$144*$I80/1000*O$125*$F$29*(1+$F$85)*O$130</f>
        <v>76.078357403030068</v>
      </c>
      <c r="P257" s="3"/>
      <c r="Q257" s="3"/>
      <c r="R257" s="3"/>
      <c r="S257" s="3"/>
      <c r="T257" s="3"/>
      <c r="U257" s="3"/>
      <c r="V257" s="3"/>
      <c r="W257" s="3"/>
      <c r="X257" s="3"/>
      <c r="Y257" s="3"/>
      <c r="Z257" s="3"/>
    </row>
    <row r="258" spans="1:26" ht="12.75" x14ac:dyDescent="0.2">
      <c r="A258" s="3"/>
      <c r="B258" s="33"/>
      <c r="C258" s="460" t="s">
        <v>834</v>
      </c>
      <c r="D258" s="33"/>
      <c r="E258" s="33"/>
      <c r="F258" s="39">
        <f>F153*ROUNDUP($I$25-0.4,0)/1000*F123</f>
        <v>18</v>
      </c>
      <c r="G258" s="39">
        <f>G153*ROUNDUP($I$25-0.4,0)/1000*G123</f>
        <v>0</v>
      </c>
      <c r="H258" s="39">
        <f>H153*ROUNDUP($I$25-0.4,0)/1000*H123</f>
        <v>20.956337999999999</v>
      </c>
      <c r="I258" s="39">
        <f>I153*ROUNDUP($I$25-0.4,0)/1000*I123</f>
        <v>0</v>
      </c>
      <c r="J258" s="39">
        <f>J153*ROUNDUP($I$25-0.4,0)/1000*J123</f>
        <v>24.398227909457997</v>
      </c>
      <c r="K258" s="39">
        <f>K153*ROUNDUP($I$25-0.4,0)/1000*K123</f>
        <v>0</v>
      </c>
      <c r="L258" s="39">
        <f>L153*ROUNDUP($I$25-0.4,0)/1000*L123</f>
        <v>28.405417259535287</v>
      </c>
      <c r="M258" s="39">
        <f>M153*ROUNDUP($I$25-0.4,0)/1000*M123</f>
        <v>0</v>
      </c>
      <c r="N258" s="39">
        <f>N153*ROUNDUP($I$25-0.4,0)/1000*N123</f>
        <v>33.070751395658618</v>
      </c>
      <c r="O258" s="39">
        <f>O153*ROUNDUP($I$25-0.4,0)/1000*O123</f>
        <v>0</v>
      </c>
      <c r="P258" s="3"/>
      <c r="Q258" s="3"/>
      <c r="R258" s="3"/>
      <c r="S258" s="3"/>
      <c r="T258" s="3"/>
      <c r="U258" s="3"/>
      <c r="V258" s="3"/>
      <c r="W258" s="3"/>
      <c r="X258" s="3"/>
      <c r="Y258" s="3"/>
      <c r="Z258" s="3"/>
    </row>
    <row r="259" spans="1:26" ht="12.75" x14ac:dyDescent="0.2">
      <c r="A259" s="3"/>
      <c r="B259" s="33"/>
      <c r="C259" s="460" t="s">
        <v>841</v>
      </c>
      <c r="D259" s="33"/>
      <c r="E259" s="33"/>
      <c r="F259" s="39">
        <f>$I$81*$I$70*$I$72*$I$71*$I$25*F123/1000</f>
        <v>7.6290500000000012</v>
      </c>
      <c r="G259" s="39">
        <f>$I$81*$I$70*$I$72*$I$71*$I$25*G123/1000</f>
        <v>8.2317449499999995</v>
      </c>
      <c r="H259" s="39">
        <f>$I$81*$I$70*$I$72*$I$71*$I$25*H123/1000</f>
        <v>8.8820528010499995</v>
      </c>
      <c r="I259" s="39">
        <f>$I$81*$I$70*$I$72*$I$71*$I$25*I123/1000</f>
        <v>9.5837349723329499</v>
      </c>
      <c r="J259" s="39">
        <f>$I$81*$I$70*$I$72*$I$71*$I$25*J123/1000</f>
        <v>10.340850035147254</v>
      </c>
      <c r="K259" s="39">
        <f>$I$81*$I$70*$I$72*$I$71*$I$25*K123/1000</f>
        <v>11.157777187923886</v>
      </c>
      <c r="L259" s="39">
        <f>$I$81*$I$70*$I$72*$I$71*$I$25*L123/1000</f>
        <v>12.039241585769872</v>
      </c>
      <c r="M259" s="39">
        <f>$I$81*$I$70*$I$72*$I$71*$I$25*M123/1000</f>
        <v>12.990341671045691</v>
      </c>
      <c r="N259" s="39">
        <f>$I$81*$I$70*$I$72*$I$71*$I$25*N123/1000</f>
        <v>14.016578663058301</v>
      </c>
      <c r="O259" s="39">
        <f>$I$81*$I$70*$I$72*$I$71*$I$25*O123/1000</f>
        <v>15.123888377439908</v>
      </c>
      <c r="P259" s="3"/>
      <c r="Q259" s="3"/>
      <c r="R259" s="3"/>
      <c r="S259" s="3"/>
      <c r="T259" s="3"/>
      <c r="U259" s="3"/>
      <c r="V259" s="3"/>
      <c r="W259" s="3"/>
      <c r="X259" s="3"/>
      <c r="Y259" s="3"/>
      <c r="Z259" s="3"/>
    </row>
    <row r="260" spans="1:26" ht="12.75" x14ac:dyDescent="0.2">
      <c r="A260" s="3"/>
      <c r="B260" s="33"/>
      <c r="C260" s="9" t="s">
        <v>105</v>
      </c>
      <c r="D260" s="33"/>
      <c r="E260" s="33"/>
      <c r="F260" s="39">
        <f>$I73*F$144*$I82/1000*F$125*$F$29*(1+$F$85)*F$130</f>
        <v>6.4</v>
      </c>
      <c r="G260" s="39">
        <f>$I73*G$144*$I82/1000*G$125*$F$29*(1+$F$85)*G$130</f>
        <v>6.9055999999999989</v>
      </c>
      <c r="H260" s="39">
        <f>$I73*H$144*$I82/1000*H$125*$F$29*(1+$F$85)*H$130</f>
        <v>7.4511423999999984</v>
      </c>
      <c r="I260" s="39">
        <f>$I73*I$144*$I82/1000*I$125*$F$29*(1+$F$85)*I$130</f>
        <v>8.0397826495999993</v>
      </c>
      <c r="J260" s="39">
        <f>$I73*J$144*$I82/1000*J$125*$F$29*(1+$F$85)*J$130</f>
        <v>8.6749254789183983</v>
      </c>
      <c r="K260" s="39">
        <f>$I73*K$144*$I82/1000*K$125*$F$29*(1+$F$85)*K$130</f>
        <v>9.3602445917529522</v>
      </c>
      <c r="L260" s="39">
        <f>$I73*L$144*$I82/1000*L$125*$F$29*(1+$F$85)*L$130</f>
        <v>10.099703914501436</v>
      </c>
      <c r="M260" s="39">
        <f>$I73*M$144*$I82/1000*M$125*$F$29*(1+$F$85)*M$130</f>
        <v>10.897580523747049</v>
      </c>
      <c r="N260" s="39">
        <f>$I73*N$144*$I82/1000*N$125*$F$29*(1+$F$85)*N$130</f>
        <v>11.758489385123065</v>
      </c>
      <c r="O260" s="39">
        <f>$I73*O$144*$I82/1000*O$125*$F$29*(1+$F$85)*O$130</f>
        <v>12.687410046547786</v>
      </c>
      <c r="P260" s="3"/>
      <c r="Q260" s="3"/>
      <c r="R260" s="3"/>
      <c r="S260" s="3"/>
      <c r="T260" s="3"/>
      <c r="U260" s="3"/>
      <c r="V260" s="3"/>
      <c r="W260" s="3"/>
      <c r="X260" s="3"/>
      <c r="Y260" s="3"/>
      <c r="Z260" s="3"/>
    </row>
    <row r="261" spans="1:26" ht="12.75" x14ac:dyDescent="0.2">
      <c r="A261" s="3"/>
      <c r="B261" s="33"/>
      <c r="C261" s="9" t="s">
        <v>108</v>
      </c>
      <c r="D261" s="33"/>
      <c r="E261" s="33"/>
      <c r="F261" s="39">
        <f>ROUNDUP((F169+F181)*1000/$F$74,0)*$I83/1000*F$123</f>
        <v>14.7</v>
      </c>
      <c r="G261" s="39">
        <f>ROUNDUP((G169+G181)*1000/$F$74,0)*$I83/1000*G$123</f>
        <v>17.263999999999999</v>
      </c>
      <c r="H261" s="39">
        <f>ROUNDUP((H169+H181)*1000/$F$74,0)*$I83/1000*H$123</f>
        <v>20.141369299999997</v>
      </c>
      <c r="I261" s="39">
        <f>ROUNDUP((I169+I181)*1000/$F$74,0)*$I83/1000*I$123</f>
        <v>23.491239929299997</v>
      </c>
      <c r="J261" s="39">
        <f>ROUNDUP((J169+J181)*1000/$F$74,0)*$I83/1000*J$123</f>
        <v>26.702504989795695</v>
      </c>
      <c r="K261" s="39">
        <f>ROUNDUP((K169+K181)*1000/$F$74,0)*$I83/1000*K$123</f>
        <v>29.835779636212532</v>
      </c>
      <c r="L261" s="39">
        <f>ROUNDUP((L169+L181)*1000/$F$74,0)*$I83/1000*L$123</f>
        <v>32.666229848465576</v>
      </c>
      <c r="M261" s="39">
        <f>ROUNDUP((M169+M181)*1000/$F$74,0)*$I83/1000*M$123</f>
        <v>35.246862006494361</v>
      </c>
      <c r="N261" s="39">
        <f>ROUNDUP((N169+N181)*1000/$F$74,0)*$I83/1000*N$123</f>
        <v>38.031364105007412</v>
      </c>
      <c r="O261" s="39">
        <f>ROUNDUP((O169+O181)*1000/$F$74,0)*$I83/1000*O$123</f>
        <v>41.035841869302999</v>
      </c>
      <c r="P261" s="3"/>
      <c r="Q261" s="3"/>
      <c r="R261" s="3"/>
      <c r="S261" s="3"/>
      <c r="T261" s="3"/>
      <c r="U261" s="3"/>
      <c r="V261" s="3"/>
      <c r="W261" s="3"/>
      <c r="X261" s="3"/>
      <c r="Y261" s="3"/>
      <c r="Z261" s="3"/>
    </row>
    <row r="262" spans="1:26" ht="12.75" x14ac:dyDescent="0.2">
      <c r="A262" s="3"/>
      <c r="B262" s="33"/>
      <c r="C262" s="36" t="s">
        <v>217</v>
      </c>
      <c r="D262" s="36"/>
      <c r="E262" s="36"/>
      <c r="F262" s="48">
        <f>SUM(F254:F261)</f>
        <v>126.63662600000001</v>
      </c>
      <c r="G262" s="48">
        <f t="shared" ref="G262:O262" si="54">SUM(G254:G261)</f>
        <v>118.62161945399997</v>
      </c>
      <c r="H262" s="48">
        <f t="shared" si="54"/>
        <v>150.462578690866</v>
      </c>
      <c r="I262" s="48">
        <f t="shared" si="54"/>
        <v>141.49593616004441</v>
      </c>
      <c r="J262" s="48">
        <f t="shared" si="54"/>
        <v>178.42780013222688</v>
      </c>
      <c r="K262" s="48">
        <f t="shared" si="54"/>
        <v>167.22168518059058</v>
      </c>
      <c r="L262" s="48">
        <f t="shared" si="54"/>
        <v>209.3110391903848</v>
      </c>
      <c r="M262" s="48">
        <f t="shared" si="54"/>
        <v>195.19716606338662</v>
      </c>
      <c r="N262" s="48">
        <f t="shared" si="54"/>
        <v>243.6884935780528</v>
      </c>
      <c r="O262" s="48">
        <f t="shared" si="54"/>
        <v>227.25654381480331</v>
      </c>
      <c r="P262" s="3"/>
      <c r="Q262" s="3"/>
      <c r="R262" s="3"/>
      <c r="S262" s="3"/>
      <c r="T262" s="3"/>
      <c r="U262" s="3"/>
      <c r="V262" s="3"/>
      <c r="W262" s="3"/>
      <c r="X262" s="3"/>
      <c r="Y262" s="3"/>
      <c r="Z262" s="3"/>
    </row>
    <row r="263" spans="1:26" ht="12.75" x14ac:dyDescent="0.2">
      <c r="A263" s="3"/>
      <c r="B263" s="33"/>
      <c r="C263" s="62"/>
      <c r="D263" s="62"/>
      <c r="E263" s="62"/>
      <c r="F263" s="103"/>
      <c r="G263" s="103"/>
      <c r="H263" s="103"/>
      <c r="I263" s="103"/>
      <c r="J263" s="103"/>
      <c r="K263" s="103"/>
      <c r="L263" s="103"/>
      <c r="M263" s="103"/>
      <c r="N263" s="103"/>
      <c r="O263" s="103"/>
      <c r="P263" s="3"/>
      <c r="Q263" s="3"/>
      <c r="R263" s="3"/>
      <c r="S263" s="3"/>
      <c r="T263" s="3"/>
      <c r="U263" s="3"/>
      <c r="V263" s="3"/>
      <c r="W263" s="3"/>
      <c r="X263" s="3"/>
      <c r="Y263" s="3"/>
      <c r="Z263" s="3"/>
    </row>
    <row r="264" spans="1:26" ht="12.75" x14ac:dyDescent="0.2">
      <c r="A264" s="3"/>
      <c r="B264" s="33"/>
      <c r="C264" s="34" t="s">
        <v>287</v>
      </c>
      <c r="D264" s="62"/>
      <c r="E264" s="62"/>
      <c r="F264" s="103"/>
      <c r="G264" s="103"/>
      <c r="H264" s="103"/>
      <c r="I264" s="103"/>
      <c r="J264" s="103"/>
      <c r="K264" s="103"/>
      <c r="L264" s="103"/>
      <c r="M264" s="103"/>
      <c r="N264" s="103"/>
      <c r="O264" s="103"/>
      <c r="P264" s="3"/>
      <c r="Q264" s="3"/>
      <c r="R264" s="3"/>
      <c r="S264" s="3"/>
      <c r="T264" s="3"/>
      <c r="U264" s="3"/>
      <c r="V264" s="3"/>
      <c r="W264" s="3"/>
      <c r="X264" s="3"/>
      <c r="Y264" s="3"/>
      <c r="Z264" s="3"/>
    </row>
    <row r="265" spans="1:26" ht="12.75" x14ac:dyDescent="0.2">
      <c r="A265" s="3"/>
      <c r="B265" s="33"/>
      <c r="C265" s="27" t="s">
        <v>282</v>
      </c>
      <c r="D265" s="33"/>
      <c r="E265" s="33"/>
      <c r="F265" s="106">
        <f>$I88*F$123/1000*(F$181+F$169)</f>
        <v>1.4654400000000001E-2</v>
      </c>
      <c r="G265" s="106">
        <f>$I88*G$123/1000*(G$181+G$169)</f>
        <v>1.7165422560000001E-2</v>
      </c>
      <c r="H265" s="106">
        <f>$I88*H$123/1000*(H$181+H$169)</f>
        <v>2.0084226023238002E-2</v>
      </c>
      <c r="I265" s="106">
        <f>$I88*I$123/1000*(I$181+I$169)</f>
        <v>2.3474786262864391E-2</v>
      </c>
      <c r="J265" s="106">
        <f>$I88*J$123/1000*(J$181+J$169)</f>
        <v>2.6616090953103425E-2</v>
      </c>
      <c r="K265" s="106">
        <f>$I88*K$123/1000*(K$181+K$169)</f>
        <v>2.9826393180010853E-2</v>
      </c>
      <c r="L265" s="106">
        <f>$I88*L$123/1000*(L$181+L$169)</f>
        <v>3.2524202762167907E-2</v>
      </c>
      <c r="M265" s="106">
        <f>$I88*M$123/1000*(M$181+M$169)</f>
        <v>3.5093614780379166E-2</v>
      </c>
      <c r="N265" s="106">
        <f>$I88*N$123/1000*(N$181+N$169)</f>
        <v>3.7866010348029118E-2</v>
      </c>
      <c r="O265" s="106">
        <f>$I88*O$123/1000*(O$181+O$169)</f>
        <v>4.0857425165523417E-2</v>
      </c>
      <c r="P265" s="3"/>
      <c r="Q265" s="3"/>
      <c r="R265" s="3"/>
      <c r="S265" s="3"/>
      <c r="T265" s="3"/>
      <c r="U265" s="3"/>
      <c r="V265" s="3"/>
      <c r="W265" s="3"/>
      <c r="X265" s="3"/>
      <c r="Y265" s="3"/>
      <c r="Z265" s="3"/>
    </row>
    <row r="266" spans="1:26" ht="12.75" x14ac:dyDescent="0.2">
      <c r="A266" s="3"/>
      <c r="B266" s="33"/>
      <c r="C266" s="27" t="s">
        <v>284</v>
      </c>
      <c r="D266" s="33"/>
      <c r="E266" s="33"/>
      <c r="F266" s="107">
        <f>$I89*F$123/1000*(F$181+F$180+F168+F167+F169)</f>
        <v>2.4641202196078438</v>
      </c>
      <c r="G266" s="107">
        <f>$I89*G$123/1000*(G$181+G$180+G168+G167+G169)</f>
        <v>2.8817806480564716</v>
      </c>
      <c r="H266" s="107">
        <f>$I89*H$123/1000*(H$181+H$180+H168+H167+H169)</f>
        <v>3.3669419285035662</v>
      </c>
      <c r="I266" s="107">
        <f>$I89*I$123/1000*(I$181+I$180+I168+I167+I169)</f>
        <v>3.9301700960162398</v>
      </c>
      <c r="J266" s="107">
        <f>$I89*J$123/1000*(J$181+J$180+J168+J167+J169)</f>
        <v>4.4526862102815992</v>
      </c>
      <c r="K266" s="107">
        <f>$I89*K$123/1000*(K$181+K$180+K168+K167+K169)</f>
        <v>4.9869589893888753</v>
      </c>
      <c r="L266" s="107">
        <f>$I89*L$123/1000*(L$181+L$180+L168+L167+L169)</f>
        <v>5.4372036571049449</v>
      </c>
      <c r="M266" s="107">
        <f>$I89*M$123/1000*(M$181+M$180+M168+M167+M169)</f>
        <v>5.8667427460162358</v>
      </c>
      <c r="N266" s="107">
        <f>$I89*N$123/1000*(N$181+N$180+N168+N167+N169)</f>
        <v>6.3302154229515173</v>
      </c>
      <c r="O266" s="107">
        <f>$I89*O$123/1000*(O$181+O$180+O168+O167+O169)</f>
        <v>6.8303024413646876</v>
      </c>
      <c r="P266" s="3"/>
      <c r="Q266" s="3"/>
      <c r="R266" s="3"/>
      <c r="S266" s="3"/>
      <c r="T266" s="3"/>
      <c r="U266" s="3"/>
      <c r="V266" s="3"/>
      <c r="W266" s="3"/>
      <c r="X266" s="3"/>
      <c r="Y266" s="3"/>
      <c r="Z266" s="3"/>
    </row>
    <row r="267" spans="1:26" ht="12.75" x14ac:dyDescent="0.2">
      <c r="A267" s="3"/>
      <c r="B267" s="33"/>
      <c r="C267" s="31" t="s">
        <v>289</v>
      </c>
      <c r="D267" s="36"/>
      <c r="E267" s="36"/>
      <c r="F267" s="40">
        <f t="shared" ref="F267:O267" si="55">SUM(F265:F266)</f>
        <v>2.4787746196078437</v>
      </c>
      <c r="G267" s="40">
        <f t="shared" si="55"/>
        <v>2.8989460706164718</v>
      </c>
      <c r="H267" s="40">
        <f t="shared" si="55"/>
        <v>3.3870261545268043</v>
      </c>
      <c r="I267" s="40">
        <f t="shared" si="55"/>
        <v>3.9536448822791042</v>
      </c>
      <c r="J267" s="40">
        <f t="shared" si="55"/>
        <v>4.4793023012347026</v>
      </c>
      <c r="K267" s="40">
        <f t="shared" si="55"/>
        <v>5.0167853825688864</v>
      </c>
      <c r="L267" s="40">
        <f t="shared" si="55"/>
        <v>5.4697278598671124</v>
      </c>
      <c r="M267" s="40">
        <f t="shared" si="55"/>
        <v>5.9018363607966151</v>
      </c>
      <c r="N267" s="40">
        <f t="shared" si="55"/>
        <v>6.3680814332995466</v>
      </c>
      <c r="O267" s="40">
        <f t="shared" si="55"/>
        <v>6.8711598665302107</v>
      </c>
      <c r="P267" s="3"/>
      <c r="Q267" s="3"/>
      <c r="R267" s="3"/>
      <c r="S267" s="3"/>
      <c r="T267" s="3"/>
      <c r="U267" s="3"/>
      <c r="V267" s="3"/>
      <c r="W267" s="3"/>
      <c r="X267" s="3"/>
      <c r="Y267" s="3"/>
      <c r="Z267" s="3"/>
    </row>
    <row r="268" spans="1:26" ht="12.75"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x14ac:dyDescent="0.2">
      <c r="A269" s="29" t="s">
        <v>221</v>
      </c>
      <c r="B269" s="2"/>
      <c r="C269" s="2"/>
      <c r="D269" s="6" t="s">
        <v>174</v>
      </c>
      <c r="E269" s="21"/>
      <c r="F269" s="51">
        <v>0</v>
      </c>
      <c r="G269" s="51">
        <v>1</v>
      </c>
      <c r="H269" s="51">
        <v>2</v>
      </c>
      <c r="I269" s="51">
        <v>3</v>
      </c>
      <c r="J269" s="51">
        <v>4</v>
      </c>
      <c r="K269" s="51">
        <v>5</v>
      </c>
      <c r="L269" s="51">
        <v>6</v>
      </c>
      <c r="M269" s="51">
        <v>7</v>
      </c>
      <c r="N269" s="51">
        <v>8</v>
      </c>
      <c r="O269" s="51">
        <v>9</v>
      </c>
      <c r="P269" s="2"/>
      <c r="Q269" s="2"/>
      <c r="R269" s="2"/>
      <c r="S269" s="2"/>
      <c r="T269" s="2"/>
      <c r="U269" s="2"/>
      <c r="V269" s="2"/>
      <c r="W269" s="2"/>
      <c r="X269" s="2"/>
      <c r="Y269" s="2"/>
      <c r="Z269" s="2"/>
    </row>
    <row r="270" spans="1:26" ht="12.75" x14ac:dyDescent="0.2">
      <c r="A270" s="3"/>
      <c r="B270" s="65" t="s">
        <v>244</v>
      </c>
      <c r="C270" s="43"/>
      <c r="D270" s="43"/>
      <c r="E270" s="43"/>
      <c r="F270" s="43"/>
      <c r="G270" s="43"/>
      <c r="H270" s="43"/>
      <c r="I270" s="43"/>
      <c r="J270" s="43"/>
      <c r="K270" s="43"/>
      <c r="L270" s="43"/>
      <c r="M270" s="43"/>
      <c r="N270" s="43"/>
      <c r="O270" s="43"/>
      <c r="P270" s="3"/>
      <c r="Q270" s="3"/>
      <c r="R270" s="3"/>
      <c r="S270" s="3"/>
      <c r="T270" s="3"/>
      <c r="U270" s="3"/>
      <c r="V270" s="3"/>
      <c r="W270" s="3"/>
      <c r="X270" s="3"/>
      <c r="Y270" s="3"/>
      <c r="Z270" s="3"/>
    </row>
    <row r="271" spans="1:26" ht="12.75"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x14ac:dyDescent="0.2">
      <c r="A272" s="3"/>
      <c r="B272" s="32" t="s">
        <v>229</v>
      </c>
      <c r="C272" s="33"/>
      <c r="D272" s="33"/>
      <c r="E272" s="33"/>
      <c r="F272" s="33"/>
      <c r="G272" s="33"/>
      <c r="H272" s="33"/>
      <c r="I272" s="33"/>
      <c r="J272" s="33"/>
      <c r="K272" s="33"/>
      <c r="L272" s="33"/>
      <c r="M272" s="33"/>
      <c r="N272" s="33"/>
      <c r="O272" s="33"/>
      <c r="P272" s="3"/>
      <c r="Q272" s="3"/>
      <c r="R272" s="3"/>
      <c r="S272" s="3"/>
      <c r="T272" s="3"/>
      <c r="U272" s="3"/>
      <c r="V272" s="3"/>
      <c r="W272" s="3"/>
      <c r="X272" s="3"/>
      <c r="Y272" s="3"/>
      <c r="Z272" s="3"/>
    </row>
    <row r="273" spans="1:26" ht="12.75" x14ac:dyDescent="0.2">
      <c r="A273" s="3"/>
      <c r="C273" s="64" t="s">
        <v>222</v>
      </c>
      <c r="D273" s="33"/>
      <c r="E273" s="33"/>
      <c r="F273" s="33"/>
      <c r="G273" s="33"/>
      <c r="H273" s="33"/>
      <c r="I273" s="33"/>
      <c r="J273" s="33"/>
      <c r="K273" s="33"/>
      <c r="L273" s="33"/>
      <c r="M273" s="33"/>
      <c r="N273" s="33"/>
      <c r="O273" s="33"/>
      <c r="P273" s="3"/>
      <c r="Q273" s="3"/>
      <c r="R273" s="3"/>
      <c r="S273" s="3"/>
      <c r="T273" s="3"/>
      <c r="U273" s="3"/>
      <c r="V273" s="3"/>
      <c r="W273" s="3"/>
      <c r="X273" s="3"/>
      <c r="Y273" s="3"/>
      <c r="Z273" s="3"/>
    </row>
    <row r="274" spans="1:26" ht="12.75" x14ac:dyDescent="0.2">
      <c r="A274" s="3"/>
      <c r="B274" s="64"/>
      <c r="C274" s="34" t="s">
        <v>1036</v>
      </c>
      <c r="D274" s="33"/>
      <c r="E274" s="33"/>
      <c r="F274" s="33"/>
      <c r="G274" s="33"/>
      <c r="H274" s="33"/>
      <c r="I274" s="33"/>
      <c r="J274" s="33"/>
      <c r="K274" s="33"/>
      <c r="L274" s="33"/>
      <c r="M274" s="33"/>
      <c r="N274" s="33"/>
      <c r="O274" s="33"/>
      <c r="P274" s="3"/>
      <c r="Q274" s="3"/>
      <c r="R274" s="3"/>
      <c r="S274" s="3"/>
      <c r="T274" s="3"/>
      <c r="U274" s="3"/>
      <c r="V274" s="3"/>
      <c r="W274" s="3"/>
      <c r="X274" s="3"/>
      <c r="Y274" s="3"/>
      <c r="Z274" s="3"/>
    </row>
    <row r="275" spans="1:26" ht="12.75" x14ac:dyDescent="0.2">
      <c r="A275" s="3"/>
      <c r="B275" s="33"/>
      <c r="C275" s="781" t="s">
        <v>195</v>
      </c>
      <c r="D275" s="33"/>
      <c r="E275" s="33"/>
      <c r="F275" s="39">
        <f>F191/F$123</f>
        <v>348.13620000000003</v>
      </c>
      <c r="G275" s="39">
        <f>G191/G$123</f>
        <v>351.61756199999996</v>
      </c>
      <c r="H275" s="39">
        <f>H191/H$123</f>
        <v>355.13373762000003</v>
      </c>
      <c r="I275" s="39">
        <f>I191/I$123</f>
        <v>358.6850749962</v>
      </c>
      <c r="J275" s="39">
        <f>J191/J$123</f>
        <v>362.27192574616197</v>
      </c>
      <c r="K275" s="39">
        <f>K191/K$123</f>
        <v>365.89464500362368</v>
      </c>
      <c r="L275" s="39">
        <f>L191/L$123</f>
        <v>369.55359145365986</v>
      </c>
      <c r="M275" s="39">
        <f>M191/M$123</f>
        <v>373.24912736819641</v>
      </c>
      <c r="N275" s="39">
        <f>N191/N$123</f>
        <v>376.98161864187836</v>
      </c>
      <c r="O275" s="39">
        <f>O191/O$123</f>
        <v>380.75143482829719</v>
      </c>
      <c r="P275" s="3"/>
      <c r="Q275" s="3"/>
      <c r="R275" s="3"/>
      <c r="S275" s="3"/>
      <c r="T275" s="3"/>
      <c r="U275" s="3"/>
      <c r="V275" s="3"/>
      <c r="W275" s="3"/>
      <c r="X275" s="3"/>
      <c r="Y275" s="3"/>
      <c r="Z275" s="3"/>
    </row>
    <row r="276" spans="1:26" ht="12.75" x14ac:dyDescent="0.2">
      <c r="A276" s="3"/>
      <c r="B276" s="33"/>
      <c r="C276" s="27" t="s">
        <v>231</v>
      </c>
      <c r="D276" s="33"/>
      <c r="E276" s="33"/>
      <c r="F276" s="39">
        <f>F192/F$123</f>
        <v>75.819645000000008</v>
      </c>
      <c r="G276" s="39">
        <f>G192/G$123</f>
        <v>76.577841449999994</v>
      </c>
      <c r="H276" s="39">
        <f>H192/H$123</f>
        <v>77.343619864500013</v>
      </c>
      <c r="I276" s="39">
        <f>I192/I$123</f>
        <v>78.117056063144986</v>
      </c>
      <c r="J276" s="39">
        <f>J192/J$123</f>
        <v>78.898226623776466</v>
      </c>
      <c r="K276" s="39">
        <f>K192/K$123</f>
        <v>79.687208890014205</v>
      </c>
      <c r="L276" s="39">
        <f>L192/L$123</f>
        <v>80.484080978914363</v>
      </c>
      <c r="M276" s="39">
        <f>M192/M$123</f>
        <v>81.28892178870349</v>
      </c>
      <c r="N276" s="39">
        <f>N192/N$123</f>
        <v>82.101811006590538</v>
      </c>
      <c r="O276" s="39">
        <f>O192/O$123</f>
        <v>82.922829116656445</v>
      </c>
      <c r="P276" s="3"/>
      <c r="Q276" s="3"/>
      <c r="R276" s="3"/>
      <c r="S276" s="3"/>
      <c r="T276" s="3"/>
      <c r="U276" s="3"/>
      <c r="V276" s="3"/>
      <c r="W276" s="3"/>
      <c r="X276" s="3"/>
      <c r="Y276" s="3"/>
      <c r="Z276" s="3"/>
    </row>
    <row r="277" spans="1:26" ht="12.75" x14ac:dyDescent="0.2">
      <c r="A277" s="3"/>
      <c r="B277" s="33"/>
      <c r="C277" s="559" t="s">
        <v>1035</v>
      </c>
      <c r="D277" s="36"/>
      <c r="E277" s="36"/>
      <c r="F277" s="59">
        <f t="shared" ref="F277:O277" si="56">F275-F276</f>
        <v>272.31655499999999</v>
      </c>
      <c r="G277" s="59">
        <f t="shared" si="56"/>
        <v>275.03972054999997</v>
      </c>
      <c r="H277" s="59">
        <f t="shared" si="56"/>
        <v>277.79011775550003</v>
      </c>
      <c r="I277" s="59">
        <f t="shared" si="56"/>
        <v>280.56801893305499</v>
      </c>
      <c r="J277" s="59">
        <f t="shared" si="56"/>
        <v>283.37369912238552</v>
      </c>
      <c r="K277" s="59">
        <f t="shared" si="56"/>
        <v>286.20743611360945</v>
      </c>
      <c r="L277" s="59">
        <f t="shared" si="56"/>
        <v>289.06951047474547</v>
      </c>
      <c r="M277" s="59">
        <f t="shared" si="56"/>
        <v>291.96020557949294</v>
      </c>
      <c r="N277" s="59">
        <f t="shared" si="56"/>
        <v>294.87980763528782</v>
      </c>
      <c r="O277" s="59">
        <f t="shared" si="56"/>
        <v>297.82860571164076</v>
      </c>
      <c r="P277" s="3"/>
      <c r="Q277" s="3"/>
      <c r="R277" s="3"/>
      <c r="S277" s="3"/>
      <c r="T277" s="3"/>
      <c r="U277" s="3"/>
      <c r="V277" s="3"/>
      <c r="W277" s="3"/>
      <c r="X277" s="3"/>
      <c r="Y277" s="3"/>
      <c r="Z277" s="3"/>
    </row>
    <row r="278" spans="1:26" ht="12.75" x14ac:dyDescent="0.2">
      <c r="A278" s="3"/>
      <c r="B278" s="33"/>
      <c r="C278" s="27"/>
      <c r="D278" s="33"/>
      <c r="E278" s="33"/>
      <c r="F278" s="41"/>
      <c r="G278" s="37"/>
      <c r="H278" s="37"/>
      <c r="I278" s="37"/>
      <c r="J278" s="37"/>
      <c r="K278" s="37"/>
      <c r="L278" s="37"/>
      <c r="M278" s="37"/>
      <c r="N278" s="37"/>
      <c r="O278" s="37"/>
      <c r="P278" s="3"/>
      <c r="Q278" s="3"/>
      <c r="R278" s="3"/>
      <c r="S278" s="3"/>
      <c r="T278" s="3"/>
      <c r="U278" s="3"/>
      <c r="V278" s="3"/>
      <c r="W278" s="3"/>
      <c r="X278" s="3"/>
      <c r="Y278" s="3"/>
      <c r="Z278" s="3"/>
    </row>
    <row r="279" spans="1:26" ht="12.75" x14ac:dyDescent="0.2">
      <c r="A279" s="3"/>
      <c r="B279" s="33"/>
      <c r="C279" s="34" t="s">
        <v>266</v>
      </c>
      <c r="D279" s="33"/>
      <c r="E279" s="33"/>
      <c r="F279" s="37"/>
      <c r="G279" s="37"/>
      <c r="H279" s="37"/>
      <c r="I279" s="37"/>
      <c r="J279" s="37"/>
      <c r="K279" s="37"/>
      <c r="L279" s="37"/>
      <c r="M279" s="37"/>
      <c r="N279" s="37"/>
      <c r="O279" s="37"/>
      <c r="P279" s="3"/>
      <c r="Q279" s="3"/>
      <c r="R279" s="3"/>
      <c r="S279" s="3"/>
      <c r="T279" s="3"/>
      <c r="U279" s="3"/>
      <c r="V279" s="3"/>
      <c r="W279" s="3"/>
      <c r="X279" s="3"/>
      <c r="Y279" s="3"/>
      <c r="Z279" s="3"/>
    </row>
    <row r="280" spans="1:26" ht="12.75" x14ac:dyDescent="0.2">
      <c r="A280" s="3"/>
      <c r="B280" s="33"/>
      <c r="C280" s="35" t="s">
        <v>267</v>
      </c>
      <c r="D280" s="33"/>
      <c r="E280" s="33"/>
      <c r="F280" s="39">
        <f>$F$98/1000</f>
        <v>0</v>
      </c>
      <c r="G280" s="39">
        <f t="shared" ref="G280:O280" si="57">$F$98/1000</f>
        <v>0</v>
      </c>
      <c r="H280" s="39">
        <f t="shared" si="57"/>
        <v>0</v>
      </c>
      <c r="I280" s="39">
        <f t="shared" si="57"/>
        <v>0</v>
      </c>
      <c r="J280" s="39">
        <f t="shared" si="57"/>
        <v>0</v>
      </c>
      <c r="K280" s="39">
        <f t="shared" si="57"/>
        <v>0</v>
      </c>
      <c r="L280" s="39">
        <f t="shared" si="57"/>
        <v>0</v>
      </c>
      <c r="M280" s="39">
        <f t="shared" si="57"/>
        <v>0</v>
      </c>
      <c r="N280" s="39">
        <f t="shared" si="57"/>
        <v>0</v>
      </c>
      <c r="O280" s="39">
        <f t="shared" si="57"/>
        <v>0</v>
      </c>
      <c r="P280" s="3"/>
      <c r="Q280" s="3"/>
      <c r="R280" s="3"/>
      <c r="S280" s="3"/>
      <c r="T280" s="3"/>
      <c r="U280" s="3"/>
      <c r="V280" s="3"/>
      <c r="W280" s="3"/>
      <c r="X280" s="3"/>
      <c r="Y280" s="3"/>
      <c r="Z280" s="3"/>
    </row>
    <row r="281" spans="1:26" ht="12.75" x14ac:dyDescent="0.2">
      <c r="A281" s="3"/>
      <c r="B281" s="33"/>
      <c r="C281" s="35" t="s">
        <v>138</v>
      </c>
      <c r="D281" s="33"/>
      <c r="E281" s="33"/>
      <c r="F281" s="39">
        <f>$F$94/1000</f>
        <v>0</v>
      </c>
      <c r="G281" s="39">
        <f t="shared" ref="G281:O281" si="58">$F$94/1000</f>
        <v>0</v>
      </c>
      <c r="H281" s="39">
        <f t="shared" si="58"/>
        <v>0</v>
      </c>
      <c r="I281" s="39">
        <f t="shared" si="58"/>
        <v>0</v>
      </c>
      <c r="J281" s="39">
        <f t="shared" si="58"/>
        <v>0</v>
      </c>
      <c r="K281" s="39">
        <f t="shared" si="58"/>
        <v>0</v>
      </c>
      <c r="L281" s="39">
        <f t="shared" si="58"/>
        <v>0</v>
      </c>
      <c r="M281" s="39">
        <f t="shared" si="58"/>
        <v>0</v>
      </c>
      <c r="N281" s="39">
        <f t="shared" si="58"/>
        <v>0</v>
      </c>
      <c r="O281" s="39">
        <f t="shared" si="58"/>
        <v>0</v>
      </c>
      <c r="P281" s="3"/>
      <c r="Q281" s="3"/>
      <c r="R281" s="3"/>
      <c r="S281" s="3"/>
      <c r="T281" s="3"/>
      <c r="U281" s="3"/>
      <c r="V281" s="3"/>
      <c r="W281" s="3"/>
      <c r="X281" s="3"/>
      <c r="Y281" s="3"/>
      <c r="Z281" s="3"/>
    </row>
    <row r="282" spans="1:26" ht="12.75" x14ac:dyDescent="0.2">
      <c r="A282" s="3"/>
      <c r="B282" s="33"/>
      <c r="C282" s="558" t="s">
        <v>843</v>
      </c>
      <c r="D282" s="33"/>
      <c r="E282" s="33"/>
      <c r="F282" s="39"/>
      <c r="G282" s="39"/>
      <c r="H282" s="39"/>
      <c r="I282" s="39"/>
      <c r="J282" s="39"/>
      <c r="K282" s="39"/>
      <c r="L282" s="39"/>
      <c r="M282" s="39"/>
      <c r="N282" s="39"/>
      <c r="O282" s="39">
        <f>O149*ROUNDUP($F$25,0)</f>
        <v>0</v>
      </c>
      <c r="P282" s="3"/>
      <c r="Q282" s="3"/>
      <c r="R282" s="3"/>
      <c r="S282" s="3"/>
      <c r="T282" s="3"/>
      <c r="U282" s="3"/>
      <c r="V282" s="3"/>
      <c r="W282" s="3"/>
      <c r="X282" s="3"/>
      <c r="Y282" s="3"/>
      <c r="Z282" s="3"/>
    </row>
    <row r="283" spans="1:26" ht="12.75" x14ac:dyDescent="0.2">
      <c r="A283" s="3"/>
      <c r="B283" s="33"/>
      <c r="C283" s="36" t="s">
        <v>247</v>
      </c>
      <c r="D283" s="36"/>
      <c r="E283" s="36"/>
      <c r="F283" s="59">
        <f>SUM(F280:F282)</f>
        <v>0</v>
      </c>
      <c r="G283" s="59">
        <f t="shared" ref="G283:O283" si="59">SUM(G280:G282)</f>
        <v>0</v>
      </c>
      <c r="H283" s="59">
        <f t="shared" si="59"/>
        <v>0</v>
      </c>
      <c r="I283" s="59">
        <f t="shared" si="59"/>
        <v>0</v>
      </c>
      <c r="J283" s="59">
        <f t="shared" si="59"/>
        <v>0</v>
      </c>
      <c r="K283" s="59">
        <f t="shared" si="59"/>
        <v>0</v>
      </c>
      <c r="L283" s="59">
        <f t="shared" si="59"/>
        <v>0</v>
      </c>
      <c r="M283" s="59">
        <f t="shared" si="59"/>
        <v>0</v>
      </c>
      <c r="N283" s="59">
        <f t="shared" si="59"/>
        <v>0</v>
      </c>
      <c r="O283" s="59">
        <f t="shared" si="59"/>
        <v>0</v>
      </c>
      <c r="P283" s="3"/>
      <c r="Q283" s="3"/>
      <c r="R283" s="3"/>
      <c r="S283" s="3"/>
      <c r="T283" s="3"/>
      <c r="U283" s="3"/>
      <c r="V283" s="3"/>
      <c r="W283" s="3"/>
      <c r="X283" s="3"/>
      <c r="Y283" s="3"/>
      <c r="Z283" s="3"/>
    </row>
    <row r="284" spans="1:26" ht="12.75" x14ac:dyDescent="0.2">
      <c r="A284" s="3"/>
      <c r="B284" s="33"/>
      <c r="C284" s="27"/>
      <c r="D284" s="33"/>
      <c r="E284" s="33"/>
      <c r="F284" s="37"/>
      <c r="G284" s="37"/>
      <c r="H284" s="37"/>
      <c r="I284" s="37"/>
      <c r="J284" s="37"/>
      <c r="K284" s="37"/>
      <c r="L284" s="37"/>
      <c r="M284" s="37"/>
      <c r="N284" s="37"/>
      <c r="O284" s="37"/>
      <c r="P284" s="3"/>
      <c r="Q284" s="3"/>
      <c r="R284" s="3"/>
      <c r="S284" s="3"/>
      <c r="T284" s="3"/>
      <c r="U284" s="3"/>
      <c r="V284" s="3"/>
      <c r="W284" s="3"/>
      <c r="X284" s="3"/>
      <c r="Y284" s="3"/>
      <c r="Z284" s="3"/>
    </row>
    <row r="285" spans="1:26" ht="12.75" x14ac:dyDescent="0.2">
      <c r="A285" s="3"/>
      <c r="B285" s="33"/>
      <c r="C285" s="66" t="s">
        <v>230</v>
      </c>
      <c r="D285" s="66"/>
      <c r="E285" s="66"/>
      <c r="F285" s="67">
        <f>F277+F283</f>
        <v>272.31655499999999</v>
      </c>
      <c r="G285" s="67">
        <f t="shared" ref="G285:O285" si="60">G277+G283</f>
        <v>275.03972054999997</v>
      </c>
      <c r="H285" s="67">
        <f t="shared" si="60"/>
        <v>277.79011775550003</v>
      </c>
      <c r="I285" s="67">
        <f t="shared" si="60"/>
        <v>280.56801893305499</v>
      </c>
      <c r="J285" s="67">
        <f t="shared" si="60"/>
        <v>283.37369912238552</v>
      </c>
      <c r="K285" s="67">
        <f t="shared" si="60"/>
        <v>286.20743611360945</v>
      </c>
      <c r="L285" s="67">
        <f t="shared" si="60"/>
        <v>289.06951047474547</v>
      </c>
      <c r="M285" s="67">
        <f t="shared" si="60"/>
        <v>291.96020557949294</v>
      </c>
      <c r="N285" s="67">
        <f t="shared" si="60"/>
        <v>294.87980763528782</v>
      </c>
      <c r="O285" s="67">
        <f t="shared" si="60"/>
        <v>297.82860571164076</v>
      </c>
      <c r="P285" s="3"/>
      <c r="Q285" s="3"/>
      <c r="R285" s="3"/>
      <c r="S285" s="3"/>
      <c r="T285" s="3"/>
      <c r="U285" s="3"/>
      <c r="V285" s="3"/>
      <c r="W285" s="3"/>
      <c r="X285" s="3"/>
      <c r="Y285" s="3"/>
      <c r="Z285" s="3"/>
    </row>
    <row r="286" spans="1:26" ht="12.75" x14ac:dyDescent="0.2">
      <c r="A286" s="3"/>
      <c r="B286" s="33"/>
      <c r="C286" s="33"/>
      <c r="D286" s="33"/>
      <c r="E286" s="33"/>
      <c r="F286" s="33"/>
      <c r="G286" s="33"/>
      <c r="H286" s="33"/>
      <c r="I286" s="33"/>
      <c r="J286" s="33"/>
      <c r="K286" s="33"/>
      <c r="L286" s="33"/>
      <c r="M286" s="33"/>
      <c r="N286" s="33"/>
      <c r="O286" s="33"/>
      <c r="P286" s="3"/>
      <c r="Q286" s="3"/>
      <c r="R286" s="3"/>
      <c r="S286" s="3"/>
      <c r="T286" s="3"/>
      <c r="U286" s="3"/>
      <c r="V286" s="3"/>
      <c r="W286" s="3"/>
      <c r="X286" s="3"/>
      <c r="Y286" s="3"/>
      <c r="Z286" s="3"/>
    </row>
    <row r="287" spans="1:26" ht="12.75" x14ac:dyDescent="0.2">
      <c r="A287" s="3"/>
      <c r="C287" s="64" t="s">
        <v>235</v>
      </c>
      <c r="D287" s="33"/>
      <c r="E287" s="33"/>
      <c r="F287" s="33"/>
      <c r="G287" s="33"/>
      <c r="H287" s="33"/>
      <c r="I287" s="33"/>
      <c r="J287" s="33"/>
      <c r="K287" s="33"/>
      <c r="L287" s="33"/>
      <c r="M287" s="33"/>
      <c r="N287" s="33"/>
      <c r="O287" s="33"/>
      <c r="P287" s="3"/>
      <c r="Q287" s="3"/>
      <c r="R287" s="3"/>
      <c r="S287" s="3"/>
      <c r="T287" s="3"/>
      <c r="U287" s="3"/>
      <c r="V287" s="3"/>
      <c r="W287" s="3"/>
      <c r="X287" s="3"/>
      <c r="Y287" s="3"/>
      <c r="Z287" s="3"/>
    </row>
    <row r="288" spans="1:26" ht="12.75" x14ac:dyDescent="0.2">
      <c r="A288" s="3"/>
      <c r="B288" s="64"/>
      <c r="C288" s="34" t="s">
        <v>144</v>
      </c>
      <c r="D288" s="33"/>
      <c r="E288" s="33"/>
      <c r="F288" s="33"/>
      <c r="G288" s="33"/>
      <c r="H288" s="33"/>
      <c r="I288" s="33"/>
      <c r="J288" s="33"/>
      <c r="K288" s="33"/>
      <c r="L288" s="33"/>
      <c r="M288" s="33"/>
      <c r="N288" s="33"/>
      <c r="O288" s="33"/>
      <c r="P288" s="3"/>
      <c r="Q288" s="3"/>
      <c r="R288" s="3"/>
      <c r="S288" s="3"/>
      <c r="T288" s="3"/>
      <c r="U288" s="3"/>
      <c r="V288" s="3"/>
      <c r="W288" s="3"/>
      <c r="X288" s="3"/>
      <c r="Y288" s="3"/>
      <c r="Z288" s="3"/>
    </row>
    <row r="289" spans="1:26" ht="12.75" x14ac:dyDescent="0.2">
      <c r="A289" s="3"/>
      <c r="B289" s="64"/>
      <c r="C289" s="35" t="s">
        <v>245</v>
      </c>
      <c r="D289" s="33"/>
      <c r="E289" s="33"/>
      <c r="F289" s="39">
        <f>$F$98*(1+$F$99)/1000</f>
        <v>0</v>
      </c>
      <c r="G289" s="39">
        <f t="shared" ref="G289:O289" si="61">$F$98*(1+$F$99)/1000</f>
        <v>0</v>
      </c>
      <c r="H289" s="39">
        <f t="shared" si="61"/>
        <v>0</v>
      </c>
      <c r="I289" s="39">
        <f t="shared" si="61"/>
        <v>0</v>
      </c>
      <c r="J289" s="39">
        <f t="shared" si="61"/>
        <v>0</v>
      </c>
      <c r="K289" s="39">
        <f t="shared" si="61"/>
        <v>0</v>
      </c>
      <c r="L289" s="39">
        <f t="shared" si="61"/>
        <v>0</v>
      </c>
      <c r="M289" s="39">
        <f t="shared" si="61"/>
        <v>0</v>
      </c>
      <c r="N289" s="39">
        <f t="shared" si="61"/>
        <v>0</v>
      </c>
      <c r="O289" s="39">
        <f t="shared" si="61"/>
        <v>0</v>
      </c>
      <c r="P289" s="3"/>
      <c r="Q289" s="3"/>
      <c r="R289" s="3"/>
      <c r="S289" s="3"/>
      <c r="T289" s="3"/>
      <c r="U289" s="3"/>
      <c r="V289" s="3"/>
      <c r="W289" s="3"/>
      <c r="X289" s="3"/>
      <c r="Y289" s="3"/>
      <c r="Z289" s="3"/>
    </row>
    <row r="290" spans="1:26" ht="12.75" x14ac:dyDescent="0.2">
      <c r="A290" s="3"/>
      <c r="B290" s="64"/>
      <c r="C290" s="36" t="s">
        <v>245</v>
      </c>
      <c r="D290" s="36"/>
      <c r="E290" s="36"/>
      <c r="F290" s="59">
        <f>F289</f>
        <v>0</v>
      </c>
      <c r="G290" s="59">
        <f t="shared" ref="G290:O290" si="62">G289</f>
        <v>0</v>
      </c>
      <c r="H290" s="59">
        <f t="shared" si="62"/>
        <v>0</v>
      </c>
      <c r="I290" s="59">
        <f t="shared" si="62"/>
        <v>0</v>
      </c>
      <c r="J290" s="59">
        <f t="shared" si="62"/>
        <v>0</v>
      </c>
      <c r="K290" s="59">
        <f t="shared" si="62"/>
        <v>0</v>
      </c>
      <c r="L290" s="59">
        <f t="shared" si="62"/>
        <v>0</v>
      </c>
      <c r="M290" s="59">
        <f t="shared" si="62"/>
        <v>0</v>
      </c>
      <c r="N290" s="59">
        <f t="shared" si="62"/>
        <v>0</v>
      </c>
      <c r="O290" s="59">
        <f t="shared" si="62"/>
        <v>0</v>
      </c>
      <c r="P290" s="3"/>
      <c r="Q290" s="3"/>
      <c r="R290" s="3"/>
      <c r="S290" s="3"/>
      <c r="T290" s="3"/>
      <c r="U290" s="3"/>
      <c r="V290" s="3"/>
      <c r="W290" s="3"/>
      <c r="X290" s="3"/>
      <c r="Y290" s="3"/>
      <c r="Z290" s="3"/>
    </row>
    <row r="291" spans="1:26" ht="12.75" x14ac:dyDescent="0.2">
      <c r="A291" s="3"/>
      <c r="B291" s="64"/>
      <c r="C291" s="64"/>
      <c r="D291" s="33"/>
      <c r="E291" s="33"/>
      <c r="F291" s="33"/>
      <c r="G291" s="33"/>
      <c r="H291" s="33"/>
      <c r="I291" s="33"/>
      <c r="J291" s="33"/>
      <c r="K291" s="33"/>
      <c r="L291" s="33"/>
      <c r="M291" s="33"/>
      <c r="N291" s="33"/>
      <c r="O291" s="33"/>
      <c r="P291" s="3"/>
      <c r="Q291" s="3"/>
      <c r="R291" s="3"/>
      <c r="S291" s="3"/>
      <c r="T291" s="3"/>
      <c r="U291" s="3"/>
      <c r="V291" s="3"/>
      <c r="W291" s="3"/>
      <c r="X291" s="3"/>
      <c r="Y291" s="3"/>
      <c r="Z291" s="3"/>
    </row>
    <row r="292" spans="1:26" ht="12.75" x14ac:dyDescent="0.2">
      <c r="A292" s="3"/>
      <c r="B292" s="33"/>
      <c r="C292" s="34" t="s">
        <v>218</v>
      </c>
      <c r="D292" s="33"/>
      <c r="E292" s="33"/>
      <c r="F292" s="33"/>
      <c r="G292" s="33"/>
      <c r="H292" s="33"/>
      <c r="I292" s="33"/>
      <c r="J292" s="33"/>
      <c r="K292" s="33"/>
      <c r="L292" s="33"/>
      <c r="M292" s="33"/>
      <c r="N292" s="33"/>
      <c r="O292" s="33"/>
      <c r="P292" s="3"/>
      <c r="Q292" s="3"/>
      <c r="R292" s="3"/>
      <c r="S292" s="3"/>
      <c r="T292" s="3"/>
      <c r="U292" s="3"/>
      <c r="V292" s="3"/>
      <c r="W292" s="3"/>
      <c r="X292" s="3"/>
      <c r="Y292" s="3"/>
      <c r="Z292" s="3"/>
    </row>
    <row r="293" spans="1:26" ht="12.75" x14ac:dyDescent="0.2">
      <c r="A293" s="3"/>
      <c r="B293" s="33"/>
      <c r="C293" s="94" t="s">
        <v>272</v>
      </c>
      <c r="D293" s="33"/>
      <c r="E293" s="33"/>
      <c r="F293" s="39">
        <f>F207/F$123</f>
        <v>25.229760920000004</v>
      </c>
      <c r="G293" s="39">
        <f>G207/G$123</f>
        <v>25.229760920000004</v>
      </c>
      <c r="H293" s="39">
        <f>H207/H$123</f>
        <v>25.22976092</v>
      </c>
      <c r="I293" s="39">
        <f>I207/I$123</f>
        <v>25.229760920000004</v>
      </c>
      <c r="J293" s="39">
        <f>J207/J$123</f>
        <v>25.229760920000004</v>
      </c>
      <c r="K293" s="39">
        <f>K207/K$123</f>
        <v>25.229760920000007</v>
      </c>
      <c r="L293" s="39">
        <f>L207/L$123</f>
        <v>25.229760920000004</v>
      </c>
      <c r="M293" s="39">
        <f>M207/M$123</f>
        <v>25.229760920000004</v>
      </c>
      <c r="N293" s="39">
        <f>N207/N$123</f>
        <v>25.22976092</v>
      </c>
      <c r="O293" s="39">
        <f>O207/O$123</f>
        <v>25.229760920000007</v>
      </c>
      <c r="P293" s="3"/>
      <c r="Q293" s="3"/>
      <c r="R293" s="3"/>
      <c r="S293" s="3"/>
      <c r="T293" s="3"/>
      <c r="U293" s="3"/>
      <c r="V293" s="3"/>
      <c r="W293" s="3"/>
      <c r="X293" s="3"/>
      <c r="Y293" s="3"/>
      <c r="Z293" s="3"/>
    </row>
    <row r="294" spans="1:26" ht="12.75" x14ac:dyDescent="0.2">
      <c r="A294" s="3"/>
      <c r="B294" s="33"/>
      <c r="C294" s="94" t="s">
        <v>273</v>
      </c>
      <c r="D294" s="33"/>
      <c r="E294" s="33"/>
      <c r="F294" s="39">
        <f>F208/F$123</f>
        <v>18.484303200000003</v>
      </c>
      <c r="G294" s="39">
        <f>G208/G$123</f>
        <v>18.484303200000003</v>
      </c>
      <c r="H294" s="39">
        <f>H208/H$123</f>
        <v>18.484303200000003</v>
      </c>
      <c r="I294" s="39">
        <f>I208/I$123</f>
        <v>18.484303200000003</v>
      </c>
      <c r="J294" s="39">
        <f>J208/J$123</f>
        <v>18.484303200000003</v>
      </c>
      <c r="K294" s="39">
        <f>K208/K$123</f>
        <v>18.484303200000003</v>
      </c>
      <c r="L294" s="39">
        <f>L208/L$123</f>
        <v>18.484303200000003</v>
      </c>
      <c r="M294" s="39">
        <f>M208/M$123</f>
        <v>18.484303199999999</v>
      </c>
      <c r="N294" s="39">
        <f>N208/N$123</f>
        <v>18.484303200000003</v>
      </c>
      <c r="O294" s="39">
        <f>O208/O$123</f>
        <v>18.484303200000003</v>
      </c>
      <c r="P294" s="3"/>
      <c r="Q294" s="3"/>
      <c r="R294" s="3"/>
      <c r="S294" s="3"/>
      <c r="T294" s="3"/>
      <c r="U294" s="3"/>
      <c r="V294" s="3"/>
      <c r="W294" s="3"/>
      <c r="X294" s="3"/>
      <c r="Y294" s="3"/>
      <c r="Z294" s="3"/>
    </row>
    <row r="295" spans="1:26" ht="12.75" x14ac:dyDescent="0.2">
      <c r="A295" s="3"/>
      <c r="B295" s="33"/>
      <c r="C295" s="94" t="s">
        <v>274</v>
      </c>
      <c r="D295" s="33"/>
      <c r="E295" s="33"/>
      <c r="F295" s="39">
        <f>F209/F$123</f>
        <v>46.6925776</v>
      </c>
      <c r="G295" s="39">
        <f>G209/G$123</f>
        <v>46.6925776</v>
      </c>
      <c r="H295" s="39">
        <f>H209/H$123</f>
        <v>46.692577599999993</v>
      </c>
      <c r="I295" s="39">
        <f>I209/I$123</f>
        <v>46.692577599999993</v>
      </c>
      <c r="J295" s="39">
        <f>J209/J$123</f>
        <v>46.692577599999993</v>
      </c>
      <c r="K295" s="39">
        <f>K209/K$123</f>
        <v>46.692577599999993</v>
      </c>
      <c r="L295" s="39">
        <f>L209/L$123</f>
        <v>46.6925776</v>
      </c>
      <c r="M295" s="39">
        <f>M209/M$123</f>
        <v>46.6925776</v>
      </c>
      <c r="N295" s="39">
        <f>N209/N$123</f>
        <v>46.6925776</v>
      </c>
      <c r="O295" s="39">
        <f>O209/O$123</f>
        <v>46.692577599999993</v>
      </c>
      <c r="P295" s="3"/>
      <c r="Q295" s="3"/>
      <c r="R295" s="3"/>
      <c r="S295" s="3"/>
      <c r="T295" s="3"/>
      <c r="U295" s="3"/>
      <c r="V295" s="3"/>
      <c r="W295" s="3"/>
      <c r="X295" s="3"/>
      <c r="Y295" s="3"/>
      <c r="Z295" s="3"/>
    </row>
    <row r="296" spans="1:26" ht="12.75" x14ac:dyDescent="0.2">
      <c r="A296" s="3"/>
      <c r="B296" s="33"/>
      <c r="C296" s="94" t="s">
        <v>275</v>
      </c>
      <c r="D296" s="33"/>
      <c r="E296" s="33"/>
      <c r="F296" s="39">
        <f>F210/F$123</f>
        <v>37.173015759999991</v>
      </c>
      <c r="G296" s="39">
        <f>G210/G$123</f>
        <v>37.173015759999998</v>
      </c>
      <c r="H296" s="39">
        <f>H210/H$123</f>
        <v>37.173015759999998</v>
      </c>
      <c r="I296" s="39">
        <f>I210/I$123</f>
        <v>37.173015759999998</v>
      </c>
      <c r="J296" s="39">
        <f>J210/J$123</f>
        <v>37.173015759999998</v>
      </c>
      <c r="K296" s="39">
        <f>K210/K$123</f>
        <v>37.173015759999991</v>
      </c>
      <c r="L296" s="39">
        <f>L210/L$123</f>
        <v>37.173015759999991</v>
      </c>
      <c r="M296" s="39">
        <f>M210/M$123</f>
        <v>37.173015759999991</v>
      </c>
      <c r="N296" s="39">
        <f>N210/N$123</f>
        <v>37.173015759999991</v>
      </c>
      <c r="O296" s="39">
        <f>O210/O$123</f>
        <v>37.173015759999998</v>
      </c>
      <c r="P296" s="3"/>
      <c r="Q296" s="3"/>
      <c r="R296" s="3"/>
      <c r="S296" s="3"/>
      <c r="T296" s="3"/>
      <c r="U296" s="3"/>
      <c r="V296" s="3"/>
      <c r="W296" s="3"/>
      <c r="X296" s="3"/>
      <c r="Y296" s="3"/>
      <c r="Z296" s="3"/>
    </row>
    <row r="297" spans="1:26" s="105" customFormat="1" ht="12.75" x14ac:dyDescent="0.2">
      <c r="A297" s="102"/>
      <c r="B297" s="35"/>
      <c r="C297" s="84" t="s">
        <v>293</v>
      </c>
      <c r="D297" s="35"/>
      <c r="E297" s="35"/>
      <c r="F297" s="104">
        <f>F211/F$123</f>
        <v>11.475999999999997</v>
      </c>
      <c r="G297" s="104">
        <f>G211/G$123</f>
        <v>11.475999999999997</v>
      </c>
      <c r="H297" s="104">
        <f>H211/H$123</f>
        <v>11.475999999999997</v>
      </c>
      <c r="I297" s="104">
        <f>I211/I$123</f>
        <v>11.475999999999999</v>
      </c>
      <c r="J297" s="104">
        <f>J211/J$123</f>
        <v>11.475999999999999</v>
      </c>
      <c r="K297" s="104">
        <f>K211/K$123</f>
        <v>11.475999999999999</v>
      </c>
      <c r="L297" s="104">
        <f>L211/L$123</f>
        <v>11.475999999999997</v>
      </c>
      <c r="M297" s="104">
        <f>M211/M$123</f>
        <v>11.475999999999997</v>
      </c>
      <c r="N297" s="104">
        <f>N211/N$123</f>
        <v>11.475999999999999</v>
      </c>
      <c r="O297" s="104">
        <f>O211/O$123</f>
        <v>11.475999999999997</v>
      </c>
      <c r="P297" s="102"/>
      <c r="Q297" s="102"/>
      <c r="R297" s="102"/>
      <c r="S297" s="102"/>
      <c r="T297" s="102"/>
      <c r="U297" s="102"/>
      <c r="V297" s="102"/>
      <c r="W297" s="102"/>
      <c r="X297" s="102"/>
      <c r="Y297" s="102"/>
      <c r="Z297" s="102"/>
    </row>
    <row r="298" spans="1:26" ht="12.75" x14ac:dyDescent="0.2">
      <c r="A298" s="3"/>
      <c r="B298" s="33"/>
      <c r="C298" s="94" t="s">
        <v>278</v>
      </c>
      <c r="D298" s="33"/>
      <c r="E298" s="33"/>
      <c r="F298" s="39">
        <f>F212/F$123</f>
        <v>126.66687944</v>
      </c>
      <c r="G298" s="39">
        <f>G212/G$123</f>
        <v>126.66687944000002</v>
      </c>
      <c r="H298" s="39">
        <f>H212/H$123</f>
        <v>126.66687944000002</v>
      </c>
      <c r="I298" s="39">
        <f>I212/I$123</f>
        <v>126.66687944</v>
      </c>
      <c r="J298" s="39">
        <f>J212/J$123</f>
        <v>126.66687944</v>
      </c>
      <c r="K298" s="39">
        <f>K212/K$123</f>
        <v>126.66687944000002</v>
      </c>
      <c r="L298" s="39">
        <f>L212/L$123</f>
        <v>126.66687944000002</v>
      </c>
      <c r="M298" s="39">
        <f>M212/M$123</f>
        <v>126.66687944</v>
      </c>
      <c r="N298" s="39">
        <f>N212/N$123</f>
        <v>126.66687944000002</v>
      </c>
      <c r="O298" s="39">
        <f>O212/O$123</f>
        <v>126.66687944</v>
      </c>
      <c r="P298" s="3"/>
      <c r="Q298" s="3"/>
      <c r="R298" s="3"/>
      <c r="S298" s="3"/>
      <c r="T298" s="3"/>
      <c r="U298" s="3"/>
      <c r="V298" s="3"/>
      <c r="W298" s="3"/>
      <c r="X298" s="3"/>
      <c r="Y298" s="3"/>
      <c r="Z298" s="3"/>
    </row>
    <row r="299" spans="1:26" ht="12.75" x14ac:dyDescent="0.2">
      <c r="A299" s="3"/>
      <c r="B299" s="33"/>
      <c r="C299" s="9" t="s">
        <v>85</v>
      </c>
      <c r="D299" s="33"/>
      <c r="E299" s="33"/>
      <c r="F299" s="39">
        <f>F213/F$123</f>
        <v>0</v>
      </c>
      <c r="G299" s="39">
        <f>G213/G$123</f>
        <v>0</v>
      </c>
      <c r="H299" s="39">
        <f>H213/H$123</f>
        <v>0</v>
      </c>
      <c r="I299" s="39">
        <f>I213/I$123</f>
        <v>0</v>
      </c>
      <c r="J299" s="39">
        <f>J213/J$123</f>
        <v>0</v>
      </c>
      <c r="K299" s="39">
        <f>K213/K$123</f>
        <v>0</v>
      </c>
      <c r="L299" s="39">
        <f>L213/L$123</f>
        <v>0</v>
      </c>
      <c r="M299" s="39">
        <f>M213/M$123</f>
        <v>0</v>
      </c>
      <c r="N299" s="39">
        <f>N213/N$123</f>
        <v>0</v>
      </c>
      <c r="O299" s="39">
        <f>O213/O$123</f>
        <v>0</v>
      </c>
      <c r="P299" s="3"/>
      <c r="Q299" s="3"/>
      <c r="R299" s="3"/>
      <c r="S299" s="3"/>
      <c r="T299" s="3"/>
      <c r="U299" s="3"/>
      <c r="V299" s="3"/>
      <c r="W299" s="3"/>
      <c r="X299" s="3"/>
      <c r="Y299" s="3"/>
      <c r="Z299" s="3"/>
    </row>
    <row r="300" spans="1:26" ht="12.75" x14ac:dyDescent="0.2">
      <c r="A300" s="3"/>
      <c r="B300" s="33"/>
      <c r="C300" s="36" t="s">
        <v>207</v>
      </c>
      <c r="D300" s="36"/>
      <c r="E300" s="36"/>
      <c r="F300" s="59">
        <f>SUM(F293:F299)</f>
        <v>265.72253692000004</v>
      </c>
      <c r="G300" s="59">
        <f t="shared" ref="G300:O300" si="63">SUM(G293:G299)</f>
        <v>265.72253692000004</v>
      </c>
      <c r="H300" s="59">
        <f t="shared" si="63"/>
        <v>265.72253691999998</v>
      </c>
      <c r="I300" s="59">
        <f t="shared" si="63"/>
        <v>265.72253691999998</v>
      </c>
      <c r="J300" s="59">
        <f t="shared" si="63"/>
        <v>265.72253691999998</v>
      </c>
      <c r="K300" s="59">
        <f t="shared" si="63"/>
        <v>265.72253692000004</v>
      </c>
      <c r="L300" s="59">
        <f t="shared" si="63"/>
        <v>265.72253692000004</v>
      </c>
      <c r="M300" s="59">
        <f t="shared" si="63"/>
        <v>265.72253692000004</v>
      </c>
      <c r="N300" s="59">
        <f t="shared" si="63"/>
        <v>265.72253692000004</v>
      </c>
      <c r="O300" s="59">
        <f t="shared" si="63"/>
        <v>265.72253692000004</v>
      </c>
      <c r="P300" s="3"/>
      <c r="Q300" s="3"/>
      <c r="R300" s="3"/>
      <c r="S300" s="3"/>
      <c r="T300" s="3"/>
      <c r="U300" s="3"/>
      <c r="V300" s="3"/>
      <c r="W300" s="3"/>
      <c r="X300" s="3"/>
      <c r="Y300" s="3"/>
      <c r="Z300" s="3"/>
    </row>
    <row r="301" spans="1:26" ht="12.75" x14ac:dyDescent="0.2">
      <c r="A301" s="3"/>
      <c r="B301" s="33"/>
      <c r="C301" s="33"/>
      <c r="D301" s="33"/>
      <c r="E301" s="33"/>
      <c r="F301" s="41"/>
      <c r="G301" s="41"/>
      <c r="H301" s="41"/>
      <c r="I301" s="33"/>
      <c r="J301" s="33"/>
      <c r="K301" s="33"/>
      <c r="L301" s="33"/>
      <c r="M301" s="33"/>
      <c r="N301" s="33"/>
      <c r="O301" s="33"/>
      <c r="P301" s="3"/>
      <c r="Q301" s="3"/>
      <c r="R301" s="3"/>
      <c r="S301" s="3"/>
      <c r="T301" s="3"/>
      <c r="U301" s="3"/>
      <c r="V301" s="3"/>
      <c r="W301" s="3"/>
      <c r="X301" s="3"/>
      <c r="Y301" s="3"/>
      <c r="Z301" s="3"/>
    </row>
    <row r="302" spans="1:26" ht="12.75" x14ac:dyDescent="0.2">
      <c r="A302" s="3"/>
      <c r="B302" s="33"/>
      <c r="C302" s="34" t="s">
        <v>215</v>
      </c>
      <c r="D302" s="33"/>
      <c r="E302" s="33"/>
      <c r="F302" s="41"/>
      <c r="G302" s="41"/>
      <c r="H302" s="41"/>
      <c r="I302" s="41"/>
      <c r="J302" s="41"/>
      <c r="K302" s="41"/>
      <c r="L302" s="41"/>
      <c r="M302" s="41"/>
      <c r="N302" s="41"/>
      <c r="O302" s="41"/>
      <c r="P302" s="3"/>
      <c r="Q302" s="3"/>
      <c r="R302" s="3"/>
      <c r="S302" s="3"/>
      <c r="T302" s="3"/>
      <c r="U302" s="3"/>
      <c r="V302" s="3"/>
      <c r="W302" s="3"/>
      <c r="X302" s="3"/>
      <c r="Y302" s="3"/>
      <c r="Z302" s="3"/>
    </row>
    <row r="303" spans="1:26" ht="12.75" x14ac:dyDescent="0.2">
      <c r="A303" s="3"/>
      <c r="B303" s="33"/>
      <c r="C303" s="9" t="s">
        <v>110</v>
      </c>
      <c r="D303" s="33"/>
      <c r="E303" s="33"/>
      <c r="F303" s="39">
        <f>F217/F$123</f>
        <v>2.6819999999999999</v>
      </c>
      <c r="G303" s="39">
        <f>G217/G$123</f>
        <v>2.6819999999999995</v>
      </c>
      <c r="H303" s="39">
        <f>H217/H$123</f>
        <v>2.6819999999999999</v>
      </c>
      <c r="I303" s="39">
        <f>I217/I$123</f>
        <v>2.6819999999999999</v>
      </c>
      <c r="J303" s="39">
        <f>J217/J$123</f>
        <v>2.6819999999999999</v>
      </c>
      <c r="K303" s="39">
        <f>K217/K$123</f>
        <v>2.6820000000000004</v>
      </c>
      <c r="L303" s="39">
        <f>L217/L$123</f>
        <v>2.6819999999999999</v>
      </c>
      <c r="M303" s="39">
        <f>M217/M$123</f>
        <v>2.6819999999999999</v>
      </c>
      <c r="N303" s="39">
        <f>N217/N$123</f>
        <v>2.6819999999999999</v>
      </c>
      <c r="O303" s="39">
        <f>O217/O$123</f>
        <v>2.6819999999999995</v>
      </c>
      <c r="P303" s="3"/>
      <c r="Q303" s="3"/>
      <c r="R303" s="3"/>
      <c r="S303" s="3"/>
      <c r="T303" s="3"/>
      <c r="U303" s="3"/>
      <c r="V303" s="3"/>
      <c r="W303" s="3"/>
      <c r="X303" s="3"/>
      <c r="Y303" s="3"/>
      <c r="Z303" s="3"/>
    </row>
    <row r="304" spans="1:26" ht="12.75" x14ac:dyDescent="0.2">
      <c r="A304" s="3"/>
      <c r="B304" s="33"/>
      <c r="C304" s="27" t="s">
        <v>283</v>
      </c>
      <c r="D304" s="33"/>
      <c r="E304" s="33"/>
      <c r="F304" s="39">
        <f>F218/F$123</f>
        <v>2.4788235294117649</v>
      </c>
      <c r="G304" s="39">
        <f>G218/G$123</f>
        <v>2.4788235294117649</v>
      </c>
      <c r="H304" s="39">
        <f>H218/H$123</f>
        <v>2.4788235294117649</v>
      </c>
      <c r="I304" s="39">
        <f>I218/I$123</f>
        <v>2.4788235294117649</v>
      </c>
      <c r="J304" s="39">
        <f>J218/J$123</f>
        <v>2.4788235294117649</v>
      </c>
      <c r="K304" s="39">
        <f>K218/K$123</f>
        <v>2.4788235294117649</v>
      </c>
      <c r="L304" s="39">
        <f>L218/L$123</f>
        <v>2.4788235294117649</v>
      </c>
      <c r="M304" s="39">
        <f>M218/M$123</f>
        <v>2.4788235294117649</v>
      </c>
      <c r="N304" s="39">
        <f>N218/N$123</f>
        <v>2.4788235294117649</v>
      </c>
      <c r="O304" s="39">
        <f>O218/O$123</f>
        <v>2.4788235294117649</v>
      </c>
      <c r="P304" s="3"/>
      <c r="Q304" s="3"/>
      <c r="R304" s="3"/>
      <c r="S304" s="3"/>
      <c r="T304" s="3"/>
      <c r="U304" s="3"/>
      <c r="V304" s="3"/>
      <c r="W304" s="3"/>
      <c r="X304" s="3"/>
      <c r="Y304" s="3"/>
      <c r="Z304" s="3"/>
    </row>
    <row r="305" spans="1:26" ht="12.75" x14ac:dyDescent="0.2">
      <c r="A305" s="3"/>
      <c r="B305" s="33"/>
      <c r="C305" s="31" t="s">
        <v>216</v>
      </c>
      <c r="D305" s="36"/>
      <c r="E305" s="36"/>
      <c r="F305" s="40">
        <f t="shared" ref="F305:O305" si="64">SUM(F303:F304)</f>
        <v>5.1608235294117648</v>
      </c>
      <c r="G305" s="40">
        <f t="shared" si="64"/>
        <v>5.1608235294117648</v>
      </c>
      <c r="H305" s="40">
        <f t="shared" si="64"/>
        <v>5.1608235294117648</v>
      </c>
      <c r="I305" s="40">
        <f t="shared" si="64"/>
        <v>5.1608235294117648</v>
      </c>
      <c r="J305" s="40">
        <f t="shared" si="64"/>
        <v>5.1608235294117648</v>
      </c>
      <c r="K305" s="40">
        <f t="shared" si="64"/>
        <v>5.1608235294117648</v>
      </c>
      <c r="L305" s="40">
        <f t="shared" si="64"/>
        <v>5.1608235294117648</v>
      </c>
      <c r="M305" s="40">
        <f t="shared" si="64"/>
        <v>5.1608235294117648</v>
      </c>
      <c r="N305" s="40">
        <f t="shared" si="64"/>
        <v>5.1608235294117648</v>
      </c>
      <c r="O305" s="40">
        <f t="shared" si="64"/>
        <v>5.1608235294117648</v>
      </c>
      <c r="P305" s="3"/>
      <c r="Q305" s="3"/>
      <c r="R305" s="3"/>
      <c r="S305" s="3"/>
      <c r="T305" s="3"/>
      <c r="U305" s="3"/>
      <c r="V305" s="3"/>
      <c r="W305" s="3"/>
      <c r="X305" s="3"/>
      <c r="Y305" s="3"/>
      <c r="Z305" s="3"/>
    </row>
    <row r="306" spans="1:26" ht="12.75" x14ac:dyDescent="0.2">
      <c r="A306" s="3"/>
      <c r="B306" s="33"/>
      <c r="C306" s="35"/>
      <c r="D306" s="33"/>
      <c r="E306" s="33"/>
      <c r="F306" s="41"/>
      <c r="G306" s="41"/>
      <c r="H306" s="41"/>
      <c r="I306" s="41"/>
      <c r="J306" s="41"/>
      <c r="K306" s="41"/>
      <c r="L306" s="41"/>
      <c r="M306" s="41"/>
      <c r="N306" s="41"/>
      <c r="O306" s="41"/>
      <c r="P306" s="3"/>
      <c r="Q306" s="3"/>
      <c r="R306" s="3"/>
      <c r="S306" s="3"/>
      <c r="T306" s="3"/>
      <c r="U306" s="3"/>
      <c r="V306" s="3"/>
      <c r="W306" s="3"/>
      <c r="X306" s="3"/>
      <c r="Y306" s="3"/>
      <c r="Z306" s="3"/>
    </row>
    <row r="307" spans="1:26" ht="12.75" x14ac:dyDescent="0.2">
      <c r="A307" s="3"/>
      <c r="B307" s="33"/>
      <c r="C307" s="34" t="s">
        <v>219</v>
      </c>
      <c r="D307" s="33"/>
      <c r="E307" s="33"/>
      <c r="F307" s="41"/>
      <c r="G307" s="41"/>
      <c r="H307" s="41"/>
      <c r="I307" s="41"/>
      <c r="J307" s="41"/>
      <c r="K307" s="41"/>
      <c r="L307" s="41"/>
      <c r="M307" s="41"/>
      <c r="N307" s="41"/>
      <c r="O307" s="41"/>
      <c r="P307" s="3"/>
      <c r="Q307" s="3"/>
      <c r="R307" s="3"/>
      <c r="S307" s="3"/>
      <c r="T307" s="3"/>
      <c r="U307" s="3"/>
      <c r="V307" s="3"/>
      <c r="W307" s="3"/>
      <c r="X307" s="3"/>
      <c r="Y307" s="3"/>
      <c r="Z307" s="3"/>
    </row>
    <row r="308" spans="1:26" ht="12.75" x14ac:dyDescent="0.2">
      <c r="A308" s="3"/>
      <c r="B308" s="33"/>
      <c r="C308" s="9" t="s">
        <v>92</v>
      </c>
      <c r="D308" s="33"/>
      <c r="E308" s="33"/>
      <c r="F308" s="39">
        <f>F222/F$123</f>
        <v>9.0585000000000004</v>
      </c>
      <c r="G308" s="39">
        <f>G222/G$123</f>
        <v>9.0585000000000004</v>
      </c>
      <c r="H308" s="39">
        <f>H222/H$123</f>
        <v>9.0585000000000004</v>
      </c>
      <c r="I308" s="39">
        <f>I222/I$123</f>
        <v>9.0585000000000004</v>
      </c>
      <c r="J308" s="39">
        <f>J222/J$123</f>
        <v>9.0585000000000004</v>
      </c>
      <c r="K308" s="39">
        <f>K222/K$123</f>
        <v>9.0585000000000004</v>
      </c>
      <c r="L308" s="39">
        <f>L222/L$123</f>
        <v>9.0585000000000004</v>
      </c>
      <c r="M308" s="39">
        <f>M222/M$123</f>
        <v>9.0585000000000004</v>
      </c>
      <c r="N308" s="39">
        <f>N222/N$123</f>
        <v>9.0585000000000004</v>
      </c>
      <c r="O308" s="39">
        <f>O222/O$123</f>
        <v>9.0585000000000004</v>
      </c>
      <c r="P308" s="3"/>
      <c r="Q308" s="3"/>
      <c r="R308" s="3"/>
      <c r="S308" s="3"/>
      <c r="T308" s="3"/>
      <c r="U308" s="3"/>
      <c r="V308" s="3"/>
      <c r="W308" s="3"/>
      <c r="X308" s="3"/>
      <c r="Y308" s="3"/>
      <c r="Z308" s="3"/>
    </row>
    <row r="309" spans="1:26" ht="12.75" x14ac:dyDescent="0.2">
      <c r="A309" s="3"/>
      <c r="B309" s="33"/>
      <c r="C309" s="9" t="s">
        <v>96</v>
      </c>
      <c r="D309" s="33"/>
      <c r="E309" s="33"/>
      <c r="F309" s="39">
        <f>F223/F$123</f>
        <v>0</v>
      </c>
      <c r="G309" s="39">
        <f>G223/G$123</f>
        <v>0</v>
      </c>
      <c r="H309" s="39">
        <f>H223/H$123</f>
        <v>0</v>
      </c>
      <c r="I309" s="39">
        <f>I223/I$123</f>
        <v>0</v>
      </c>
      <c r="J309" s="39">
        <f>J223/J$123</f>
        <v>0</v>
      </c>
      <c r="K309" s="39">
        <f>K223/K$123</f>
        <v>0</v>
      </c>
      <c r="L309" s="39">
        <f>L223/L$123</f>
        <v>0</v>
      </c>
      <c r="M309" s="39">
        <f>M223/M$123</f>
        <v>0</v>
      </c>
      <c r="N309" s="39">
        <f>N223/N$123</f>
        <v>0</v>
      </c>
      <c r="O309" s="39">
        <f>O223/O$123</f>
        <v>0</v>
      </c>
      <c r="P309" s="3"/>
      <c r="Q309" s="3"/>
      <c r="R309" s="3"/>
      <c r="S309" s="3"/>
      <c r="T309" s="3"/>
      <c r="U309" s="3"/>
      <c r="V309" s="3"/>
      <c r="W309" s="3"/>
      <c r="X309" s="3"/>
      <c r="Y309" s="3"/>
      <c r="Z309" s="3"/>
    </row>
    <row r="310" spans="1:26" ht="12.75" x14ac:dyDescent="0.2">
      <c r="A310" s="3"/>
      <c r="B310" s="33"/>
      <c r="C310" s="9" t="s">
        <v>99</v>
      </c>
      <c r="D310" s="33"/>
      <c r="E310" s="33"/>
      <c r="F310" s="39">
        <f>F224/F$123</f>
        <v>9.5154159999999983</v>
      </c>
      <c r="G310" s="39">
        <f>G224/G$123</f>
        <v>9.5154159999999983</v>
      </c>
      <c r="H310" s="39">
        <f>H224/H$123</f>
        <v>9.5154159999999983</v>
      </c>
      <c r="I310" s="39">
        <f>I224/I$123</f>
        <v>9.5154160000000001</v>
      </c>
      <c r="J310" s="39">
        <f>J224/J$123</f>
        <v>9.5154159999999983</v>
      </c>
      <c r="K310" s="39">
        <f>K224/K$123</f>
        <v>9.5154159999999983</v>
      </c>
      <c r="L310" s="39">
        <f>L224/L$123</f>
        <v>9.5154159999999983</v>
      </c>
      <c r="M310" s="39">
        <f>M224/M$123</f>
        <v>9.5154159999999983</v>
      </c>
      <c r="N310" s="39">
        <f>N224/N$123</f>
        <v>9.5154160000000001</v>
      </c>
      <c r="O310" s="39">
        <f>O224/O$123</f>
        <v>9.5154159999999983</v>
      </c>
      <c r="P310" s="3"/>
      <c r="Q310" s="3"/>
      <c r="R310" s="3"/>
      <c r="S310" s="3"/>
      <c r="T310" s="3"/>
      <c r="U310" s="3"/>
      <c r="V310" s="3"/>
      <c r="W310" s="3"/>
      <c r="X310" s="3"/>
      <c r="Y310" s="3"/>
      <c r="Z310" s="3"/>
    </row>
    <row r="311" spans="1:26" ht="12.75" x14ac:dyDescent="0.2">
      <c r="A311" s="3"/>
      <c r="B311" s="33"/>
      <c r="C311" s="9" t="s">
        <v>102</v>
      </c>
      <c r="D311" s="33"/>
      <c r="E311" s="33"/>
      <c r="F311" s="39">
        <f>F225/F$123</f>
        <v>0</v>
      </c>
      <c r="G311" s="39">
        <f>G225/G$123</f>
        <v>0</v>
      </c>
      <c r="H311" s="39">
        <f>H225/H$123</f>
        <v>0</v>
      </c>
      <c r="I311" s="39">
        <f>I225/I$123</f>
        <v>0</v>
      </c>
      <c r="J311" s="39">
        <f>J225/J$123</f>
        <v>0</v>
      </c>
      <c r="K311" s="39">
        <f>K225/K$123</f>
        <v>0</v>
      </c>
      <c r="L311" s="39">
        <f>L225/L$123</f>
        <v>0</v>
      </c>
      <c r="M311" s="39">
        <f>M225/M$123</f>
        <v>0</v>
      </c>
      <c r="N311" s="39">
        <f>N225/N$123</f>
        <v>0</v>
      </c>
      <c r="O311" s="39">
        <f>O225/O$123</f>
        <v>0</v>
      </c>
      <c r="P311" s="3"/>
      <c r="Q311" s="3"/>
      <c r="R311" s="3"/>
      <c r="S311" s="3"/>
      <c r="T311" s="3"/>
      <c r="U311" s="3"/>
      <c r="V311" s="3"/>
      <c r="W311" s="3"/>
      <c r="X311" s="3"/>
      <c r="Y311" s="3"/>
      <c r="Z311" s="3"/>
    </row>
    <row r="312" spans="1:26" s="105" customFormat="1" ht="12.75" x14ac:dyDescent="0.2">
      <c r="A312" s="102"/>
      <c r="B312" s="35"/>
      <c r="C312" s="460" t="s">
        <v>834</v>
      </c>
      <c r="D312" s="35"/>
      <c r="E312" s="35"/>
      <c r="F312" s="39">
        <f>F226/F$123</f>
        <v>18</v>
      </c>
      <c r="G312" s="39">
        <f>G226/G$123</f>
        <v>0</v>
      </c>
      <c r="H312" s="39">
        <f>H226/H$123</f>
        <v>18</v>
      </c>
      <c r="I312" s="39">
        <f>I226/I$123</f>
        <v>0</v>
      </c>
      <c r="J312" s="39">
        <f>J226/J$123</f>
        <v>18</v>
      </c>
      <c r="K312" s="39">
        <f>K226/K$123</f>
        <v>0</v>
      </c>
      <c r="L312" s="39">
        <f>L226/L$123</f>
        <v>18</v>
      </c>
      <c r="M312" s="39">
        <f>M226/M$123</f>
        <v>0</v>
      </c>
      <c r="N312" s="39">
        <f>N226/N$123</f>
        <v>18</v>
      </c>
      <c r="O312" s="39">
        <f>O226/O$123</f>
        <v>0</v>
      </c>
      <c r="P312" s="102"/>
      <c r="Q312" s="102"/>
      <c r="R312" s="102"/>
      <c r="S312" s="102"/>
      <c r="T312" s="102"/>
      <c r="U312" s="102"/>
      <c r="V312" s="102"/>
      <c r="W312" s="102"/>
      <c r="X312" s="102"/>
      <c r="Y312" s="102"/>
      <c r="Z312" s="102"/>
    </row>
    <row r="313" spans="1:26" s="105" customFormat="1" ht="12.75" x14ac:dyDescent="0.2">
      <c r="A313" s="102"/>
      <c r="B313" s="35"/>
      <c r="C313" s="460" t="s">
        <v>841</v>
      </c>
      <c r="D313" s="35"/>
      <c r="E313" s="35"/>
      <c r="F313" s="39">
        <f>F227/F$123</f>
        <v>7.6290500000000012</v>
      </c>
      <c r="G313" s="39">
        <f>G227/G$123</f>
        <v>7.6290499999999994</v>
      </c>
      <c r="H313" s="39">
        <f>H227/H$123</f>
        <v>7.6290500000000003</v>
      </c>
      <c r="I313" s="39">
        <f>I227/I$123</f>
        <v>7.6290500000000003</v>
      </c>
      <c r="J313" s="39">
        <f>J227/J$123</f>
        <v>7.6290500000000012</v>
      </c>
      <c r="K313" s="39">
        <f>K227/K$123</f>
        <v>7.6290500000000012</v>
      </c>
      <c r="L313" s="39">
        <f>L227/L$123</f>
        <v>7.6290500000000003</v>
      </c>
      <c r="M313" s="39">
        <f>M227/M$123</f>
        <v>7.6290500000000003</v>
      </c>
      <c r="N313" s="39">
        <f>N227/N$123</f>
        <v>7.6290500000000003</v>
      </c>
      <c r="O313" s="39">
        <f>O227/O$123</f>
        <v>7.6290500000000012</v>
      </c>
      <c r="P313" s="102"/>
      <c r="Q313" s="102"/>
      <c r="R313" s="102"/>
      <c r="S313" s="102"/>
      <c r="T313" s="102"/>
      <c r="U313" s="102"/>
      <c r="V313" s="102"/>
      <c r="W313" s="102"/>
      <c r="X313" s="102"/>
      <c r="Y313" s="102"/>
      <c r="Z313" s="102"/>
    </row>
    <row r="314" spans="1:26" ht="12.75" x14ac:dyDescent="0.2">
      <c r="A314" s="3"/>
      <c r="B314" s="33"/>
      <c r="C314" s="9" t="s">
        <v>105</v>
      </c>
      <c r="D314" s="33"/>
      <c r="E314" s="33"/>
      <c r="F314" s="39">
        <f>F228/F$123</f>
        <v>3.2</v>
      </c>
      <c r="G314" s="39">
        <f>G228/G$123</f>
        <v>3.1999999999999997</v>
      </c>
      <c r="H314" s="39">
        <f>H228/H$123</f>
        <v>3.1999999999999997</v>
      </c>
      <c r="I314" s="39">
        <f>I228/I$123</f>
        <v>3.2</v>
      </c>
      <c r="J314" s="39">
        <f>J228/J$123</f>
        <v>3.1999999999999997</v>
      </c>
      <c r="K314" s="39">
        <f>K228/K$123</f>
        <v>3.2</v>
      </c>
      <c r="L314" s="39">
        <f>L228/L$123</f>
        <v>3.2</v>
      </c>
      <c r="M314" s="39">
        <f>M228/M$123</f>
        <v>3.2</v>
      </c>
      <c r="N314" s="39">
        <f>N228/N$123</f>
        <v>3.2</v>
      </c>
      <c r="O314" s="39">
        <f>O228/O$123</f>
        <v>3.1999999999999997</v>
      </c>
      <c r="P314" s="3"/>
      <c r="Q314" s="3"/>
      <c r="R314" s="3"/>
      <c r="S314" s="3"/>
      <c r="T314" s="3"/>
      <c r="U314" s="3"/>
      <c r="V314" s="3"/>
      <c r="W314" s="3"/>
      <c r="X314" s="3"/>
      <c r="Y314" s="3"/>
      <c r="Z314" s="3"/>
    </row>
    <row r="315" spans="1:26" ht="12.75" x14ac:dyDescent="0.2">
      <c r="A315" s="3"/>
      <c r="B315" s="33"/>
      <c r="C315" s="9" t="s">
        <v>108</v>
      </c>
      <c r="D315" s="33"/>
      <c r="E315" s="33"/>
      <c r="F315" s="39">
        <f>F229/F$123</f>
        <v>8.1999999999999993</v>
      </c>
      <c r="G315" s="39">
        <f>G229/G$123</f>
        <v>8.3000000000000007</v>
      </c>
      <c r="H315" s="39">
        <f>H229/H$123</f>
        <v>8.4</v>
      </c>
      <c r="I315" s="39">
        <f>I229/I$123</f>
        <v>8.5</v>
      </c>
      <c r="J315" s="39">
        <f>J229/J$123</f>
        <v>8.6</v>
      </c>
      <c r="K315" s="39">
        <f>K229/K$123</f>
        <v>8.6999999999999993</v>
      </c>
      <c r="L315" s="39">
        <f>L229/L$123</f>
        <v>8.6999999999999993</v>
      </c>
      <c r="M315" s="39">
        <f>M229/M$123</f>
        <v>8.8000000000000007</v>
      </c>
      <c r="N315" s="39">
        <f>N229/N$123</f>
        <v>8.9</v>
      </c>
      <c r="O315" s="39">
        <f>O229/O$123</f>
        <v>9</v>
      </c>
      <c r="P315" s="3"/>
      <c r="Q315" s="3"/>
      <c r="R315" s="3"/>
      <c r="S315" s="3"/>
      <c r="T315" s="3"/>
      <c r="U315" s="3"/>
      <c r="V315" s="3"/>
      <c r="W315" s="3"/>
      <c r="X315" s="3"/>
      <c r="Y315" s="3"/>
      <c r="Z315" s="3"/>
    </row>
    <row r="316" spans="1:26" ht="12.75" x14ac:dyDescent="0.2">
      <c r="A316" s="3"/>
      <c r="B316" s="43"/>
      <c r="C316" s="68" t="s">
        <v>217</v>
      </c>
      <c r="D316" s="68"/>
      <c r="E316" s="68"/>
      <c r="F316" s="69">
        <f>SUM(F308:F315)</f>
        <v>55.602965999999995</v>
      </c>
      <c r="G316" s="69">
        <f t="shared" ref="G316:O316" si="65">SUM(G308:G315)</f>
        <v>37.702965999999996</v>
      </c>
      <c r="H316" s="69">
        <f t="shared" si="65"/>
        <v>55.802965999999998</v>
      </c>
      <c r="I316" s="69">
        <f t="shared" si="65"/>
        <v>37.902965999999999</v>
      </c>
      <c r="J316" s="69">
        <f t="shared" si="65"/>
        <v>56.002966000000001</v>
      </c>
      <c r="K316" s="69">
        <f t="shared" si="65"/>
        <v>38.102965999999995</v>
      </c>
      <c r="L316" s="69">
        <f t="shared" si="65"/>
        <v>56.102965999999995</v>
      </c>
      <c r="M316" s="69">
        <f t="shared" si="65"/>
        <v>38.202965999999996</v>
      </c>
      <c r="N316" s="69">
        <f t="shared" si="65"/>
        <v>56.302965999999998</v>
      </c>
      <c r="O316" s="69">
        <f t="shared" si="65"/>
        <v>38.402965999999992</v>
      </c>
      <c r="P316" s="3"/>
      <c r="Q316" s="3"/>
      <c r="R316" s="3"/>
      <c r="S316" s="3"/>
      <c r="T316" s="3"/>
      <c r="U316" s="3"/>
      <c r="V316" s="3"/>
      <c r="W316" s="3"/>
      <c r="X316" s="3"/>
      <c r="Y316" s="3"/>
      <c r="Z316" s="3"/>
    </row>
    <row r="317" spans="1:26" ht="12.75" x14ac:dyDescent="0.2">
      <c r="A317" s="3"/>
      <c r="B317" s="43"/>
      <c r="C317" s="74"/>
      <c r="D317" s="74"/>
      <c r="E317" s="74"/>
      <c r="F317" s="75"/>
      <c r="G317" s="75"/>
      <c r="H317" s="75"/>
      <c r="I317" s="75"/>
      <c r="J317" s="75"/>
      <c r="K317" s="75"/>
      <c r="L317" s="75"/>
      <c r="M317" s="75"/>
      <c r="N317" s="75"/>
      <c r="O317" s="75"/>
      <c r="P317" s="3"/>
      <c r="Q317" s="3"/>
      <c r="R317" s="3"/>
      <c r="S317" s="3"/>
      <c r="T317" s="3"/>
      <c r="U317" s="3"/>
      <c r="V317" s="3"/>
      <c r="W317" s="3"/>
      <c r="X317" s="3"/>
      <c r="Y317" s="3"/>
      <c r="Z317" s="3"/>
    </row>
    <row r="318" spans="1:26" ht="12.75" x14ac:dyDescent="0.2">
      <c r="A318" s="3"/>
      <c r="B318" s="43"/>
      <c r="C318" s="34" t="s">
        <v>287</v>
      </c>
      <c r="D318" s="74"/>
      <c r="E318" s="74"/>
      <c r="F318" s="75"/>
      <c r="G318" s="75"/>
      <c r="H318" s="75"/>
      <c r="I318" s="75"/>
      <c r="J318" s="75"/>
      <c r="K318" s="75"/>
      <c r="L318" s="75"/>
      <c r="M318" s="75"/>
      <c r="N318" s="75"/>
      <c r="O318" s="75"/>
      <c r="P318" s="3"/>
      <c r="Q318" s="3"/>
      <c r="R318" s="3"/>
      <c r="S318" s="3"/>
      <c r="T318" s="3"/>
      <c r="U318" s="3"/>
      <c r="V318" s="3"/>
      <c r="W318" s="3"/>
      <c r="X318" s="3"/>
      <c r="Y318" s="3"/>
      <c r="Z318" s="3"/>
    </row>
    <row r="319" spans="1:26" ht="12.75" x14ac:dyDescent="0.2">
      <c r="A319" s="3"/>
      <c r="B319" s="33"/>
      <c r="C319" s="27" t="s">
        <v>282</v>
      </c>
      <c r="D319" s="33"/>
      <c r="E319" s="33"/>
      <c r="F319" s="39">
        <f>F233/F$123</f>
        <v>8.1598E-3</v>
      </c>
      <c r="G319" s="39">
        <f>G233/G$123</f>
        <v>8.2462899999999999E-3</v>
      </c>
      <c r="H319" s="39">
        <f>H233/H$123</f>
        <v>8.333644900000001E-3</v>
      </c>
      <c r="I319" s="39">
        <f>I233/I$123</f>
        <v>8.4218733489999989E-3</v>
      </c>
      <c r="J319" s="39">
        <f>J233/J$123</f>
        <v>8.5109840824900019E-3</v>
      </c>
      <c r="K319" s="39">
        <f>K233/K$123</f>
        <v>8.6009859233148987E-3</v>
      </c>
      <c r="L319" s="39">
        <f>L233/L$123</f>
        <v>8.6918877825480478E-3</v>
      </c>
      <c r="M319" s="39">
        <f>M233/M$123</f>
        <v>8.7836986603735279E-3</v>
      </c>
      <c r="N319" s="39">
        <f>N233/N$123</f>
        <v>8.8764276469772644E-3</v>
      </c>
      <c r="O319" s="39">
        <f>O233/O$123</f>
        <v>8.9700839234470378E-3</v>
      </c>
      <c r="P319" s="3"/>
      <c r="Q319" s="3"/>
      <c r="R319" s="3"/>
      <c r="S319" s="3"/>
      <c r="T319" s="3"/>
      <c r="U319" s="3"/>
      <c r="V319" s="3"/>
      <c r="W319" s="3"/>
      <c r="X319" s="3"/>
      <c r="Y319" s="3"/>
      <c r="Z319" s="3"/>
    </row>
    <row r="320" spans="1:26" ht="12.75" x14ac:dyDescent="0.2">
      <c r="A320" s="3"/>
      <c r="B320" s="33"/>
      <c r="C320" s="27" t="s">
        <v>284</v>
      </c>
      <c r="D320" s="33"/>
      <c r="E320" s="33"/>
      <c r="F320" s="39">
        <f>F234/F$123</f>
        <v>1.4251441568627456</v>
      </c>
      <c r="G320" s="39">
        <f>G234/G$123</f>
        <v>1.4393955984313729</v>
      </c>
      <c r="H320" s="39">
        <f>H234/H$123</f>
        <v>1.4537895544156869</v>
      </c>
      <c r="I320" s="39">
        <f>I234/I$123</f>
        <v>1.4683274499598435</v>
      </c>
      <c r="J320" s="39">
        <f>J234/J$123</f>
        <v>1.4830107244594415</v>
      </c>
      <c r="K320" s="39">
        <f>K234/K$123</f>
        <v>1.4978408317040364</v>
      </c>
      <c r="L320" s="39">
        <f>L234/L$123</f>
        <v>1.5128192400210769</v>
      </c>
      <c r="M320" s="39">
        <f>M234/M$123</f>
        <v>1.5279474324212874</v>
      </c>
      <c r="N320" s="39">
        <f>N234/N$123</f>
        <v>1.5432269067455002</v>
      </c>
      <c r="O320" s="39">
        <f>O234/O$123</f>
        <v>1.5586591758129553</v>
      </c>
      <c r="P320" s="3"/>
      <c r="Q320" s="3"/>
      <c r="R320" s="3"/>
      <c r="S320" s="3"/>
      <c r="T320" s="3"/>
      <c r="U320" s="3"/>
      <c r="V320" s="3"/>
      <c r="W320" s="3"/>
      <c r="X320" s="3"/>
      <c r="Y320" s="3"/>
      <c r="Z320" s="3"/>
    </row>
    <row r="321" spans="1:26" ht="12.75" x14ac:dyDescent="0.2">
      <c r="A321" s="3"/>
      <c r="B321" s="43"/>
      <c r="C321" s="68" t="s">
        <v>289</v>
      </c>
      <c r="D321" s="36"/>
      <c r="E321" s="36"/>
      <c r="F321" s="40">
        <f>SUM(F319:F320)</f>
        <v>1.4333039568627457</v>
      </c>
      <c r="G321" s="40">
        <f t="shared" ref="G321:O321" si="66">SUM(G319:G320)</f>
        <v>1.4476418884313729</v>
      </c>
      <c r="H321" s="40">
        <f t="shared" si="66"/>
        <v>1.4621231993156869</v>
      </c>
      <c r="I321" s="40">
        <f t="shared" si="66"/>
        <v>1.4767493233088436</v>
      </c>
      <c r="J321" s="40">
        <f t="shared" si="66"/>
        <v>1.4915217085419314</v>
      </c>
      <c r="K321" s="40">
        <f t="shared" si="66"/>
        <v>1.5064418176273513</v>
      </c>
      <c r="L321" s="40">
        <f t="shared" si="66"/>
        <v>1.5215111278036251</v>
      </c>
      <c r="M321" s="40">
        <f t="shared" si="66"/>
        <v>1.5367311310816609</v>
      </c>
      <c r="N321" s="40">
        <f t="shared" si="66"/>
        <v>1.5521033343924775</v>
      </c>
      <c r="O321" s="40">
        <f t="shared" si="66"/>
        <v>1.5676292597364023</v>
      </c>
      <c r="P321" s="3"/>
      <c r="Q321" s="3"/>
      <c r="R321" s="3"/>
      <c r="S321" s="3"/>
      <c r="T321" s="3"/>
      <c r="U321" s="3"/>
      <c r="V321" s="3"/>
      <c r="W321" s="3"/>
      <c r="X321" s="3"/>
      <c r="Y321" s="3"/>
      <c r="Z321" s="3"/>
    </row>
    <row r="322" spans="1:26" ht="12.75" x14ac:dyDescent="0.2">
      <c r="A322" s="3"/>
      <c r="B322" s="43"/>
      <c r="C322" s="74"/>
      <c r="D322" s="62"/>
      <c r="E322" s="62"/>
      <c r="F322" s="63"/>
      <c r="G322" s="63"/>
      <c r="H322" s="63"/>
      <c r="I322" s="63"/>
      <c r="J322" s="63"/>
      <c r="K322" s="63"/>
      <c r="L322" s="63"/>
      <c r="M322" s="63"/>
      <c r="N322" s="63"/>
      <c r="O322" s="63"/>
      <c r="P322" s="3"/>
      <c r="Q322" s="3"/>
      <c r="R322" s="3"/>
      <c r="S322" s="3"/>
      <c r="T322" s="3"/>
      <c r="U322" s="3"/>
      <c r="V322" s="3"/>
      <c r="W322" s="3"/>
      <c r="X322" s="3"/>
      <c r="Y322" s="3"/>
      <c r="Z322" s="3"/>
    </row>
    <row r="323" spans="1:26" ht="12.75" x14ac:dyDescent="0.2">
      <c r="A323" s="3"/>
      <c r="B323" s="43"/>
      <c r="C323" s="70" t="s">
        <v>236</v>
      </c>
      <c r="D323" s="70"/>
      <c r="E323" s="70"/>
      <c r="F323" s="71">
        <f>F290+F300+F305+F316+F321</f>
        <v>327.91963040627451</v>
      </c>
      <c r="G323" s="71">
        <f t="shared" ref="G323:O323" si="67">G290+G300+G305+G316+G321</f>
        <v>310.03396833784313</v>
      </c>
      <c r="H323" s="71">
        <f t="shared" si="67"/>
        <v>328.14844964872736</v>
      </c>
      <c r="I323" s="71">
        <f t="shared" si="67"/>
        <v>310.26307577272058</v>
      </c>
      <c r="J323" s="71">
        <f t="shared" si="67"/>
        <v>328.37784815795368</v>
      </c>
      <c r="K323" s="71">
        <f t="shared" si="67"/>
        <v>310.49276826703914</v>
      </c>
      <c r="L323" s="71">
        <f t="shared" si="67"/>
        <v>328.50783757721541</v>
      </c>
      <c r="M323" s="71">
        <f t="shared" si="67"/>
        <v>310.62305758049342</v>
      </c>
      <c r="N323" s="71">
        <f t="shared" si="67"/>
        <v>328.73842978380429</v>
      </c>
      <c r="O323" s="71">
        <f t="shared" si="67"/>
        <v>310.85395570914818</v>
      </c>
      <c r="P323" s="3"/>
      <c r="Q323" s="3"/>
      <c r="R323" s="3"/>
      <c r="S323" s="3"/>
      <c r="T323" s="3"/>
      <c r="U323" s="3"/>
      <c r="V323" s="3"/>
      <c r="W323" s="3"/>
      <c r="X323" s="3"/>
      <c r="Y323" s="3"/>
      <c r="Z323" s="3"/>
    </row>
    <row r="324" spans="1:26" ht="12.75" x14ac:dyDescent="0.2">
      <c r="A324" s="3"/>
      <c r="B324" s="43"/>
      <c r="C324" s="43"/>
      <c r="D324" s="43"/>
      <c r="E324" s="43"/>
      <c r="F324" s="43"/>
      <c r="G324" s="43"/>
      <c r="H324" s="43"/>
      <c r="I324" s="43"/>
      <c r="J324" s="43"/>
      <c r="K324" s="43"/>
      <c r="L324" s="43"/>
      <c r="M324" s="43"/>
      <c r="N324" s="43"/>
      <c r="O324" s="43"/>
      <c r="P324" s="3"/>
      <c r="Q324" s="3"/>
      <c r="R324" s="3"/>
      <c r="S324" s="3"/>
      <c r="T324" s="3"/>
      <c r="U324" s="3"/>
      <c r="V324" s="3"/>
      <c r="W324" s="3"/>
      <c r="X324" s="3"/>
      <c r="Y324" s="3"/>
      <c r="Z324" s="3"/>
    </row>
    <row r="325" spans="1:26" ht="12.75" x14ac:dyDescent="0.2">
      <c r="A325" s="3"/>
      <c r="C325" s="72" t="s">
        <v>238</v>
      </c>
      <c r="D325" s="70"/>
      <c r="E325" s="70"/>
      <c r="F325" s="73">
        <f t="shared" ref="F325:O325" si="68">F285-F323</f>
        <v>-55.603075406274513</v>
      </c>
      <c r="G325" s="73">
        <f t="shared" si="68"/>
        <v>-34.994247787843165</v>
      </c>
      <c r="H325" s="73">
        <f t="shared" si="68"/>
        <v>-50.35833189322733</v>
      </c>
      <c r="I325" s="73">
        <f t="shared" si="68"/>
        <v>-29.695056839665597</v>
      </c>
      <c r="J325" s="73">
        <f t="shared" si="68"/>
        <v>-45.004149035568162</v>
      </c>
      <c r="K325" s="73">
        <f t="shared" si="68"/>
        <v>-24.285332153429692</v>
      </c>
      <c r="L325" s="73">
        <f t="shared" si="68"/>
        <v>-39.438327102469941</v>
      </c>
      <c r="M325" s="73">
        <f t="shared" si="68"/>
        <v>-18.662852001000488</v>
      </c>
      <c r="N325" s="73">
        <f t="shared" si="68"/>
        <v>-33.858622148516474</v>
      </c>
      <c r="O325" s="73">
        <f t="shared" si="68"/>
        <v>-13.025349997507419</v>
      </c>
      <c r="P325" s="3"/>
      <c r="Q325" s="3"/>
      <c r="R325" s="3"/>
      <c r="S325" s="3"/>
      <c r="T325" s="3"/>
      <c r="U325" s="3"/>
      <c r="V325" s="3"/>
      <c r="W325" s="3"/>
      <c r="X325" s="3"/>
      <c r="Y325" s="3"/>
      <c r="Z325" s="3"/>
    </row>
    <row r="326" spans="1:26" ht="12.75" x14ac:dyDescent="0.2">
      <c r="A326" s="3"/>
      <c r="B326" s="3"/>
      <c r="C326" s="3"/>
      <c r="D326" s="3"/>
      <c r="E326" s="3"/>
      <c r="F326" s="28"/>
      <c r="G326" s="3"/>
      <c r="H326" s="3"/>
      <c r="I326" s="3"/>
      <c r="J326" s="3"/>
      <c r="K326" s="3"/>
      <c r="L326" s="3"/>
      <c r="M326" s="3"/>
      <c r="N326" s="3"/>
      <c r="O326" s="3"/>
      <c r="P326" s="3"/>
      <c r="Q326" s="3"/>
      <c r="R326" s="3"/>
      <c r="S326" s="3"/>
      <c r="T326" s="3"/>
      <c r="U326" s="3"/>
      <c r="V326" s="3"/>
      <c r="W326" s="3"/>
      <c r="X326" s="3"/>
      <c r="Y326" s="3"/>
      <c r="Z326" s="3"/>
    </row>
    <row r="327" spans="1:26" ht="12.75" x14ac:dyDescent="0.2">
      <c r="A327" s="3"/>
      <c r="B327" s="567" t="s">
        <v>237</v>
      </c>
      <c r="C327" s="33"/>
      <c r="D327" s="33"/>
      <c r="E327" s="33"/>
      <c r="F327" s="33"/>
      <c r="G327" s="33"/>
      <c r="H327" s="33"/>
      <c r="I327" s="33"/>
      <c r="J327" s="33"/>
      <c r="K327" s="33"/>
      <c r="L327" s="33"/>
      <c r="M327" s="33"/>
      <c r="N327" s="33"/>
      <c r="O327" s="33"/>
      <c r="P327" s="3"/>
      <c r="Q327" s="3"/>
      <c r="R327" s="3"/>
      <c r="S327" s="3"/>
      <c r="T327" s="3"/>
      <c r="U327" s="3"/>
      <c r="V327" s="3"/>
      <c r="W327" s="3"/>
      <c r="X327" s="3"/>
      <c r="Y327" s="3"/>
      <c r="Z327" s="3"/>
    </row>
    <row r="328" spans="1:26" ht="12.75" x14ac:dyDescent="0.2">
      <c r="A328" s="3"/>
      <c r="C328" s="64" t="s">
        <v>222</v>
      </c>
      <c r="D328" s="33"/>
      <c r="E328" s="33"/>
      <c r="F328" s="33"/>
      <c r="G328" s="33"/>
      <c r="H328" s="33"/>
      <c r="I328" s="33"/>
      <c r="J328" s="33"/>
      <c r="K328" s="33"/>
      <c r="L328" s="33"/>
      <c r="M328" s="33"/>
      <c r="N328" s="33"/>
      <c r="O328" s="33"/>
      <c r="P328" s="3"/>
      <c r="Q328" s="3"/>
      <c r="R328" s="3"/>
      <c r="S328" s="3"/>
      <c r="T328" s="3"/>
      <c r="U328" s="3"/>
      <c r="V328" s="3"/>
      <c r="W328" s="3"/>
      <c r="X328" s="3"/>
      <c r="Y328" s="3"/>
      <c r="Z328" s="3"/>
    </row>
    <row r="329" spans="1:26" ht="12.75" x14ac:dyDescent="0.2">
      <c r="A329" s="3"/>
      <c r="B329" s="33"/>
      <c r="C329" s="781" t="s">
        <v>195</v>
      </c>
      <c r="D329" s="33"/>
      <c r="E329" s="33"/>
      <c r="F329" s="39">
        <f>F198/F$123</f>
        <v>601.93871999999999</v>
      </c>
      <c r="G329" s="39">
        <f>G198/G$123</f>
        <v>632.03565600000013</v>
      </c>
      <c r="H329" s="39">
        <f>H198/H$123</f>
        <v>663.63743880000004</v>
      </c>
      <c r="I329" s="39">
        <f>I198/I$123</f>
        <v>696.81931074000011</v>
      </c>
      <c r="J329" s="39">
        <f>J198/J$123</f>
        <v>731.66027627700021</v>
      </c>
      <c r="K329" s="39">
        <f>K198/K$123</f>
        <v>759.45446226260015</v>
      </c>
      <c r="L329" s="39">
        <f>L198/L$123</f>
        <v>767.39700000000005</v>
      </c>
      <c r="M329" s="39">
        <f>M198/M$123</f>
        <v>767.39700000000005</v>
      </c>
      <c r="N329" s="39">
        <f>N198/N$123</f>
        <v>767.39700000000005</v>
      </c>
      <c r="O329" s="39">
        <f>O198/O$123</f>
        <v>767.39700000000005</v>
      </c>
      <c r="P329" s="3"/>
      <c r="Q329" s="3"/>
      <c r="R329" s="3"/>
      <c r="S329" s="3"/>
      <c r="T329" s="3"/>
      <c r="U329" s="3"/>
      <c r="V329" s="3"/>
      <c r="W329" s="3"/>
      <c r="X329" s="3"/>
      <c r="Y329" s="3"/>
      <c r="Z329" s="3"/>
    </row>
    <row r="330" spans="1:26" ht="12.75" x14ac:dyDescent="0.2">
      <c r="A330" s="3"/>
      <c r="B330" s="33"/>
      <c r="C330" s="27" t="s">
        <v>231</v>
      </c>
      <c r="D330" s="33"/>
      <c r="E330" s="33"/>
      <c r="F330" s="39">
        <f>F199/F$123</f>
        <v>131.09461200000001</v>
      </c>
      <c r="G330" s="39">
        <f>G199/G$123</f>
        <v>122.35497120000004</v>
      </c>
      <c r="H330" s="39">
        <f>H199/H$123</f>
        <v>112.41362979</v>
      </c>
      <c r="I330" s="39">
        <f>I199/I$123</f>
        <v>101.17226681100001</v>
      </c>
      <c r="J330" s="39">
        <f>J199/J$123</f>
        <v>106.23088015155001</v>
      </c>
      <c r="K330" s="39">
        <f>K199/K$123</f>
        <v>110.26636073739002</v>
      </c>
      <c r="L330" s="39">
        <f>L199/L$123</f>
        <v>111.41954999999999</v>
      </c>
      <c r="M330" s="39">
        <f>M199/M$123</f>
        <v>111.41954999999999</v>
      </c>
      <c r="N330" s="39">
        <f>N199/N$123</f>
        <v>111.41954999999999</v>
      </c>
      <c r="O330" s="39">
        <f>O199/O$123</f>
        <v>111.41954999999999</v>
      </c>
      <c r="P330" s="3"/>
      <c r="Q330" s="3"/>
      <c r="R330" s="3"/>
      <c r="S330" s="3"/>
      <c r="T330" s="3"/>
      <c r="U330" s="3"/>
      <c r="V330" s="3"/>
      <c r="W330" s="3"/>
      <c r="X330" s="3"/>
      <c r="Y330" s="3"/>
      <c r="Z330" s="3"/>
    </row>
    <row r="331" spans="1:26" ht="12.75" x14ac:dyDescent="0.2">
      <c r="A331" s="3"/>
      <c r="B331" s="33"/>
      <c r="C331" s="559" t="s">
        <v>1035</v>
      </c>
      <c r="D331" s="36"/>
      <c r="E331" s="36"/>
      <c r="F331" s="59">
        <f>F329-F330</f>
        <v>470.84410800000001</v>
      </c>
      <c r="G331" s="59">
        <f t="shared" ref="G331:O331" si="69">G329-G330</f>
        <v>509.68068480000011</v>
      </c>
      <c r="H331" s="59">
        <f t="shared" si="69"/>
        <v>551.22380901000008</v>
      </c>
      <c r="I331" s="59">
        <f t="shared" si="69"/>
        <v>595.64704392900012</v>
      </c>
      <c r="J331" s="59">
        <f t="shared" si="69"/>
        <v>625.42939612545024</v>
      </c>
      <c r="K331" s="59">
        <f t="shared" si="69"/>
        <v>649.18810152521019</v>
      </c>
      <c r="L331" s="59">
        <f t="shared" si="69"/>
        <v>655.97745000000009</v>
      </c>
      <c r="M331" s="59">
        <f t="shared" si="69"/>
        <v>655.97745000000009</v>
      </c>
      <c r="N331" s="59">
        <f t="shared" si="69"/>
        <v>655.97745000000009</v>
      </c>
      <c r="O331" s="59">
        <f t="shared" si="69"/>
        <v>655.97745000000009</v>
      </c>
      <c r="P331" s="3"/>
      <c r="Q331" s="3"/>
      <c r="R331" s="3"/>
      <c r="S331" s="3"/>
      <c r="T331" s="3"/>
      <c r="U331" s="3"/>
      <c r="V331" s="3"/>
      <c r="W331" s="3"/>
      <c r="X331" s="3"/>
      <c r="Y331" s="3"/>
      <c r="Z331" s="3"/>
    </row>
    <row r="332" spans="1:26" ht="12.75" x14ac:dyDescent="0.2">
      <c r="A332" s="3"/>
      <c r="B332" s="33"/>
      <c r="C332" s="27"/>
      <c r="D332" s="33"/>
      <c r="E332" s="33"/>
      <c r="F332" s="37"/>
      <c r="G332" s="37"/>
      <c r="H332" s="37"/>
      <c r="I332" s="37"/>
      <c r="J332" s="37"/>
      <c r="K332" s="37"/>
      <c r="L332" s="37"/>
      <c r="M332" s="37"/>
      <c r="N332" s="37"/>
      <c r="O332" s="37"/>
      <c r="P332" s="3"/>
      <c r="Q332" s="3"/>
      <c r="R332" s="3"/>
      <c r="S332" s="3"/>
      <c r="T332" s="3"/>
      <c r="U332" s="3"/>
      <c r="V332" s="3"/>
      <c r="W332" s="3"/>
      <c r="X332" s="3"/>
      <c r="Y332" s="3"/>
      <c r="Z332" s="3"/>
    </row>
    <row r="333" spans="1:26" ht="12.75" x14ac:dyDescent="0.2">
      <c r="A333" s="3"/>
      <c r="B333" s="33"/>
      <c r="C333" s="34" t="s">
        <v>266</v>
      </c>
      <c r="D333" s="33"/>
      <c r="E333" s="33"/>
      <c r="F333" s="37"/>
      <c r="G333" s="37"/>
      <c r="H333" s="37"/>
      <c r="I333" s="37"/>
      <c r="J333" s="37"/>
      <c r="K333" s="37"/>
      <c r="L333" s="37"/>
      <c r="M333" s="37"/>
      <c r="N333" s="37"/>
      <c r="O333" s="37"/>
      <c r="P333" s="3"/>
      <c r="Q333" s="3"/>
      <c r="R333" s="3"/>
      <c r="S333" s="3"/>
      <c r="T333" s="3"/>
      <c r="U333" s="3"/>
      <c r="V333" s="3"/>
      <c r="W333" s="3"/>
      <c r="X333" s="3"/>
      <c r="Y333" s="3"/>
      <c r="Z333" s="3"/>
    </row>
    <row r="334" spans="1:26" ht="12.75" x14ac:dyDescent="0.2">
      <c r="A334" s="3"/>
      <c r="B334" s="33"/>
      <c r="C334" s="35" t="s">
        <v>267</v>
      </c>
      <c r="D334" s="33"/>
      <c r="E334" s="33"/>
      <c r="F334" s="39">
        <f>$I$98/1000</f>
        <v>130</v>
      </c>
      <c r="G334" s="39">
        <f t="shared" ref="G334:O334" si="70">$I$98/1000</f>
        <v>130</v>
      </c>
      <c r="H334" s="39">
        <f t="shared" si="70"/>
        <v>130</v>
      </c>
      <c r="I334" s="39">
        <f t="shared" si="70"/>
        <v>130</v>
      </c>
      <c r="J334" s="39">
        <f t="shared" si="70"/>
        <v>130</v>
      </c>
      <c r="K334" s="39">
        <f t="shared" si="70"/>
        <v>130</v>
      </c>
      <c r="L334" s="39">
        <f t="shared" si="70"/>
        <v>130</v>
      </c>
      <c r="M334" s="39">
        <f t="shared" si="70"/>
        <v>130</v>
      </c>
      <c r="N334" s="39">
        <f t="shared" si="70"/>
        <v>130</v>
      </c>
      <c r="O334" s="39">
        <f t="shared" si="70"/>
        <v>130</v>
      </c>
      <c r="P334" s="3"/>
      <c r="Q334" s="3"/>
      <c r="R334" s="3"/>
      <c r="S334" s="3"/>
      <c r="T334" s="3"/>
      <c r="U334" s="3"/>
      <c r="V334" s="3"/>
      <c r="W334" s="3"/>
      <c r="X334" s="3"/>
      <c r="Y334" s="3"/>
      <c r="Z334" s="3"/>
    </row>
    <row r="335" spans="1:26" ht="12.75" x14ac:dyDescent="0.2">
      <c r="A335" s="3"/>
      <c r="B335" s="33"/>
      <c r="C335" s="35" t="s">
        <v>138</v>
      </c>
      <c r="D335" s="33"/>
      <c r="E335" s="33"/>
      <c r="F335" s="39">
        <f>$I$94/1000</f>
        <v>0</v>
      </c>
      <c r="G335" s="39">
        <f t="shared" ref="G335:O335" si="71">$I$94/1000</f>
        <v>0</v>
      </c>
      <c r="H335" s="39">
        <f t="shared" si="71"/>
        <v>0</v>
      </c>
      <c r="I335" s="39">
        <f t="shared" si="71"/>
        <v>0</v>
      </c>
      <c r="J335" s="39">
        <f t="shared" si="71"/>
        <v>0</v>
      </c>
      <c r="K335" s="39">
        <f t="shared" si="71"/>
        <v>0</v>
      </c>
      <c r="L335" s="39">
        <f t="shared" si="71"/>
        <v>0</v>
      </c>
      <c r="M335" s="39">
        <f t="shared" si="71"/>
        <v>0</v>
      </c>
      <c r="N335" s="39">
        <f t="shared" si="71"/>
        <v>0</v>
      </c>
      <c r="O335" s="39">
        <f t="shared" si="71"/>
        <v>0</v>
      </c>
      <c r="P335" s="3"/>
      <c r="Q335" s="3"/>
      <c r="R335" s="3"/>
      <c r="S335" s="3"/>
      <c r="T335" s="3"/>
      <c r="U335" s="3"/>
      <c r="V335" s="3"/>
      <c r="W335" s="3"/>
      <c r="X335" s="3"/>
      <c r="Y335" s="3"/>
      <c r="Z335" s="3"/>
    </row>
    <row r="336" spans="1:26" ht="12.75" x14ac:dyDescent="0.2">
      <c r="A336" s="3"/>
      <c r="B336" s="33"/>
      <c r="C336" s="558" t="s">
        <v>843</v>
      </c>
      <c r="D336" s="33"/>
      <c r="E336" s="33"/>
      <c r="F336" s="39"/>
      <c r="G336" s="39"/>
      <c r="H336" s="39"/>
      <c r="I336" s="39"/>
      <c r="J336" s="39"/>
      <c r="K336" s="39"/>
      <c r="L336" s="39"/>
      <c r="M336" s="39"/>
      <c r="N336" s="39"/>
      <c r="O336" s="39">
        <f>O154*ROUNDUP($I$25,0)</f>
        <v>0</v>
      </c>
      <c r="P336" s="3"/>
      <c r="Q336" s="3"/>
      <c r="R336" s="3"/>
      <c r="S336" s="3"/>
      <c r="T336" s="3"/>
      <c r="U336" s="3"/>
      <c r="V336" s="3"/>
      <c r="W336" s="3"/>
      <c r="X336" s="3"/>
      <c r="Y336" s="3"/>
      <c r="Z336" s="3"/>
    </row>
    <row r="337" spans="1:26" ht="12.75" x14ac:dyDescent="0.2">
      <c r="A337" s="3"/>
      <c r="B337" s="33"/>
      <c r="C337" s="36" t="s">
        <v>247</v>
      </c>
      <c r="D337" s="36"/>
      <c r="E337" s="36"/>
      <c r="F337" s="40">
        <f>SUM(F334:F336)</f>
        <v>130</v>
      </c>
      <c r="G337" s="40">
        <f t="shared" ref="G337:O337" si="72">SUM(G334:G336)</f>
        <v>130</v>
      </c>
      <c r="H337" s="40">
        <f t="shared" si="72"/>
        <v>130</v>
      </c>
      <c r="I337" s="40">
        <f t="shared" si="72"/>
        <v>130</v>
      </c>
      <c r="J337" s="40">
        <f t="shared" si="72"/>
        <v>130</v>
      </c>
      <c r="K337" s="40">
        <f t="shared" si="72"/>
        <v>130</v>
      </c>
      <c r="L337" s="40">
        <f t="shared" si="72"/>
        <v>130</v>
      </c>
      <c r="M337" s="40">
        <f t="shared" si="72"/>
        <v>130</v>
      </c>
      <c r="N337" s="40">
        <f t="shared" si="72"/>
        <v>130</v>
      </c>
      <c r="O337" s="40">
        <f t="shared" si="72"/>
        <v>130</v>
      </c>
      <c r="P337" s="3"/>
      <c r="Q337" s="3"/>
      <c r="R337" s="3"/>
      <c r="S337" s="3"/>
      <c r="T337" s="3"/>
      <c r="U337" s="3"/>
      <c r="V337" s="3"/>
      <c r="W337" s="3"/>
      <c r="X337" s="3"/>
      <c r="Y337" s="3"/>
      <c r="Z337" s="3"/>
    </row>
    <row r="338" spans="1:26" ht="12.75" x14ac:dyDescent="0.2">
      <c r="A338" s="3"/>
      <c r="B338" s="33"/>
      <c r="C338" s="27"/>
      <c r="D338" s="33"/>
      <c r="E338" s="33"/>
      <c r="F338" s="37"/>
      <c r="G338" s="37"/>
      <c r="H338" s="37"/>
      <c r="I338" s="37"/>
      <c r="J338" s="37"/>
      <c r="K338" s="37"/>
      <c r="L338" s="37"/>
      <c r="M338" s="37"/>
      <c r="N338" s="37"/>
      <c r="O338" s="37"/>
      <c r="P338" s="3"/>
      <c r="Q338" s="3"/>
      <c r="R338" s="3"/>
      <c r="S338" s="3"/>
      <c r="T338" s="3"/>
      <c r="U338" s="3"/>
      <c r="V338" s="3"/>
      <c r="W338" s="3"/>
      <c r="X338" s="3"/>
      <c r="Y338" s="3"/>
      <c r="Z338" s="3"/>
    </row>
    <row r="339" spans="1:26" ht="12.75" x14ac:dyDescent="0.2">
      <c r="A339" s="3"/>
      <c r="B339" s="33"/>
      <c r="C339" s="66" t="s">
        <v>230</v>
      </c>
      <c r="D339" s="66"/>
      <c r="E339" s="66"/>
      <c r="F339" s="67">
        <f>F331+F337</f>
        <v>600.84410800000001</v>
      </c>
      <c r="G339" s="67">
        <f t="shared" ref="G339:O339" si="73">G331+G337</f>
        <v>639.68068480000011</v>
      </c>
      <c r="H339" s="67">
        <f t="shared" si="73"/>
        <v>681.22380901000008</v>
      </c>
      <c r="I339" s="67">
        <f t="shared" si="73"/>
        <v>725.64704392900012</v>
      </c>
      <c r="J339" s="67">
        <f t="shared" si="73"/>
        <v>755.42939612545024</v>
      </c>
      <c r="K339" s="67">
        <f t="shared" si="73"/>
        <v>779.18810152521019</v>
      </c>
      <c r="L339" s="67">
        <f t="shared" si="73"/>
        <v>785.97745000000009</v>
      </c>
      <c r="M339" s="67">
        <f t="shared" si="73"/>
        <v>785.97745000000009</v>
      </c>
      <c r="N339" s="67">
        <f t="shared" si="73"/>
        <v>785.97745000000009</v>
      </c>
      <c r="O339" s="67">
        <f t="shared" si="73"/>
        <v>785.97745000000009</v>
      </c>
      <c r="P339" s="3"/>
      <c r="Q339" s="3"/>
      <c r="R339" s="3"/>
      <c r="S339" s="3"/>
      <c r="T339" s="3"/>
      <c r="U339" s="3"/>
      <c r="V339" s="3"/>
      <c r="W339" s="3"/>
      <c r="X339" s="3"/>
      <c r="Y339" s="3"/>
      <c r="Z339" s="3"/>
    </row>
    <row r="340" spans="1:26" ht="12.75" x14ac:dyDescent="0.2">
      <c r="A340" s="3"/>
      <c r="B340" s="33"/>
      <c r="C340" s="33"/>
      <c r="D340" s="33"/>
      <c r="E340" s="33"/>
      <c r="F340" s="33"/>
      <c r="G340" s="33"/>
      <c r="H340" s="33"/>
      <c r="I340" s="33"/>
      <c r="J340" s="33"/>
      <c r="K340" s="33"/>
      <c r="L340" s="33"/>
      <c r="M340" s="33"/>
      <c r="N340" s="33"/>
      <c r="O340" s="33"/>
      <c r="P340" s="3"/>
      <c r="Q340" s="3"/>
      <c r="R340" s="3"/>
      <c r="S340" s="3"/>
      <c r="T340" s="3"/>
      <c r="U340" s="3"/>
      <c r="V340" s="3"/>
      <c r="W340" s="3"/>
      <c r="X340" s="3"/>
      <c r="Y340" s="3"/>
      <c r="Z340" s="3"/>
    </row>
    <row r="341" spans="1:26" ht="12.75" x14ac:dyDescent="0.2">
      <c r="A341" s="3"/>
      <c r="C341" s="64" t="s">
        <v>235</v>
      </c>
      <c r="D341" s="33"/>
      <c r="E341" s="33"/>
      <c r="F341" s="33"/>
      <c r="G341" s="33"/>
      <c r="H341" s="33"/>
      <c r="I341" s="33"/>
      <c r="J341" s="33"/>
      <c r="K341" s="33"/>
      <c r="L341" s="33"/>
      <c r="M341" s="33"/>
      <c r="N341" s="33"/>
      <c r="O341" s="33"/>
      <c r="P341" s="3"/>
      <c r="Q341" s="3"/>
      <c r="R341" s="3"/>
      <c r="S341" s="3"/>
      <c r="T341" s="3"/>
      <c r="U341" s="3"/>
      <c r="V341" s="3"/>
      <c r="W341" s="3"/>
      <c r="X341" s="3"/>
      <c r="Y341" s="3"/>
      <c r="Z341" s="3"/>
    </row>
    <row r="342" spans="1:26" ht="12.75" x14ac:dyDescent="0.2">
      <c r="A342" s="3"/>
      <c r="B342" s="64"/>
      <c r="C342" s="34" t="s">
        <v>144</v>
      </c>
      <c r="D342" s="33"/>
      <c r="E342" s="33"/>
      <c r="F342" s="33"/>
      <c r="G342" s="33"/>
      <c r="H342" s="33"/>
      <c r="I342" s="33"/>
      <c r="J342" s="33"/>
      <c r="K342" s="33"/>
      <c r="L342" s="33"/>
      <c r="M342" s="33"/>
      <c r="N342" s="33"/>
      <c r="O342" s="33"/>
      <c r="P342" s="3"/>
      <c r="Q342" s="3"/>
      <c r="R342" s="3"/>
      <c r="S342" s="3"/>
      <c r="T342" s="3"/>
      <c r="U342" s="3"/>
      <c r="V342" s="3"/>
      <c r="W342" s="3"/>
      <c r="X342" s="3"/>
      <c r="Y342" s="3"/>
      <c r="Z342" s="3"/>
    </row>
    <row r="343" spans="1:26" ht="12.75" x14ac:dyDescent="0.2">
      <c r="A343" s="3"/>
      <c r="B343" s="64"/>
      <c r="C343" s="35" t="s">
        <v>245</v>
      </c>
      <c r="D343" s="33"/>
      <c r="E343" s="33"/>
      <c r="F343" s="39">
        <f>$I$98*(1+$I$99)/1000</f>
        <v>142.99990341335402</v>
      </c>
      <c r="G343" s="39">
        <f t="shared" ref="G343:O343" si="74">$I$98*(1+$I$99)/1000</f>
        <v>142.99990341335402</v>
      </c>
      <c r="H343" s="39">
        <f t="shared" si="74"/>
        <v>142.99990341335402</v>
      </c>
      <c r="I343" s="39">
        <f t="shared" si="74"/>
        <v>142.99990341335402</v>
      </c>
      <c r="J343" s="39">
        <f t="shared" si="74"/>
        <v>142.99990341335402</v>
      </c>
      <c r="K343" s="39">
        <f t="shared" si="74"/>
        <v>142.99990341335402</v>
      </c>
      <c r="L343" s="39">
        <f t="shared" si="74"/>
        <v>142.99990341335402</v>
      </c>
      <c r="M343" s="39">
        <f t="shared" si="74"/>
        <v>142.99990341335402</v>
      </c>
      <c r="N343" s="39">
        <f t="shared" si="74"/>
        <v>142.99990341335402</v>
      </c>
      <c r="O343" s="39">
        <f t="shared" si="74"/>
        <v>142.99990341335402</v>
      </c>
      <c r="P343" s="3"/>
      <c r="Q343" s="28"/>
      <c r="R343" s="3"/>
      <c r="S343" s="3"/>
      <c r="T343" s="3"/>
      <c r="U343" s="3"/>
      <c r="V343" s="3"/>
      <c r="W343" s="3"/>
      <c r="X343" s="3"/>
      <c r="Y343" s="3"/>
      <c r="Z343" s="3"/>
    </row>
    <row r="344" spans="1:26" ht="12.75" x14ac:dyDescent="0.2">
      <c r="A344" s="3"/>
      <c r="B344" s="64"/>
      <c r="C344" s="36" t="s">
        <v>245</v>
      </c>
      <c r="D344" s="36"/>
      <c r="E344" s="36"/>
      <c r="F344" s="76">
        <f>F343</f>
        <v>142.99990341335402</v>
      </c>
      <c r="G344" s="76">
        <f t="shared" ref="G344:O344" si="75">G343</f>
        <v>142.99990341335402</v>
      </c>
      <c r="H344" s="76">
        <f t="shared" si="75"/>
        <v>142.99990341335402</v>
      </c>
      <c r="I344" s="76">
        <f t="shared" si="75"/>
        <v>142.99990341335402</v>
      </c>
      <c r="J344" s="76">
        <f t="shared" si="75"/>
        <v>142.99990341335402</v>
      </c>
      <c r="K344" s="76">
        <f t="shared" si="75"/>
        <v>142.99990341335402</v>
      </c>
      <c r="L344" s="76">
        <f t="shared" si="75"/>
        <v>142.99990341335402</v>
      </c>
      <c r="M344" s="76">
        <f t="shared" si="75"/>
        <v>142.99990341335402</v>
      </c>
      <c r="N344" s="76">
        <f t="shared" si="75"/>
        <v>142.99990341335402</v>
      </c>
      <c r="O344" s="76">
        <f t="shared" si="75"/>
        <v>142.99990341335402</v>
      </c>
      <c r="P344" s="3"/>
      <c r="Q344" s="28"/>
      <c r="R344" s="3"/>
      <c r="S344" s="3"/>
      <c r="T344" s="3"/>
      <c r="U344" s="3"/>
      <c r="V344" s="3"/>
      <c r="W344" s="3"/>
      <c r="X344" s="3"/>
      <c r="Y344" s="3"/>
      <c r="Z344" s="3"/>
    </row>
    <row r="345" spans="1:26" ht="12.75" x14ac:dyDescent="0.2">
      <c r="A345" s="3"/>
      <c r="B345" s="64"/>
      <c r="C345" s="64"/>
      <c r="D345" s="33"/>
      <c r="E345" s="33"/>
      <c r="F345" s="33"/>
      <c r="G345" s="33"/>
      <c r="H345" s="33"/>
      <c r="I345" s="33"/>
      <c r="J345" s="33"/>
      <c r="K345" s="33"/>
      <c r="L345" s="33"/>
      <c r="M345" s="33"/>
      <c r="N345" s="33"/>
      <c r="O345" s="33"/>
      <c r="P345" s="3"/>
      <c r="Q345" s="3"/>
      <c r="R345" s="3"/>
      <c r="S345" s="3"/>
      <c r="T345" s="3"/>
      <c r="U345" s="3"/>
      <c r="V345" s="3"/>
      <c r="W345" s="3"/>
      <c r="X345" s="3"/>
      <c r="Y345" s="3"/>
      <c r="Z345" s="3"/>
    </row>
    <row r="346" spans="1:26" ht="12.75" x14ac:dyDescent="0.2">
      <c r="A346" s="3"/>
      <c r="B346" s="33"/>
      <c r="C346" s="34" t="s">
        <v>218</v>
      </c>
      <c r="D346" s="33"/>
      <c r="E346" s="33"/>
      <c r="F346" s="33"/>
      <c r="G346" s="33"/>
      <c r="H346" s="33"/>
      <c r="I346" s="33"/>
      <c r="J346" s="33"/>
      <c r="K346" s="33"/>
      <c r="L346" s="33"/>
      <c r="M346" s="33"/>
      <c r="N346" s="33"/>
      <c r="O346" s="33"/>
      <c r="P346" s="3"/>
      <c r="Q346" s="3"/>
      <c r="R346" s="3"/>
      <c r="S346" s="3"/>
      <c r="T346" s="3"/>
      <c r="U346" s="3"/>
      <c r="V346" s="3"/>
      <c r="W346" s="3"/>
      <c r="X346" s="3"/>
      <c r="Y346" s="3"/>
      <c r="Z346" s="3"/>
    </row>
    <row r="347" spans="1:26" ht="12.75" x14ac:dyDescent="0.2">
      <c r="A347" s="3"/>
      <c r="B347" s="33"/>
      <c r="C347" s="94" t="s">
        <v>272</v>
      </c>
      <c r="D347" s="33"/>
      <c r="E347" s="33"/>
      <c r="F347" s="39">
        <f>F239/F$123</f>
        <v>29.42</v>
      </c>
      <c r="G347" s="39">
        <f>G239/G$123</f>
        <v>29.42</v>
      </c>
      <c r="H347" s="39">
        <f>H239/H$123</f>
        <v>29.42</v>
      </c>
      <c r="I347" s="39">
        <f>I239/I$123</f>
        <v>29.419999999999998</v>
      </c>
      <c r="J347" s="39">
        <f>J239/J$123</f>
        <v>29.419999999999998</v>
      </c>
      <c r="K347" s="39">
        <f>K239/K$123</f>
        <v>29.42</v>
      </c>
      <c r="L347" s="39">
        <f>L239/L$123</f>
        <v>29.42</v>
      </c>
      <c r="M347" s="39">
        <f>M239/M$123</f>
        <v>29.419999999999998</v>
      </c>
      <c r="N347" s="39">
        <f>N239/N$123</f>
        <v>29.419999999999998</v>
      </c>
      <c r="O347" s="39">
        <f>O239/O$123</f>
        <v>29.419999999999998</v>
      </c>
      <c r="P347" s="3"/>
      <c r="Q347" s="3"/>
      <c r="R347" s="3"/>
      <c r="S347" s="3"/>
      <c r="T347" s="3"/>
      <c r="U347" s="3"/>
      <c r="V347" s="3"/>
      <c r="W347" s="3"/>
      <c r="X347" s="3"/>
      <c r="Y347" s="3"/>
      <c r="Z347" s="3"/>
    </row>
    <row r="348" spans="1:26" ht="12.75" x14ac:dyDescent="0.2">
      <c r="A348" s="3"/>
      <c r="B348" s="33"/>
      <c r="C348" s="94" t="s">
        <v>273</v>
      </c>
      <c r="D348" s="33"/>
      <c r="E348" s="33"/>
      <c r="F348" s="39">
        <f>F240/F$123</f>
        <v>44.6</v>
      </c>
      <c r="G348" s="39">
        <f>G240/G$123</f>
        <v>44.600000000000009</v>
      </c>
      <c r="H348" s="39">
        <f>H240/H$123</f>
        <v>44.6</v>
      </c>
      <c r="I348" s="39">
        <f>I240/I$123</f>
        <v>44.6</v>
      </c>
      <c r="J348" s="39">
        <f>J240/J$123</f>
        <v>44.6</v>
      </c>
      <c r="K348" s="39">
        <f>K240/K$123</f>
        <v>44.6</v>
      </c>
      <c r="L348" s="39">
        <f>L240/L$123</f>
        <v>44.6</v>
      </c>
      <c r="M348" s="39">
        <f>M240/M$123</f>
        <v>44.6</v>
      </c>
      <c r="N348" s="39">
        <f>N240/N$123</f>
        <v>44.6</v>
      </c>
      <c r="O348" s="39">
        <f>O240/O$123</f>
        <v>44.6</v>
      </c>
      <c r="P348" s="3"/>
      <c r="Q348" s="3"/>
      <c r="R348" s="3"/>
      <c r="S348" s="3"/>
      <c r="T348" s="3"/>
      <c r="U348" s="3"/>
      <c r="V348" s="3"/>
      <c r="W348" s="3"/>
      <c r="X348" s="3"/>
      <c r="Y348" s="3"/>
      <c r="Z348" s="3"/>
    </row>
    <row r="349" spans="1:26" ht="12.75" x14ac:dyDescent="0.2">
      <c r="A349" s="3"/>
      <c r="B349" s="33"/>
      <c r="C349" s="94" t="s">
        <v>274</v>
      </c>
      <c r="D349" s="33"/>
      <c r="E349" s="33"/>
      <c r="F349" s="39">
        <f>F241/F$123</f>
        <v>59.65</v>
      </c>
      <c r="G349" s="39">
        <f>G241/G$123</f>
        <v>59.649999999999991</v>
      </c>
      <c r="H349" s="39">
        <f>H241/H$123</f>
        <v>59.650000000000006</v>
      </c>
      <c r="I349" s="39">
        <f>I241/I$123</f>
        <v>59.65</v>
      </c>
      <c r="J349" s="39">
        <f>J241/J$123</f>
        <v>59.650000000000006</v>
      </c>
      <c r="K349" s="39">
        <f>K241/K$123</f>
        <v>59.65</v>
      </c>
      <c r="L349" s="39">
        <f>L241/L$123</f>
        <v>59.649999999999991</v>
      </c>
      <c r="M349" s="39">
        <f>M241/M$123</f>
        <v>59.65</v>
      </c>
      <c r="N349" s="39">
        <f>N241/N$123</f>
        <v>59.649999999999991</v>
      </c>
      <c r="O349" s="39">
        <f>O241/O$123</f>
        <v>59.65</v>
      </c>
      <c r="P349" s="3"/>
      <c r="Q349" s="3"/>
      <c r="R349" s="3"/>
      <c r="S349" s="3"/>
      <c r="T349" s="3"/>
      <c r="U349" s="3"/>
      <c r="V349" s="3"/>
      <c r="W349" s="3"/>
      <c r="X349" s="3"/>
      <c r="Y349" s="3"/>
      <c r="Z349" s="3"/>
    </row>
    <row r="350" spans="1:26" ht="12.75" x14ac:dyDescent="0.2">
      <c r="A350" s="3"/>
      <c r="B350" s="33"/>
      <c r="C350" s="94" t="s">
        <v>275</v>
      </c>
      <c r="D350" s="33"/>
      <c r="E350" s="33"/>
      <c r="F350" s="39">
        <f>F242/F$123</f>
        <v>59.34</v>
      </c>
      <c r="G350" s="39">
        <f>G242/G$123</f>
        <v>59.34</v>
      </c>
      <c r="H350" s="39">
        <f>H242/H$123</f>
        <v>59.34</v>
      </c>
      <c r="I350" s="39">
        <f>I242/I$123</f>
        <v>59.339999999999989</v>
      </c>
      <c r="J350" s="39">
        <f>J242/J$123</f>
        <v>59.339999999999996</v>
      </c>
      <c r="K350" s="39">
        <f>K242/K$123</f>
        <v>59.339999999999989</v>
      </c>
      <c r="L350" s="39">
        <f>L242/L$123</f>
        <v>59.34</v>
      </c>
      <c r="M350" s="39">
        <f>M242/M$123</f>
        <v>59.34</v>
      </c>
      <c r="N350" s="39">
        <f>N242/N$123</f>
        <v>59.34</v>
      </c>
      <c r="O350" s="39">
        <f>O242/O$123</f>
        <v>59.34</v>
      </c>
      <c r="P350" s="3"/>
      <c r="Q350" s="3"/>
      <c r="R350" s="3"/>
      <c r="S350" s="3"/>
      <c r="T350" s="3"/>
      <c r="U350" s="3"/>
      <c r="V350" s="3"/>
      <c r="W350" s="3"/>
      <c r="X350" s="3"/>
      <c r="Y350" s="3"/>
      <c r="Z350" s="3"/>
    </row>
    <row r="351" spans="1:26" s="105" customFormat="1" ht="12.75" x14ac:dyDescent="0.2">
      <c r="A351" s="102"/>
      <c r="B351" s="35"/>
      <c r="C351" s="84" t="s">
        <v>293</v>
      </c>
      <c r="D351" s="35"/>
      <c r="E351" s="35"/>
      <c r="F351" s="104">
        <f>F243/F$123</f>
        <v>17.29</v>
      </c>
      <c r="G351" s="104">
        <f>G243/G$123</f>
        <v>17.29</v>
      </c>
      <c r="H351" s="104">
        <f>H243/H$123</f>
        <v>17.29</v>
      </c>
      <c r="I351" s="104">
        <f>I243/I$123</f>
        <v>17.29</v>
      </c>
      <c r="J351" s="104">
        <f>J243/J$123</f>
        <v>17.29</v>
      </c>
      <c r="K351" s="104">
        <f>K243/K$123</f>
        <v>17.290000000000003</v>
      </c>
      <c r="L351" s="104">
        <f>L243/L$123</f>
        <v>17.290000000000003</v>
      </c>
      <c r="M351" s="104">
        <f>M243/M$123</f>
        <v>17.29</v>
      </c>
      <c r="N351" s="104">
        <f>N243/N$123</f>
        <v>17.29</v>
      </c>
      <c r="O351" s="104">
        <f>O243/O$123</f>
        <v>17.29</v>
      </c>
      <c r="P351" s="102"/>
      <c r="Q351" s="102"/>
      <c r="R351" s="102"/>
      <c r="S351" s="102"/>
      <c r="T351" s="102"/>
      <c r="U351" s="102"/>
      <c r="V351" s="102"/>
      <c r="W351" s="102"/>
      <c r="X351" s="102"/>
      <c r="Y351" s="102"/>
      <c r="Z351" s="102"/>
    </row>
    <row r="352" spans="1:26" ht="12.75" x14ac:dyDescent="0.2">
      <c r="A352" s="3"/>
      <c r="B352" s="33"/>
      <c r="C352" s="94" t="s">
        <v>278</v>
      </c>
      <c r="D352" s="33"/>
      <c r="E352" s="33"/>
      <c r="F352" s="39">
        <f>F244/F$123</f>
        <v>99.289685853658526</v>
      </c>
      <c r="G352" s="39">
        <f>G244/G$123</f>
        <v>104.25417014634147</v>
      </c>
      <c r="H352" s="39">
        <f>H244/H$123</f>
        <v>109.46687865365853</v>
      </c>
      <c r="I352" s="39">
        <f>I244/I$123</f>
        <v>114.94022258634148</v>
      </c>
      <c r="J352" s="39">
        <f>J244/J$123</f>
        <v>120.68723371565858</v>
      </c>
      <c r="K352" s="39">
        <f>K244/K$123</f>
        <v>125.27187979901466</v>
      </c>
      <c r="L352" s="39">
        <f>L244/L$123</f>
        <v>126.58199999999999</v>
      </c>
      <c r="M352" s="39">
        <f>M244/M$123</f>
        <v>126.58200000000001</v>
      </c>
      <c r="N352" s="39">
        <f>N244/N$123</f>
        <v>126.58199999999999</v>
      </c>
      <c r="O352" s="39">
        <f>O244/O$123</f>
        <v>126.58199999999999</v>
      </c>
      <c r="P352" s="3"/>
      <c r="Q352" s="3"/>
      <c r="R352" s="3"/>
      <c r="S352" s="3"/>
      <c r="T352" s="3"/>
      <c r="U352" s="3"/>
      <c r="V352" s="3"/>
      <c r="W352" s="3"/>
      <c r="X352" s="3"/>
      <c r="Y352" s="3"/>
      <c r="Z352" s="3"/>
    </row>
    <row r="353" spans="1:26" ht="12.75" x14ac:dyDescent="0.2">
      <c r="A353" s="3"/>
      <c r="B353" s="33"/>
      <c r="C353" s="9" t="s">
        <v>85</v>
      </c>
      <c r="D353" s="33"/>
      <c r="E353" s="33"/>
      <c r="F353" s="39">
        <f>F245/F$123</f>
        <v>26.01</v>
      </c>
      <c r="G353" s="39">
        <f>G245/G$123</f>
        <v>26.009999999999998</v>
      </c>
      <c r="H353" s="39">
        <f>H245/H$123</f>
        <v>26.01</v>
      </c>
      <c r="I353" s="39">
        <f>I245/I$123</f>
        <v>26.01</v>
      </c>
      <c r="J353" s="39">
        <f>J245/J$123</f>
        <v>0</v>
      </c>
      <c r="K353" s="39">
        <f>K245/K$123</f>
        <v>0</v>
      </c>
      <c r="L353" s="39">
        <f>L245/L$123</f>
        <v>0</v>
      </c>
      <c r="M353" s="39">
        <f>M245/M$123</f>
        <v>0</v>
      </c>
      <c r="N353" s="39">
        <f>N245/N$123</f>
        <v>0</v>
      </c>
      <c r="O353" s="39">
        <f>O245/O$123</f>
        <v>0</v>
      </c>
      <c r="P353" s="3"/>
      <c r="Q353" s="3"/>
      <c r="R353" s="3"/>
      <c r="S353" s="3"/>
      <c r="T353" s="3"/>
      <c r="U353" s="3"/>
      <c r="V353" s="3"/>
      <c r="W353" s="3"/>
      <c r="X353" s="3"/>
      <c r="Y353" s="3"/>
      <c r="Z353" s="3"/>
    </row>
    <row r="354" spans="1:26" ht="12.75" x14ac:dyDescent="0.2">
      <c r="A354" s="3"/>
      <c r="B354" s="33"/>
      <c r="C354" s="36" t="s">
        <v>207</v>
      </c>
      <c r="D354" s="36"/>
      <c r="E354" s="36"/>
      <c r="F354" s="59">
        <f>SUM(F347:F353)</f>
        <v>335.59968585365851</v>
      </c>
      <c r="G354" s="59">
        <f t="shared" ref="G354:O354" si="76">SUM(G347:G353)</f>
        <v>340.56417014634144</v>
      </c>
      <c r="H354" s="59">
        <f t="shared" si="76"/>
        <v>345.77687865365851</v>
      </c>
      <c r="I354" s="59">
        <f t="shared" si="76"/>
        <v>351.25022258634147</v>
      </c>
      <c r="J354" s="59">
        <f t="shared" si="76"/>
        <v>330.98723371565859</v>
      </c>
      <c r="K354" s="59">
        <f t="shared" si="76"/>
        <v>335.57187979901465</v>
      </c>
      <c r="L354" s="59">
        <f t="shared" si="76"/>
        <v>336.88200000000001</v>
      </c>
      <c r="M354" s="59">
        <f t="shared" si="76"/>
        <v>336.88200000000001</v>
      </c>
      <c r="N354" s="59">
        <f t="shared" si="76"/>
        <v>336.88199999999995</v>
      </c>
      <c r="O354" s="59">
        <f t="shared" si="76"/>
        <v>336.88199999999995</v>
      </c>
      <c r="P354" s="3"/>
      <c r="Q354" s="3"/>
      <c r="R354" s="3"/>
      <c r="S354" s="3"/>
      <c r="T354" s="3"/>
      <c r="U354" s="3"/>
      <c r="V354" s="3"/>
      <c r="W354" s="3"/>
      <c r="X354" s="3"/>
      <c r="Y354" s="3"/>
      <c r="Z354" s="3"/>
    </row>
    <row r="355" spans="1:26" ht="12.75" x14ac:dyDescent="0.2">
      <c r="A355" s="3"/>
      <c r="B355" s="33"/>
      <c r="C355" s="33"/>
      <c r="D355" s="33"/>
      <c r="E355" s="33"/>
      <c r="F355" s="37"/>
      <c r="G355" s="33"/>
      <c r="H355" s="33"/>
      <c r="I355" s="33"/>
      <c r="J355" s="33"/>
      <c r="K355" s="33"/>
      <c r="L355" s="33"/>
      <c r="M355" s="33"/>
      <c r="N355" s="33"/>
      <c r="O355" s="33"/>
      <c r="P355" s="3"/>
      <c r="Q355" s="3"/>
      <c r="R355" s="3"/>
      <c r="S355" s="3"/>
      <c r="T355" s="3"/>
      <c r="U355" s="3"/>
      <c r="V355" s="3"/>
      <c r="W355" s="3"/>
      <c r="X355" s="3"/>
      <c r="Y355" s="3"/>
      <c r="Z355" s="3"/>
    </row>
    <row r="356" spans="1:26" ht="12.75" x14ac:dyDescent="0.2">
      <c r="A356" s="3"/>
      <c r="B356" s="33"/>
      <c r="C356" s="34" t="s">
        <v>215</v>
      </c>
      <c r="D356" s="33"/>
      <c r="E356" s="33"/>
      <c r="F356" s="41"/>
      <c r="G356" s="41"/>
      <c r="H356" s="41"/>
      <c r="I356" s="41"/>
      <c r="J356" s="41"/>
      <c r="K356" s="41"/>
      <c r="L356" s="41"/>
      <c r="M356" s="41"/>
      <c r="N356" s="41"/>
      <c r="O356" s="41"/>
      <c r="P356" s="3"/>
      <c r="Q356" s="3"/>
      <c r="R356" s="3"/>
      <c r="S356" s="3"/>
      <c r="T356" s="3"/>
      <c r="U356" s="3"/>
      <c r="V356" s="3"/>
      <c r="W356" s="3"/>
      <c r="X356" s="3"/>
      <c r="Y356" s="3"/>
      <c r="Z356" s="3"/>
    </row>
    <row r="357" spans="1:26" ht="12.75" x14ac:dyDescent="0.2">
      <c r="A357" s="3"/>
      <c r="B357" s="33"/>
      <c r="C357" s="9" t="s">
        <v>110</v>
      </c>
      <c r="D357" s="33"/>
      <c r="E357" s="33"/>
      <c r="F357" s="39">
        <f>F249/F$123</f>
        <v>2.6819999999999999</v>
      </c>
      <c r="G357" s="39">
        <f>G249/G$123</f>
        <v>2.6819999999999995</v>
      </c>
      <c r="H357" s="39">
        <f>H249/H$123</f>
        <v>2.6819999999999999</v>
      </c>
      <c r="I357" s="39">
        <f>I249/I$123</f>
        <v>2.6819999999999999</v>
      </c>
      <c r="J357" s="39">
        <f>J249/J$123</f>
        <v>2.6819999999999999</v>
      </c>
      <c r="K357" s="39">
        <f>K249/K$123</f>
        <v>2.6820000000000004</v>
      </c>
      <c r="L357" s="39">
        <f>L249/L$123</f>
        <v>2.6819999999999999</v>
      </c>
      <c r="M357" s="39">
        <f>M249/M$123</f>
        <v>2.6819999999999999</v>
      </c>
      <c r="N357" s="39">
        <f>N249/N$123</f>
        <v>2.6819999999999999</v>
      </c>
      <c r="O357" s="39">
        <f>O249/O$123</f>
        <v>2.6819999999999995</v>
      </c>
      <c r="P357" s="3"/>
      <c r="Q357" s="3"/>
      <c r="R357" s="3"/>
      <c r="S357" s="3"/>
      <c r="T357" s="3"/>
      <c r="U357" s="3"/>
      <c r="V357" s="3"/>
      <c r="W357" s="3"/>
      <c r="X357" s="3"/>
      <c r="Y357" s="3"/>
      <c r="Z357" s="3"/>
    </row>
    <row r="358" spans="1:26" ht="12.75" x14ac:dyDescent="0.2">
      <c r="A358" s="3"/>
      <c r="B358" s="33"/>
      <c r="C358" s="27" t="s">
        <v>283</v>
      </c>
      <c r="D358" s="33"/>
      <c r="E358" s="33"/>
      <c r="F358" s="39">
        <f>F250/F$123</f>
        <v>2.4788235294117649</v>
      </c>
      <c r="G358" s="39">
        <f>G250/G$123</f>
        <v>2.4788235294117649</v>
      </c>
      <c r="H358" s="39">
        <f>H250/H$123</f>
        <v>2.4788235294117649</v>
      </c>
      <c r="I358" s="39">
        <f>I250/I$123</f>
        <v>2.4788235294117649</v>
      </c>
      <c r="J358" s="39">
        <f>J250/J$123</f>
        <v>2.4788235294117649</v>
      </c>
      <c r="K358" s="39">
        <f>K250/K$123</f>
        <v>2.4788235294117649</v>
      </c>
      <c r="L358" s="39">
        <f>L250/L$123</f>
        <v>2.4788235294117649</v>
      </c>
      <c r="M358" s="39">
        <f>M250/M$123</f>
        <v>2.4788235294117649</v>
      </c>
      <c r="N358" s="39">
        <f>N250/N$123</f>
        <v>2.4788235294117649</v>
      </c>
      <c r="O358" s="39">
        <f>O250/O$123</f>
        <v>2.4788235294117649</v>
      </c>
      <c r="P358" s="3"/>
      <c r="Q358" s="3"/>
      <c r="R358" s="3"/>
      <c r="S358" s="3"/>
      <c r="T358" s="3"/>
      <c r="U358" s="3"/>
      <c r="V358" s="3"/>
      <c r="W358" s="3"/>
      <c r="X358" s="3"/>
      <c r="Y358" s="3"/>
      <c r="Z358" s="3"/>
    </row>
    <row r="359" spans="1:26" ht="12.75" x14ac:dyDescent="0.2">
      <c r="A359" s="3"/>
      <c r="B359" s="33"/>
      <c r="C359" s="31" t="s">
        <v>216</v>
      </c>
      <c r="D359" s="36"/>
      <c r="E359" s="36"/>
      <c r="F359" s="40">
        <f>SUM(F357:F358)</f>
        <v>5.1608235294117648</v>
      </c>
      <c r="G359" s="40">
        <f t="shared" ref="G359:O359" si="77">SUM(G357:G358)</f>
        <v>5.1608235294117648</v>
      </c>
      <c r="H359" s="40">
        <f t="shared" si="77"/>
        <v>5.1608235294117648</v>
      </c>
      <c r="I359" s="40">
        <f t="shared" si="77"/>
        <v>5.1608235294117648</v>
      </c>
      <c r="J359" s="40">
        <f t="shared" si="77"/>
        <v>5.1608235294117648</v>
      </c>
      <c r="K359" s="40">
        <f t="shared" si="77"/>
        <v>5.1608235294117648</v>
      </c>
      <c r="L359" s="40">
        <f t="shared" si="77"/>
        <v>5.1608235294117648</v>
      </c>
      <c r="M359" s="40">
        <f t="shared" si="77"/>
        <v>5.1608235294117648</v>
      </c>
      <c r="N359" s="40">
        <f t="shared" si="77"/>
        <v>5.1608235294117648</v>
      </c>
      <c r="O359" s="40">
        <f t="shared" si="77"/>
        <v>5.1608235294117648</v>
      </c>
      <c r="P359" s="3"/>
      <c r="Q359" s="3"/>
      <c r="R359" s="3"/>
      <c r="S359" s="3"/>
      <c r="T359" s="3"/>
      <c r="U359" s="3"/>
      <c r="V359" s="3"/>
      <c r="W359" s="3"/>
      <c r="X359" s="3"/>
      <c r="Y359" s="3"/>
      <c r="Z359" s="3"/>
    </row>
    <row r="360" spans="1:26" ht="12.75" x14ac:dyDescent="0.2">
      <c r="A360" s="3"/>
      <c r="B360" s="33"/>
      <c r="C360" s="35"/>
      <c r="D360" s="33"/>
      <c r="E360" s="33"/>
      <c r="F360" s="41"/>
      <c r="G360" s="41"/>
      <c r="H360" s="41"/>
      <c r="I360" s="41"/>
      <c r="J360" s="41"/>
      <c r="K360" s="41"/>
      <c r="L360" s="41"/>
      <c r="M360" s="41"/>
      <c r="N360" s="41"/>
      <c r="O360" s="41"/>
      <c r="P360" s="3"/>
      <c r="Q360" s="3"/>
      <c r="R360" s="3"/>
      <c r="S360" s="3"/>
      <c r="T360" s="3"/>
      <c r="U360" s="3"/>
      <c r="V360" s="3"/>
      <c r="W360" s="3"/>
      <c r="X360" s="3"/>
      <c r="Y360" s="3"/>
      <c r="Z360" s="3"/>
    </row>
    <row r="361" spans="1:26" ht="12.75" x14ac:dyDescent="0.2">
      <c r="A361" s="3"/>
      <c r="B361" s="33"/>
      <c r="C361" s="34" t="s">
        <v>219</v>
      </c>
      <c r="D361" s="33"/>
      <c r="E361" s="33"/>
      <c r="F361" s="41"/>
      <c r="G361" s="41"/>
      <c r="H361" s="41"/>
      <c r="I361" s="41"/>
      <c r="J361" s="41"/>
      <c r="K361" s="41"/>
      <c r="L361" s="41"/>
      <c r="M361" s="41"/>
      <c r="N361" s="41"/>
      <c r="O361" s="41"/>
      <c r="P361" s="3"/>
      <c r="Q361" s="3"/>
      <c r="R361" s="3"/>
      <c r="S361" s="3"/>
      <c r="T361" s="3"/>
      <c r="U361" s="3"/>
      <c r="V361" s="3"/>
      <c r="W361" s="3"/>
      <c r="X361" s="3"/>
      <c r="Y361" s="3"/>
      <c r="Z361" s="3"/>
    </row>
    <row r="362" spans="1:26" ht="12.75" x14ac:dyDescent="0.2">
      <c r="A362" s="3"/>
      <c r="B362" s="33"/>
      <c r="C362" s="9" t="s">
        <v>92</v>
      </c>
      <c r="D362" s="33"/>
      <c r="E362" s="33"/>
      <c r="F362" s="39">
        <f>F254/F$123</f>
        <v>0</v>
      </c>
      <c r="G362" s="39">
        <f>G254/G$123</f>
        <v>0</v>
      </c>
      <c r="H362" s="39">
        <f>H254/H$123</f>
        <v>0</v>
      </c>
      <c r="I362" s="39">
        <f>I254/I$123</f>
        <v>0</v>
      </c>
      <c r="J362" s="39">
        <f>J254/J$123</f>
        <v>0</v>
      </c>
      <c r="K362" s="39">
        <f>K254/K$123</f>
        <v>0</v>
      </c>
      <c r="L362" s="39">
        <f>L254/L$123</f>
        <v>0</v>
      </c>
      <c r="M362" s="39">
        <f>M254/M$123</f>
        <v>0</v>
      </c>
      <c r="N362" s="39">
        <f>N254/N$123</f>
        <v>0</v>
      </c>
      <c r="O362" s="39">
        <f>O254/O$123</f>
        <v>0</v>
      </c>
      <c r="P362" s="3"/>
      <c r="Q362" s="3"/>
      <c r="R362" s="3"/>
      <c r="S362" s="3"/>
      <c r="T362" s="3"/>
      <c r="U362" s="3"/>
      <c r="V362" s="3"/>
      <c r="W362" s="3"/>
      <c r="X362" s="3"/>
      <c r="Y362" s="3"/>
      <c r="Z362" s="3"/>
    </row>
    <row r="363" spans="1:26" ht="12.75" x14ac:dyDescent="0.2">
      <c r="A363" s="3"/>
      <c r="B363" s="33"/>
      <c r="C363" s="9" t="s">
        <v>96</v>
      </c>
      <c r="D363" s="33"/>
      <c r="E363" s="33"/>
      <c r="F363" s="39">
        <f>F255/F$123</f>
        <v>22.5</v>
      </c>
      <c r="G363" s="39">
        <f>G255/G$123</f>
        <v>22.5</v>
      </c>
      <c r="H363" s="39">
        <f>H255/H$123</f>
        <v>22.5</v>
      </c>
      <c r="I363" s="39">
        <f>I255/I$123</f>
        <v>22.5</v>
      </c>
      <c r="J363" s="39">
        <f>J255/J$123</f>
        <v>22.5</v>
      </c>
      <c r="K363" s="39">
        <f>K255/K$123</f>
        <v>22.5</v>
      </c>
      <c r="L363" s="39">
        <f>L255/L$123</f>
        <v>22.5</v>
      </c>
      <c r="M363" s="39">
        <f>M255/M$123</f>
        <v>22.5</v>
      </c>
      <c r="N363" s="39">
        <f>N255/N$123</f>
        <v>22.5</v>
      </c>
      <c r="O363" s="39">
        <f>O255/O$123</f>
        <v>22.5</v>
      </c>
      <c r="P363" s="3"/>
      <c r="Q363" s="3"/>
      <c r="R363" s="3"/>
      <c r="S363" s="3"/>
      <c r="T363" s="3"/>
      <c r="U363" s="3"/>
      <c r="V363" s="3"/>
      <c r="W363" s="3"/>
      <c r="X363" s="3"/>
      <c r="Y363" s="3"/>
      <c r="Z363" s="3"/>
    </row>
    <row r="364" spans="1:26" ht="12.75" x14ac:dyDescent="0.2">
      <c r="A364" s="3"/>
      <c r="B364" s="33"/>
      <c r="C364" s="9" t="s">
        <v>99</v>
      </c>
      <c r="D364" s="33"/>
      <c r="E364" s="33"/>
      <c r="F364" s="39">
        <f>F256/F$123</f>
        <v>19.030831999999997</v>
      </c>
      <c r="G364" s="39">
        <f>G256/G$123</f>
        <v>19.030831999999997</v>
      </c>
      <c r="H364" s="39">
        <f>H256/H$123</f>
        <v>19.030831999999997</v>
      </c>
      <c r="I364" s="39">
        <f>I256/I$123</f>
        <v>19.030832</v>
      </c>
      <c r="J364" s="39">
        <f>J256/J$123</f>
        <v>19.030831999999997</v>
      </c>
      <c r="K364" s="39">
        <f>K256/K$123</f>
        <v>19.030831999999997</v>
      </c>
      <c r="L364" s="39">
        <f>L256/L$123</f>
        <v>19.030831999999997</v>
      </c>
      <c r="M364" s="39">
        <f>M256/M$123</f>
        <v>19.030831999999997</v>
      </c>
      <c r="N364" s="39">
        <f>N256/N$123</f>
        <v>19.030832</v>
      </c>
      <c r="O364" s="39">
        <f>O256/O$123</f>
        <v>19.030831999999997</v>
      </c>
      <c r="P364" s="3"/>
      <c r="Q364" s="3"/>
      <c r="R364" s="3"/>
      <c r="S364" s="3"/>
      <c r="T364" s="3"/>
      <c r="U364" s="3"/>
      <c r="V364" s="3"/>
      <c r="W364" s="3"/>
      <c r="X364" s="3"/>
      <c r="Y364" s="3"/>
      <c r="Z364" s="3"/>
    </row>
    <row r="365" spans="1:26" ht="12.75" x14ac:dyDescent="0.2">
      <c r="A365" s="3"/>
      <c r="B365" s="33"/>
      <c r="C365" s="9" t="s">
        <v>102</v>
      </c>
      <c r="D365" s="33"/>
      <c r="E365" s="33"/>
      <c r="F365" s="39">
        <f>F257/F$123</f>
        <v>38.376743999999995</v>
      </c>
      <c r="G365" s="39">
        <f>G257/G$123</f>
        <v>38.376743999999988</v>
      </c>
      <c r="H365" s="39">
        <f>H257/H$123</f>
        <v>38.376743999999995</v>
      </c>
      <c r="I365" s="39">
        <f>I257/I$123</f>
        <v>38.376743999999995</v>
      </c>
      <c r="J365" s="39">
        <f>J257/J$123</f>
        <v>38.376743999999995</v>
      </c>
      <c r="K365" s="39">
        <f>K257/K$123</f>
        <v>38.376743999999988</v>
      </c>
      <c r="L365" s="39">
        <f>L257/L$123</f>
        <v>38.376743999999988</v>
      </c>
      <c r="M365" s="39">
        <f>M257/M$123</f>
        <v>38.376743999999995</v>
      </c>
      <c r="N365" s="39">
        <f>N257/N$123</f>
        <v>38.376743999999995</v>
      </c>
      <c r="O365" s="39">
        <f>O257/O$123</f>
        <v>38.376743999999995</v>
      </c>
      <c r="P365" s="3"/>
      <c r="Q365" s="3"/>
      <c r="R365" s="3"/>
      <c r="S365" s="3"/>
      <c r="T365" s="3"/>
      <c r="U365" s="3"/>
      <c r="V365" s="3"/>
      <c r="W365" s="3"/>
      <c r="X365" s="3"/>
      <c r="Y365" s="3"/>
      <c r="Z365" s="3"/>
    </row>
    <row r="366" spans="1:26" s="105" customFormat="1" ht="12.75" x14ac:dyDescent="0.2">
      <c r="A366" s="102"/>
      <c r="B366" s="35"/>
      <c r="C366" s="460" t="s">
        <v>834</v>
      </c>
      <c r="D366" s="35"/>
      <c r="E366" s="35"/>
      <c r="F366" s="39">
        <f>F258/F$123</f>
        <v>18</v>
      </c>
      <c r="G366" s="39">
        <f>G258/G$123</f>
        <v>0</v>
      </c>
      <c r="H366" s="39">
        <f>H258/H$123</f>
        <v>18</v>
      </c>
      <c r="I366" s="39">
        <f>I258/I$123</f>
        <v>0</v>
      </c>
      <c r="J366" s="39">
        <f>J258/J$123</f>
        <v>18</v>
      </c>
      <c r="K366" s="39">
        <f>K258/K$123</f>
        <v>0</v>
      </c>
      <c r="L366" s="39">
        <f>L258/L$123</f>
        <v>18</v>
      </c>
      <c r="M366" s="39">
        <f>M258/M$123</f>
        <v>0</v>
      </c>
      <c r="N366" s="39">
        <f>N258/N$123</f>
        <v>18</v>
      </c>
      <c r="O366" s="39">
        <f>O258/O$123</f>
        <v>0</v>
      </c>
      <c r="P366" s="102"/>
      <c r="Q366" s="102"/>
      <c r="R366" s="102"/>
      <c r="S366" s="102"/>
      <c r="T366" s="102"/>
      <c r="U366" s="102"/>
      <c r="V366" s="102"/>
      <c r="W366" s="102"/>
      <c r="X366" s="102"/>
      <c r="Y366" s="102"/>
      <c r="Z366" s="102"/>
    </row>
    <row r="367" spans="1:26" s="105" customFormat="1" ht="12.75" x14ac:dyDescent="0.2">
      <c r="A367" s="102"/>
      <c r="B367" s="35"/>
      <c r="C367" s="460" t="s">
        <v>841</v>
      </c>
      <c r="D367" s="35"/>
      <c r="E367" s="35"/>
      <c r="F367" s="39">
        <f>F259/F$123</f>
        <v>7.6290500000000012</v>
      </c>
      <c r="G367" s="39">
        <f>G259/G$123</f>
        <v>7.6290499999999994</v>
      </c>
      <c r="H367" s="39">
        <f>H259/H$123</f>
        <v>7.6290500000000003</v>
      </c>
      <c r="I367" s="39">
        <f>I259/I$123</f>
        <v>7.6290500000000003</v>
      </c>
      <c r="J367" s="39">
        <f>J259/J$123</f>
        <v>7.6290500000000012</v>
      </c>
      <c r="K367" s="39">
        <f>K259/K$123</f>
        <v>7.6290500000000012</v>
      </c>
      <c r="L367" s="39">
        <f>L259/L$123</f>
        <v>7.6290500000000003</v>
      </c>
      <c r="M367" s="39">
        <f>M259/M$123</f>
        <v>7.6290500000000003</v>
      </c>
      <c r="N367" s="39">
        <f>N259/N$123</f>
        <v>7.6290500000000003</v>
      </c>
      <c r="O367" s="39">
        <f>O259/O$123</f>
        <v>7.6290500000000012</v>
      </c>
      <c r="P367" s="102"/>
      <c r="Q367" s="102"/>
      <c r="R367" s="102"/>
      <c r="S367" s="102"/>
      <c r="T367" s="102"/>
      <c r="U367" s="102"/>
      <c r="V367" s="102"/>
      <c r="W367" s="102"/>
      <c r="X367" s="102"/>
      <c r="Y367" s="102"/>
      <c r="Z367" s="102"/>
    </row>
    <row r="368" spans="1:26" ht="12.75" x14ac:dyDescent="0.2">
      <c r="A368" s="3"/>
      <c r="B368" s="33"/>
      <c r="C368" s="9" t="s">
        <v>105</v>
      </c>
      <c r="D368" s="33"/>
      <c r="E368" s="33"/>
      <c r="F368" s="39">
        <f>F260/F$123</f>
        <v>6.4</v>
      </c>
      <c r="G368" s="39">
        <f>G260/G$123</f>
        <v>6.3999999999999995</v>
      </c>
      <c r="H368" s="39">
        <f>H260/H$123</f>
        <v>6.3999999999999995</v>
      </c>
      <c r="I368" s="39">
        <f>I260/I$123</f>
        <v>6.4</v>
      </c>
      <c r="J368" s="39">
        <f>J260/J$123</f>
        <v>6.3999999999999995</v>
      </c>
      <c r="K368" s="39">
        <f>K260/K$123</f>
        <v>6.4</v>
      </c>
      <c r="L368" s="39">
        <f>L260/L$123</f>
        <v>6.4</v>
      </c>
      <c r="M368" s="39">
        <f>M260/M$123</f>
        <v>6.4</v>
      </c>
      <c r="N368" s="39">
        <f>N260/N$123</f>
        <v>6.4</v>
      </c>
      <c r="O368" s="39">
        <f>O260/O$123</f>
        <v>6.3999999999999995</v>
      </c>
      <c r="P368" s="3"/>
      <c r="Q368" s="3"/>
      <c r="R368" s="3"/>
      <c r="S368" s="3"/>
      <c r="T368" s="3"/>
      <c r="U368" s="3"/>
      <c r="V368" s="3"/>
      <c r="W368" s="3"/>
      <c r="X368" s="3"/>
      <c r="Y368" s="3"/>
      <c r="Z368" s="3"/>
    </row>
    <row r="369" spans="1:26" ht="12.75" x14ac:dyDescent="0.2">
      <c r="A369" s="3"/>
      <c r="B369" s="33"/>
      <c r="C369" s="9" t="s">
        <v>108</v>
      </c>
      <c r="D369" s="33"/>
      <c r="E369" s="33"/>
      <c r="F369" s="39">
        <f>F261/F$123</f>
        <v>14.7</v>
      </c>
      <c r="G369" s="39">
        <f>G261/G$123</f>
        <v>16</v>
      </c>
      <c r="H369" s="39">
        <f>H261/H$123</f>
        <v>17.3</v>
      </c>
      <c r="I369" s="39">
        <f>I261/I$123</f>
        <v>18.7</v>
      </c>
      <c r="J369" s="39">
        <f>J261/J$123</f>
        <v>19.7</v>
      </c>
      <c r="K369" s="39">
        <f>K261/K$123</f>
        <v>20.399999999999999</v>
      </c>
      <c r="L369" s="39">
        <f>L261/L$123</f>
        <v>20.699999999999996</v>
      </c>
      <c r="M369" s="39">
        <f>M261/M$123</f>
        <v>20.7</v>
      </c>
      <c r="N369" s="39">
        <f>N261/N$123</f>
        <v>20.7</v>
      </c>
      <c r="O369" s="39">
        <f>O261/O$123</f>
        <v>20.7</v>
      </c>
      <c r="P369" s="3"/>
      <c r="Q369" s="3"/>
      <c r="R369" s="3"/>
      <c r="S369" s="3"/>
      <c r="T369" s="3"/>
      <c r="U369" s="3"/>
      <c r="V369" s="3"/>
      <c r="W369" s="3"/>
      <c r="X369" s="3"/>
      <c r="Y369" s="3"/>
      <c r="Z369" s="3"/>
    </row>
    <row r="370" spans="1:26" ht="12.75" x14ac:dyDescent="0.2">
      <c r="A370" s="3"/>
      <c r="B370" s="43"/>
      <c r="C370" s="68" t="s">
        <v>217</v>
      </c>
      <c r="D370" s="68"/>
      <c r="E370" s="68"/>
      <c r="F370" s="69">
        <f>SUM(F362:F369)</f>
        <v>126.63662600000001</v>
      </c>
      <c r="G370" s="69">
        <f>SUM(G362:G369)</f>
        <v>109.93662599999999</v>
      </c>
      <c r="H370" s="69">
        <f t="shared" ref="H370:O370" si="78">SUM(H362:H369)</f>
        <v>129.236626</v>
      </c>
      <c r="I370" s="69">
        <f t="shared" si="78"/>
        <v>112.63662600000002</v>
      </c>
      <c r="J370" s="69">
        <f t="shared" si="78"/>
        <v>131.63662600000001</v>
      </c>
      <c r="K370" s="69">
        <f t="shared" si="78"/>
        <v>114.336626</v>
      </c>
      <c r="L370" s="69">
        <f t="shared" si="78"/>
        <v>132.63662599999998</v>
      </c>
      <c r="M370" s="69">
        <f t="shared" si="78"/>
        <v>114.63662600000001</v>
      </c>
      <c r="N370" s="69">
        <f t="shared" si="78"/>
        <v>132.63662600000001</v>
      </c>
      <c r="O370" s="69">
        <f t="shared" si="78"/>
        <v>114.63662600000001</v>
      </c>
      <c r="P370" s="3"/>
      <c r="Q370" s="3"/>
      <c r="R370" s="3"/>
      <c r="S370" s="3"/>
      <c r="T370" s="3"/>
      <c r="U370" s="3"/>
      <c r="V370" s="3"/>
      <c r="W370" s="3"/>
      <c r="X370" s="3"/>
      <c r="Y370" s="3"/>
      <c r="Z370" s="3"/>
    </row>
    <row r="371" spans="1:26" ht="12.75" x14ac:dyDescent="0.2">
      <c r="A371" s="3"/>
      <c r="B371" s="43"/>
      <c r="C371" s="74"/>
      <c r="D371" s="74"/>
      <c r="E371" s="74"/>
      <c r="F371" s="75"/>
      <c r="G371" s="75"/>
      <c r="H371" s="75"/>
      <c r="I371" s="75"/>
      <c r="J371" s="75"/>
      <c r="K371" s="75"/>
      <c r="L371" s="75"/>
      <c r="M371" s="75"/>
      <c r="N371" s="75"/>
      <c r="O371" s="75"/>
      <c r="P371" s="3"/>
      <c r="Q371" s="3"/>
      <c r="R371" s="3"/>
      <c r="S371" s="3"/>
      <c r="T371" s="3"/>
      <c r="U371" s="3"/>
      <c r="V371" s="3"/>
      <c r="W371" s="3"/>
      <c r="X371" s="3"/>
      <c r="Y371" s="3"/>
      <c r="Z371" s="3"/>
    </row>
    <row r="372" spans="1:26" ht="12.75" x14ac:dyDescent="0.2">
      <c r="A372" s="3"/>
      <c r="B372" s="43"/>
      <c r="C372" s="34" t="s">
        <v>287</v>
      </c>
      <c r="D372" s="74"/>
      <c r="E372" s="74"/>
      <c r="F372" s="75"/>
      <c r="G372" s="75"/>
      <c r="H372" s="75"/>
      <c r="I372" s="75"/>
      <c r="J372" s="75"/>
      <c r="K372" s="75"/>
      <c r="L372" s="75"/>
      <c r="M372" s="75"/>
      <c r="N372" s="75"/>
      <c r="O372" s="75"/>
      <c r="P372" s="3"/>
      <c r="Q372" s="3"/>
      <c r="R372" s="3"/>
      <c r="S372" s="3"/>
      <c r="T372" s="3"/>
      <c r="U372" s="3"/>
      <c r="V372" s="3"/>
      <c r="W372" s="3"/>
      <c r="X372" s="3"/>
      <c r="Y372" s="3"/>
      <c r="Z372" s="3"/>
    </row>
    <row r="373" spans="1:26" ht="12.75" x14ac:dyDescent="0.2">
      <c r="A373" s="3"/>
      <c r="B373" s="33"/>
      <c r="C373" s="27" t="s">
        <v>282</v>
      </c>
      <c r="D373" s="33"/>
      <c r="E373" s="33"/>
      <c r="F373" s="39">
        <f>F265/F$123</f>
        <v>1.4654400000000001E-2</v>
      </c>
      <c r="G373" s="39">
        <f>G265/G$123</f>
        <v>1.5908640000000002E-2</v>
      </c>
      <c r="H373" s="39">
        <f>H265/H$123</f>
        <v>1.7250918000000004E-2</v>
      </c>
      <c r="I373" s="39">
        <f>I265/I$123</f>
        <v>1.8686902200000004E-2</v>
      </c>
      <c r="J373" s="39">
        <f>J265/J$123</f>
        <v>1.9636247310000004E-2</v>
      </c>
      <c r="K373" s="39">
        <f>K265/K$123</f>
        <v>2.0393582078000003E-2</v>
      </c>
      <c r="L373" s="39">
        <f>L265/L$123</f>
        <v>2.0610000000000003E-2</v>
      </c>
      <c r="M373" s="39">
        <f>M265/M$123</f>
        <v>2.061E-2</v>
      </c>
      <c r="N373" s="39">
        <f>N265/N$123</f>
        <v>2.061E-2</v>
      </c>
      <c r="O373" s="39">
        <f>O265/O$123</f>
        <v>2.061E-2</v>
      </c>
      <c r="P373" s="3"/>
      <c r="Q373" s="3"/>
      <c r="R373" s="3"/>
      <c r="S373" s="3"/>
      <c r="T373" s="3"/>
      <c r="U373" s="3"/>
      <c r="V373" s="3"/>
      <c r="W373" s="3"/>
      <c r="X373" s="3"/>
      <c r="Y373" s="3"/>
      <c r="Z373" s="3"/>
    </row>
    <row r="374" spans="1:26" ht="12.75" x14ac:dyDescent="0.2">
      <c r="A374" s="3"/>
      <c r="B374" s="33"/>
      <c r="C374" s="27" t="s">
        <v>284</v>
      </c>
      <c r="D374" s="33"/>
      <c r="E374" s="33"/>
      <c r="F374" s="39">
        <f>F266/F$123</f>
        <v>2.4641202196078438</v>
      </c>
      <c r="G374" s="39">
        <f>G266/G$123</f>
        <v>2.6707883670588246</v>
      </c>
      <c r="H374" s="39">
        <f>H266/H$123</f>
        <v>2.8919630287058835</v>
      </c>
      <c r="I374" s="39">
        <f>I266/I$123</f>
        <v>3.1285781856000012</v>
      </c>
      <c r="J374" s="39">
        <f>J266/J$123</f>
        <v>3.2850070948800014</v>
      </c>
      <c r="K374" s="39">
        <f>K266/K$123</f>
        <v>3.4097973850180758</v>
      </c>
      <c r="L374" s="39">
        <f>L266/L$123</f>
        <v>3.4454577777777784</v>
      </c>
      <c r="M374" s="39">
        <f>M266/M$123</f>
        <v>3.4454577777777788</v>
      </c>
      <c r="N374" s="39">
        <f>N266/N$123</f>
        <v>3.4454577777777784</v>
      </c>
      <c r="O374" s="39">
        <f>O266/O$123</f>
        <v>3.4454577777777788</v>
      </c>
      <c r="P374" s="3"/>
      <c r="Q374" s="3"/>
      <c r="R374" s="3"/>
      <c r="S374" s="3"/>
      <c r="T374" s="3"/>
      <c r="U374" s="3"/>
      <c r="V374" s="3"/>
      <c r="W374" s="3"/>
      <c r="X374" s="3"/>
      <c r="Y374" s="3"/>
      <c r="Z374" s="3"/>
    </row>
    <row r="375" spans="1:26" ht="12.75" x14ac:dyDescent="0.2">
      <c r="A375" s="3"/>
      <c r="B375" s="43"/>
      <c r="C375" s="68" t="s">
        <v>289</v>
      </c>
      <c r="D375" s="36"/>
      <c r="E375" s="36"/>
      <c r="F375" s="40">
        <f>SUM(F373:F374)</f>
        <v>2.4787746196078437</v>
      </c>
      <c r="G375" s="40">
        <f t="shared" ref="G375:O375" si="79">SUM(G373:G374)</f>
        <v>2.6866970070588247</v>
      </c>
      <c r="H375" s="40">
        <f t="shared" si="79"/>
        <v>2.9092139467058837</v>
      </c>
      <c r="I375" s="40">
        <f t="shared" si="79"/>
        <v>3.147265087800001</v>
      </c>
      <c r="J375" s="40">
        <f t="shared" si="79"/>
        <v>3.3046433421900012</v>
      </c>
      <c r="K375" s="40">
        <f t="shared" si="79"/>
        <v>3.4301909670960757</v>
      </c>
      <c r="L375" s="40">
        <f t="shared" si="79"/>
        <v>3.4660677777777784</v>
      </c>
      <c r="M375" s="40">
        <f t="shared" si="79"/>
        <v>3.4660677777777789</v>
      </c>
      <c r="N375" s="40">
        <f t="shared" si="79"/>
        <v>3.4660677777777784</v>
      </c>
      <c r="O375" s="40">
        <f t="shared" si="79"/>
        <v>3.4660677777777789</v>
      </c>
      <c r="P375" s="3"/>
      <c r="Q375" s="3"/>
      <c r="R375" s="3"/>
      <c r="S375" s="3"/>
      <c r="T375" s="3"/>
      <c r="U375" s="3"/>
      <c r="V375" s="3"/>
      <c r="W375" s="3"/>
      <c r="X375" s="3"/>
      <c r="Y375" s="3"/>
      <c r="Z375" s="3"/>
    </row>
    <row r="376" spans="1:26" ht="12.75" x14ac:dyDescent="0.2">
      <c r="A376" s="3"/>
      <c r="B376" s="43"/>
      <c r="C376" s="43"/>
      <c r="D376" s="43"/>
      <c r="E376" s="43"/>
      <c r="F376" s="101"/>
      <c r="G376" s="43"/>
      <c r="H376" s="43"/>
      <c r="I376" s="43"/>
      <c r="J376" s="43"/>
      <c r="K376" s="43"/>
      <c r="L376" s="43"/>
      <c r="M376" s="43"/>
      <c r="N376" s="43"/>
      <c r="O376" s="43"/>
      <c r="P376" s="3"/>
      <c r="Q376" s="3"/>
      <c r="R376" s="3"/>
      <c r="S376" s="3"/>
      <c r="T376" s="3"/>
      <c r="U376" s="3"/>
      <c r="V376" s="3"/>
      <c r="W376" s="3"/>
      <c r="X376" s="3"/>
      <c r="Y376" s="3"/>
      <c r="Z376" s="3"/>
    </row>
    <row r="377" spans="1:26" ht="12.75" x14ac:dyDescent="0.2">
      <c r="A377" s="3"/>
      <c r="B377" s="43"/>
      <c r="C377" s="70" t="s">
        <v>236</v>
      </c>
      <c r="D377" s="70"/>
      <c r="E377" s="70"/>
      <c r="F377" s="71">
        <f>F344+F354+F359+F370+F375</f>
        <v>612.8758134160322</v>
      </c>
      <c r="G377" s="71">
        <f t="shared" ref="G377:O377" si="80">G344+G354+G359+G370+G375</f>
        <v>601.34822009616596</v>
      </c>
      <c r="H377" s="71">
        <f t="shared" si="80"/>
        <v>626.08344554313021</v>
      </c>
      <c r="I377" s="71">
        <f t="shared" si="80"/>
        <v>615.19484061690719</v>
      </c>
      <c r="J377" s="71">
        <f t="shared" si="80"/>
        <v>614.08923000061441</v>
      </c>
      <c r="K377" s="71">
        <f t="shared" si="80"/>
        <v>601.49942370887652</v>
      </c>
      <c r="L377" s="71">
        <f t="shared" si="80"/>
        <v>621.14542072054348</v>
      </c>
      <c r="M377" s="71">
        <f t="shared" si="80"/>
        <v>603.1454207205436</v>
      </c>
      <c r="N377" s="71">
        <f t="shared" si="80"/>
        <v>621.14542072054348</v>
      </c>
      <c r="O377" s="71">
        <f t="shared" si="80"/>
        <v>603.14542072054348</v>
      </c>
      <c r="P377" s="3"/>
      <c r="Q377" s="3"/>
      <c r="R377" s="3"/>
      <c r="S377" s="3"/>
      <c r="T377" s="3"/>
      <c r="U377" s="3"/>
      <c r="V377" s="3"/>
      <c r="W377" s="3"/>
      <c r="X377" s="3"/>
      <c r="Y377" s="3"/>
      <c r="Z377" s="3"/>
    </row>
    <row r="378" spans="1:26" ht="12.75" x14ac:dyDescent="0.2">
      <c r="A378" s="3"/>
      <c r="B378" s="43"/>
      <c r="C378" s="43"/>
      <c r="D378" s="43"/>
      <c r="E378" s="43"/>
      <c r="F378" s="43"/>
      <c r="G378" s="43"/>
      <c r="H378" s="43"/>
      <c r="I378" s="43"/>
      <c r="J378" s="43"/>
      <c r="K378" s="43"/>
      <c r="L378" s="43"/>
      <c r="M378" s="43"/>
      <c r="N378" s="43"/>
      <c r="O378" s="43"/>
      <c r="P378" s="3"/>
      <c r="Q378" s="3"/>
      <c r="R378" s="3"/>
      <c r="S378" s="3"/>
      <c r="T378" s="3"/>
      <c r="U378" s="3"/>
      <c r="V378" s="3"/>
      <c r="W378" s="3"/>
      <c r="X378" s="3"/>
      <c r="Y378" s="3"/>
      <c r="Z378" s="3"/>
    </row>
    <row r="379" spans="1:26" ht="12.75" x14ac:dyDescent="0.2">
      <c r="A379" s="3"/>
      <c r="C379" s="72" t="s">
        <v>239</v>
      </c>
      <c r="D379" s="70"/>
      <c r="E379" s="70"/>
      <c r="F379" s="73">
        <f t="shared" ref="F379:O379" si="81">F339-F377</f>
        <v>-12.031705416032196</v>
      </c>
      <c r="G379" s="73">
        <f t="shared" si="81"/>
        <v>38.332464703834148</v>
      </c>
      <c r="H379" s="73">
        <f t="shared" si="81"/>
        <v>55.140363466869871</v>
      </c>
      <c r="I379" s="73">
        <f t="shared" si="81"/>
        <v>110.45220331209293</v>
      </c>
      <c r="J379" s="73">
        <f t="shared" si="81"/>
        <v>141.34016612483583</v>
      </c>
      <c r="K379" s="73">
        <f t="shared" si="81"/>
        <v>177.68867781633367</v>
      </c>
      <c r="L379" s="73">
        <f t="shared" si="81"/>
        <v>164.83202927945661</v>
      </c>
      <c r="M379" s="73">
        <f t="shared" si="81"/>
        <v>182.83202927945649</v>
      </c>
      <c r="N379" s="73">
        <f t="shared" si="81"/>
        <v>164.83202927945661</v>
      </c>
      <c r="O379" s="73">
        <f t="shared" si="81"/>
        <v>182.83202927945661</v>
      </c>
      <c r="P379" s="3"/>
      <c r="Q379" s="3"/>
      <c r="R379" s="3"/>
      <c r="S379" s="3"/>
      <c r="T379" s="3"/>
      <c r="U379" s="3"/>
      <c r="V379" s="3"/>
      <c r="W379" s="3"/>
      <c r="X379" s="3"/>
      <c r="Y379" s="3"/>
      <c r="Z379" s="3"/>
    </row>
    <row r="380" spans="1:26" ht="12.75"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x14ac:dyDescent="0.2">
      <c r="A381" s="29" t="s">
        <v>240</v>
      </c>
      <c r="B381" s="2"/>
      <c r="C381" s="2"/>
      <c r="D381" s="6" t="s">
        <v>174</v>
      </c>
      <c r="E381" s="21"/>
      <c r="F381" s="51">
        <v>0</v>
      </c>
      <c r="G381" s="51">
        <v>1</v>
      </c>
      <c r="H381" s="51">
        <v>2</v>
      </c>
      <c r="I381" s="51">
        <v>3</v>
      </c>
      <c r="J381" s="51">
        <v>4</v>
      </c>
      <c r="K381" s="51">
        <v>5</v>
      </c>
      <c r="L381" s="51">
        <v>6</v>
      </c>
      <c r="M381" s="51">
        <v>7</v>
      </c>
      <c r="N381" s="51">
        <v>8</v>
      </c>
      <c r="O381" s="51">
        <v>9</v>
      </c>
      <c r="P381" s="2"/>
      <c r="Q381" s="2"/>
      <c r="R381" s="2"/>
      <c r="S381" s="2"/>
      <c r="T381" s="2"/>
      <c r="U381" s="2"/>
      <c r="V381" s="2"/>
      <c r="W381" s="2"/>
      <c r="X381" s="2"/>
      <c r="Y381" s="2"/>
      <c r="Z381" s="2"/>
    </row>
    <row r="382" spans="1:26" ht="12.75" x14ac:dyDescent="0.2">
      <c r="A382" s="3"/>
      <c r="B382" s="479" t="s">
        <v>887</v>
      </c>
      <c r="C382" s="43"/>
      <c r="D382" s="43"/>
      <c r="E382" s="43"/>
      <c r="F382" s="43"/>
      <c r="G382" s="43"/>
      <c r="H382" s="43"/>
      <c r="I382" s="43"/>
      <c r="J382" s="43"/>
      <c r="K382" s="43"/>
      <c r="L382" s="43"/>
      <c r="M382" s="43"/>
      <c r="N382" s="43"/>
      <c r="O382" s="43"/>
      <c r="P382" s="3"/>
      <c r="Q382" s="3"/>
      <c r="R382" s="3"/>
      <c r="S382" s="3"/>
      <c r="T382" s="3"/>
      <c r="U382" s="3"/>
      <c r="V382" s="3"/>
      <c r="W382" s="3"/>
      <c r="X382" s="3"/>
      <c r="Y382" s="3"/>
      <c r="Z382" s="3"/>
    </row>
    <row r="383" spans="1:26" ht="12.75" x14ac:dyDescent="0.2">
      <c r="A383" s="3"/>
      <c r="B383" s="43"/>
      <c r="C383" s="46" t="s">
        <v>241</v>
      </c>
      <c r="D383" s="43"/>
      <c r="E383" s="43"/>
      <c r="F383" s="39">
        <f>F339-F$285</f>
        <v>328.52755300000001</v>
      </c>
      <c r="G383" s="39">
        <f>G339-G$285</f>
        <v>364.64096425000014</v>
      </c>
      <c r="H383" s="39">
        <f>H339-H$285</f>
        <v>403.43369125450005</v>
      </c>
      <c r="I383" s="39">
        <f>I339-I$285</f>
        <v>445.07902499594513</v>
      </c>
      <c r="J383" s="39">
        <f>J339-J$285</f>
        <v>472.05569700306472</v>
      </c>
      <c r="K383" s="39">
        <f>K339-K$285</f>
        <v>492.98066541160074</v>
      </c>
      <c r="L383" s="39">
        <f>L339-L$285</f>
        <v>496.90793952525462</v>
      </c>
      <c r="M383" s="39">
        <f>M339-M$285</f>
        <v>494.01724442050715</v>
      </c>
      <c r="N383" s="39">
        <f>N339-N$285</f>
        <v>491.09764236471227</v>
      </c>
      <c r="O383" s="39">
        <f>O339-O$285</f>
        <v>488.14884428835933</v>
      </c>
      <c r="P383" s="3"/>
      <c r="Q383" s="3"/>
      <c r="R383" s="3"/>
      <c r="S383" s="3"/>
      <c r="T383" s="3"/>
      <c r="U383" s="3"/>
      <c r="V383" s="3"/>
      <c r="W383" s="3"/>
      <c r="X383" s="3"/>
      <c r="Y383" s="3"/>
      <c r="Z383" s="3"/>
    </row>
    <row r="384" spans="1:26" ht="12.75" x14ac:dyDescent="0.2">
      <c r="A384" s="3"/>
      <c r="B384" s="43"/>
      <c r="C384" s="46" t="s">
        <v>242</v>
      </c>
      <c r="D384" s="43"/>
      <c r="E384" s="43"/>
      <c r="F384" s="39">
        <f>F377-F$323</f>
        <v>284.95618300975769</v>
      </c>
      <c r="G384" s="39">
        <f>G377-G$323</f>
        <v>291.31425175832283</v>
      </c>
      <c r="H384" s="39">
        <f>H377-H$323</f>
        <v>297.93499589440285</v>
      </c>
      <c r="I384" s="39">
        <f>I377-I$323</f>
        <v>304.9317648441866</v>
      </c>
      <c r="J384" s="39">
        <f>J377-J$323</f>
        <v>285.71138184266073</v>
      </c>
      <c r="K384" s="39">
        <f>K377-K$323</f>
        <v>291.00665544183738</v>
      </c>
      <c r="L384" s="39">
        <f>L377-L$323</f>
        <v>292.63758314332807</v>
      </c>
      <c r="M384" s="39">
        <f>M377-M$323</f>
        <v>292.52236314005017</v>
      </c>
      <c r="N384" s="39">
        <f>N377-N$323</f>
        <v>292.40699093673919</v>
      </c>
      <c r="O384" s="39">
        <f>O377-O$323</f>
        <v>292.2914650113953</v>
      </c>
      <c r="P384" s="3"/>
      <c r="Q384" s="3"/>
      <c r="R384" s="3"/>
      <c r="S384" s="3"/>
      <c r="T384" s="3"/>
      <c r="U384" s="3"/>
      <c r="V384" s="3"/>
      <c r="W384" s="3"/>
      <c r="X384" s="3"/>
      <c r="Y384" s="3"/>
      <c r="Z384" s="3"/>
    </row>
    <row r="385" spans="1:26" ht="12.75" x14ac:dyDescent="0.2">
      <c r="A385" s="3"/>
      <c r="B385" s="43"/>
      <c r="C385" s="46" t="s">
        <v>243</v>
      </c>
      <c r="D385" s="43"/>
      <c r="E385" s="43"/>
      <c r="F385" s="39">
        <f>F383-F384</f>
        <v>43.571369990242317</v>
      </c>
      <c r="G385" s="39">
        <f t="shared" ref="G385:O385" si="82">G383-G384</f>
        <v>73.326712491677313</v>
      </c>
      <c r="H385" s="39">
        <f t="shared" si="82"/>
        <v>105.4986953600972</v>
      </c>
      <c r="I385" s="39">
        <f t="shared" si="82"/>
        <v>140.14726015175853</v>
      </c>
      <c r="J385" s="39">
        <f t="shared" si="82"/>
        <v>186.34431516040399</v>
      </c>
      <c r="K385" s="39">
        <f t="shared" si="82"/>
        <v>201.97400996976336</v>
      </c>
      <c r="L385" s="39">
        <f t="shared" si="82"/>
        <v>204.27035638192655</v>
      </c>
      <c r="M385" s="39">
        <f t="shared" si="82"/>
        <v>201.49488128045698</v>
      </c>
      <c r="N385" s="39">
        <f t="shared" si="82"/>
        <v>198.69065142797308</v>
      </c>
      <c r="O385" s="39">
        <f t="shared" si="82"/>
        <v>195.85737927696402</v>
      </c>
      <c r="P385" s="3"/>
      <c r="Q385" s="3"/>
      <c r="R385" s="3"/>
      <c r="S385" s="3"/>
      <c r="T385" s="3"/>
      <c r="U385" s="3"/>
      <c r="V385" s="3"/>
      <c r="W385" s="3"/>
      <c r="X385" s="3"/>
      <c r="Y385" s="3"/>
      <c r="Z385" s="3"/>
    </row>
    <row r="386" spans="1:26" ht="13.5" thickBot="1" x14ac:dyDescent="0.25">
      <c r="A386" s="3"/>
      <c r="B386" s="43"/>
      <c r="C386" s="43"/>
      <c r="D386" s="43"/>
      <c r="E386" s="43"/>
      <c r="F386" s="43"/>
      <c r="G386" s="3"/>
      <c r="H386" s="3"/>
      <c r="I386" s="3"/>
      <c r="J386" s="3"/>
      <c r="K386" s="3"/>
      <c r="L386" s="3"/>
      <c r="M386" s="3"/>
      <c r="N386" s="3"/>
      <c r="O386" s="3"/>
      <c r="P386" s="3"/>
      <c r="Q386" s="3"/>
      <c r="R386" s="3"/>
      <c r="S386" s="3"/>
      <c r="T386" s="3"/>
      <c r="U386" s="3"/>
      <c r="V386" s="3"/>
      <c r="W386" s="3"/>
      <c r="X386" s="3"/>
      <c r="Y386" s="3"/>
      <c r="Z386" s="3"/>
    </row>
    <row r="387" spans="1:26" ht="13.5" thickTop="1" x14ac:dyDescent="0.2">
      <c r="A387" s="3"/>
      <c r="B387" s="43"/>
      <c r="C387" s="86" t="s">
        <v>249</v>
      </c>
      <c r="D387" s="86"/>
      <c r="E387" s="86"/>
      <c r="F387" s="92">
        <f>NPV($F$19,G385:O385)+F385</f>
        <v>718.8527944697546</v>
      </c>
      <c r="G387" s="3"/>
      <c r="H387" s="3"/>
      <c r="I387" s="3"/>
      <c r="J387" s="3"/>
      <c r="K387" s="3"/>
      <c r="L387" s="3"/>
      <c r="M387" s="3"/>
      <c r="N387" s="3"/>
      <c r="O387" s="3"/>
      <c r="P387" s="3"/>
      <c r="Q387" s="3"/>
      <c r="R387" s="3"/>
      <c r="S387" s="3"/>
      <c r="T387" s="3"/>
      <c r="U387" s="3"/>
      <c r="V387" s="3"/>
      <c r="W387" s="3"/>
      <c r="X387" s="3"/>
      <c r="Y387" s="3"/>
      <c r="Z387" s="3"/>
    </row>
    <row r="388" spans="1:26" ht="13.5" thickBot="1" x14ac:dyDescent="0.25">
      <c r="A388" s="3"/>
      <c r="B388" s="43"/>
      <c r="C388" s="87" t="s">
        <v>390</v>
      </c>
      <c r="D388" s="87"/>
      <c r="E388" s="87"/>
      <c r="F388" s="240">
        <f>F387/$F$10*1000</f>
        <v>4562.9858732369848</v>
      </c>
      <c r="G388" s="3"/>
      <c r="H388" s="3"/>
      <c r="I388" s="3"/>
      <c r="J388" s="3"/>
      <c r="K388" s="3"/>
      <c r="L388" s="3"/>
      <c r="M388" s="3"/>
      <c r="N388" s="3"/>
      <c r="O388" s="3"/>
      <c r="P388" s="3"/>
      <c r="Q388" s="3"/>
      <c r="R388" s="3"/>
      <c r="S388" s="3"/>
      <c r="T388" s="3"/>
      <c r="U388" s="3"/>
      <c r="V388" s="3"/>
      <c r="W388" s="3"/>
      <c r="X388" s="3"/>
      <c r="Y388" s="3"/>
      <c r="Z388" s="3"/>
    </row>
    <row r="389" spans="1:26" ht="13.5" thickTop="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x14ac:dyDescent="0.2">
      <c r="A390" s="29" t="s">
        <v>705</v>
      </c>
      <c r="B390" s="2"/>
      <c r="C390" s="2"/>
      <c r="D390" s="6" t="s">
        <v>174</v>
      </c>
      <c r="E390" s="21"/>
      <c r="F390" s="51">
        <v>0</v>
      </c>
      <c r="G390" s="51">
        <v>1</v>
      </c>
      <c r="H390" s="51">
        <v>2</v>
      </c>
      <c r="I390" s="51">
        <v>3</v>
      </c>
      <c r="J390" s="51">
        <v>4</v>
      </c>
      <c r="K390" s="51">
        <v>5</v>
      </c>
      <c r="L390" s="51">
        <v>6</v>
      </c>
      <c r="M390" s="51">
        <v>7</v>
      </c>
      <c r="N390" s="51">
        <v>8</v>
      </c>
      <c r="O390" s="51">
        <v>9</v>
      </c>
      <c r="P390" s="2"/>
      <c r="Q390" s="2"/>
      <c r="R390" s="2"/>
      <c r="S390" s="2"/>
      <c r="T390" s="2"/>
      <c r="U390" s="2"/>
      <c r="V390" s="2"/>
      <c r="W390" s="2"/>
      <c r="X390" s="2"/>
      <c r="Y390" s="2"/>
      <c r="Z390" s="2"/>
    </row>
    <row r="391" spans="1:26" ht="12.75" x14ac:dyDescent="0.2">
      <c r="A391" s="3"/>
      <c r="B391" s="32" t="s">
        <v>678</v>
      </c>
      <c r="C391" s="33"/>
      <c r="D391" s="33"/>
      <c r="E391" s="33"/>
      <c r="F391" s="33"/>
      <c r="G391" s="33"/>
      <c r="H391" s="33"/>
      <c r="I391" s="33"/>
      <c r="J391" s="33"/>
      <c r="K391" s="33"/>
      <c r="L391" s="33"/>
      <c r="M391" s="33"/>
      <c r="N391" s="33"/>
      <c r="O391" s="33"/>
      <c r="P391" s="3"/>
      <c r="Q391" s="3"/>
      <c r="R391" s="3"/>
      <c r="S391" s="3"/>
      <c r="T391" s="3"/>
      <c r="U391" s="3"/>
      <c r="V391" s="3"/>
      <c r="W391" s="3"/>
      <c r="X391" s="3"/>
      <c r="Y391" s="3"/>
      <c r="Z391" s="3"/>
    </row>
    <row r="392" spans="1:26" ht="12.75" x14ac:dyDescent="0.2">
      <c r="A392" s="3"/>
      <c r="C392" s="64" t="s">
        <v>671</v>
      </c>
      <c r="D392" s="33"/>
      <c r="E392" s="279"/>
      <c r="F392" s="33"/>
      <c r="G392" s="33"/>
      <c r="H392" s="33"/>
      <c r="I392" s="33"/>
      <c r="J392" s="33"/>
      <c r="K392" s="33"/>
      <c r="L392" s="33"/>
      <c r="M392" s="33"/>
      <c r="N392" s="33"/>
      <c r="O392" s="33"/>
      <c r="P392" s="3"/>
      <c r="Q392" s="3"/>
      <c r="R392" s="3"/>
      <c r="S392" s="3"/>
      <c r="T392" s="3"/>
      <c r="U392" s="3"/>
      <c r="V392" s="3"/>
      <c r="W392" s="3"/>
      <c r="X392" s="3"/>
      <c r="Y392" s="3"/>
      <c r="Z392" s="3"/>
    </row>
    <row r="393" spans="1:26" ht="12.75" x14ac:dyDescent="0.2">
      <c r="A393" s="3"/>
      <c r="B393" s="64"/>
      <c r="C393" s="34" t="s">
        <v>1036</v>
      </c>
      <c r="D393" s="33"/>
      <c r="E393" s="279" t="s">
        <v>666</v>
      </c>
      <c r="F393" s="33"/>
      <c r="G393" s="33"/>
      <c r="H393" s="33"/>
      <c r="I393" s="33"/>
      <c r="J393" s="33"/>
      <c r="K393" s="33"/>
      <c r="L393" s="33"/>
      <c r="M393" s="33"/>
      <c r="N393" s="33"/>
      <c r="O393" s="33"/>
      <c r="P393" s="3"/>
      <c r="Q393" s="3"/>
      <c r="R393" s="3"/>
      <c r="S393" s="3"/>
      <c r="T393" s="3"/>
      <c r="U393" s="3"/>
      <c r="V393" s="3"/>
      <c r="W393" s="3"/>
      <c r="X393" s="3"/>
      <c r="Y393" s="3"/>
      <c r="Z393" s="3"/>
    </row>
    <row r="394" spans="1:26" ht="12.75" x14ac:dyDescent="0.2">
      <c r="A394" s="3"/>
      <c r="B394" s="33"/>
      <c r="C394" s="781" t="s">
        <v>195</v>
      </c>
      <c r="D394" s="33"/>
      <c r="E394" s="299">
        <f>CFs!$C$201</f>
        <v>0.67056688148247967</v>
      </c>
      <c r="F394" s="39">
        <f>$E394*F275</f>
        <v>233.44860596516085</v>
      </c>
      <c r="G394" s="39">
        <f>$E394*G275</f>
        <v>235.78309202481242</v>
      </c>
      <c r="H394" s="39">
        <f>$E394*H275</f>
        <v>238.14092294506059</v>
      </c>
      <c r="I394" s="39">
        <f>$E394*I275</f>
        <v>240.52233217451118</v>
      </c>
      <c r="J394" s="39">
        <f>$E394*J275</f>
        <v>242.92755549625628</v>
      </c>
      <c r="K394" s="39">
        <f>$E394*K275</f>
        <v>245.3568310512189</v>
      </c>
      <c r="L394" s="39">
        <f>$E394*L275</f>
        <v>247.81039936173104</v>
      </c>
      <c r="M394" s="39">
        <f>$E394*M275</f>
        <v>250.28850335534833</v>
      </c>
      <c r="N394" s="39">
        <f>$E394*N275</f>
        <v>252.79138838890179</v>
      </c>
      <c r="O394" s="39">
        <f>$E394*O275</f>
        <v>255.31930227279085</v>
      </c>
      <c r="P394" s="3"/>
      <c r="Q394" s="3"/>
      <c r="R394" s="3"/>
      <c r="S394" s="3"/>
      <c r="T394" s="3"/>
      <c r="U394" s="3"/>
      <c r="V394" s="3"/>
      <c r="W394" s="3"/>
      <c r="X394" s="3"/>
      <c r="Y394" s="3"/>
      <c r="Z394" s="3"/>
    </row>
    <row r="395" spans="1:26" ht="12.75" x14ac:dyDescent="0.2">
      <c r="A395" s="3"/>
      <c r="B395" s="33"/>
      <c r="C395" s="27" t="s">
        <v>231</v>
      </c>
      <c r="D395" s="33"/>
      <c r="E395" s="299">
        <f>CFs!$C$201</f>
        <v>0.67056688148247967</v>
      </c>
      <c r="F395" s="39">
        <f>$E395*F276</f>
        <v>50.842142902758688</v>
      </c>
      <c r="G395" s="39">
        <f>$E395*G276</f>
        <v>51.350564331786266</v>
      </c>
      <c r="H395" s="39">
        <f>$E395*H276</f>
        <v>51.864069975104144</v>
      </c>
      <c r="I395" s="39">
        <f>$E395*I276</f>
        <v>52.382710674855161</v>
      </c>
      <c r="J395" s="39">
        <f>$E395*J276</f>
        <v>52.906537781603738</v>
      </c>
      <c r="K395" s="39">
        <f>$E395*K276</f>
        <v>53.435603159419756</v>
      </c>
      <c r="L395" s="39">
        <f>$E395*L276</f>
        <v>53.969959191013963</v>
      </c>
      <c r="M395" s="39">
        <f>$E395*M276</f>
        <v>54.509658782924092</v>
      </c>
      <c r="N395" s="39">
        <f>$E395*N276</f>
        <v>55.054755370753341</v>
      </c>
      <c r="O395" s="39">
        <f>$E395*O276</f>
        <v>55.605302924460879</v>
      </c>
      <c r="P395" s="3"/>
      <c r="Q395" s="3"/>
      <c r="R395" s="3"/>
      <c r="S395" s="3"/>
      <c r="T395" s="3"/>
      <c r="U395" s="3"/>
      <c r="V395" s="3"/>
      <c r="W395" s="3"/>
      <c r="X395" s="3"/>
      <c r="Y395" s="3"/>
      <c r="Z395" s="3"/>
    </row>
    <row r="396" spans="1:26" ht="12.75" x14ac:dyDescent="0.2">
      <c r="A396" s="3"/>
      <c r="B396" s="33"/>
      <c r="C396" s="559" t="s">
        <v>1035</v>
      </c>
      <c r="D396" s="36"/>
      <c r="E396" s="36"/>
      <c r="F396" s="59">
        <f t="shared" ref="F396:O396" si="83">F394-F395</f>
        <v>182.60646306240216</v>
      </c>
      <c r="G396" s="59">
        <f t="shared" si="83"/>
        <v>184.43252769302615</v>
      </c>
      <c r="H396" s="59">
        <f t="shared" si="83"/>
        <v>186.27685296995645</v>
      </c>
      <c r="I396" s="59">
        <f t="shared" si="83"/>
        <v>188.13962149965602</v>
      </c>
      <c r="J396" s="59">
        <f t="shared" si="83"/>
        <v>190.02101771465254</v>
      </c>
      <c r="K396" s="59">
        <f t="shared" si="83"/>
        <v>191.92122789179916</v>
      </c>
      <c r="L396" s="59">
        <f t="shared" si="83"/>
        <v>193.84044017071707</v>
      </c>
      <c r="M396" s="59">
        <f t="shared" si="83"/>
        <v>195.77884457242425</v>
      </c>
      <c r="N396" s="59">
        <f t="shared" si="83"/>
        <v>197.73663301814844</v>
      </c>
      <c r="O396" s="59">
        <f t="shared" si="83"/>
        <v>199.71399934832996</v>
      </c>
      <c r="P396" s="3"/>
      <c r="Q396" s="3"/>
      <c r="R396" s="3"/>
      <c r="S396" s="3"/>
      <c r="T396" s="3"/>
      <c r="U396" s="3"/>
      <c r="V396" s="3"/>
      <c r="W396" s="3"/>
      <c r="X396" s="3"/>
      <c r="Y396" s="3"/>
      <c r="Z396" s="3"/>
    </row>
    <row r="397" spans="1:26" ht="12.75" x14ac:dyDescent="0.2">
      <c r="A397" s="3"/>
      <c r="B397" s="33"/>
      <c r="C397" s="62"/>
      <c r="D397" s="62"/>
      <c r="E397" s="62"/>
      <c r="F397" s="253"/>
      <c r="G397" s="253"/>
      <c r="H397" s="253"/>
      <c r="I397" s="253"/>
      <c r="J397" s="253"/>
      <c r="K397" s="253"/>
      <c r="L397" s="253"/>
      <c r="M397" s="253"/>
      <c r="N397" s="253"/>
      <c r="O397" s="253"/>
      <c r="P397" s="3"/>
      <c r="Q397" s="3"/>
      <c r="R397" s="3"/>
      <c r="S397" s="3"/>
      <c r="T397" s="3"/>
      <c r="U397" s="3"/>
      <c r="V397" s="3"/>
      <c r="W397" s="3"/>
      <c r="X397" s="3"/>
      <c r="Y397" s="3"/>
      <c r="Z397" s="3"/>
    </row>
    <row r="398" spans="1:26" ht="12.75" x14ac:dyDescent="0.2">
      <c r="A398" s="3"/>
      <c r="B398" s="33"/>
      <c r="C398" s="34" t="s">
        <v>266</v>
      </c>
      <c r="D398" s="33"/>
      <c r="E398" s="33"/>
      <c r="F398" s="37"/>
      <c r="G398" s="37"/>
      <c r="H398" s="37"/>
      <c r="I398" s="37"/>
      <c r="J398" s="37"/>
      <c r="K398" s="37"/>
      <c r="L398" s="37"/>
      <c r="M398" s="37"/>
      <c r="N398" s="37"/>
      <c r="O398" s="37"/>
      <c r="P398" s="3"/>
      <c r="Q398" s="3"/>
      <c r="R398" s="3"/>
      <c r="S398" s="3"/>
      <c r="T398" s="3"/>
      <c r="U398" s="3"/>
      <c r="V398" s="3"/>
      <c r="W398" s="3"/>
      <c r="X398" s="3"/>
      <c r="Y398" s="3"/>
      <c r="Z398" s="3"/>
    </row>
    <row r="399" spans="1:26" ht="12.75" x14ac:dyDescent="0.2">
      <c r="A399" s="3"/>
      <c r="B399" s="33"/>
      <c r="C399" s="35" t="s">
        <v>267</v>
      </c>
      <c r="D399" s="33"/>
      <c r="E399" s="299">
        <v>0</v>
      </c>
      <c r="F399" s="39">
        <f>$E399*F280</f>
        <v>0</v>
      </c>
      <c r="G399" s="39">
        <f>$E399*G280</f>
        <v>0</v>
      </c>
      <c r="H399" s="39">
        <f>$E399*H280</f>
        <v>0</v>
      </c>
      <c r="I399" s="39">
        <f>$E399*I280</f>
        <v>0</v>
      </c>
      <c r="J399" s="39">
        <f>$E399*J280</f>
        <v>0</v>
      </c>
      <c r="K399" s="39">
        <f>$E399*K280</f>
        <v>0</v>
      </c>
      <c r="L399" s="39">
        <f>$E399*L280</f>
        <v>0</v>
      </c>
      <c r="M399" s="39">
        <f>$E399*M280</f>
        <v>0</v>
      </c>
      <c r="N399" s="39">
        <f>$E399*N280</f>
        <v>0</v>
      </c>
      <c r="O399" s="39">
        <f>$E399*O280</f>
        <v>0</v>
      </c>
      <c r="P399" s="3"/>
      <c r="Q399" s="3"/>
      <c r="R399" s="3"/>
      <c r="S399" s="3"/>
      <c r="T399" s="3"/>
      <c r="U399" s="3"/>
      <c r="V399" s="3"/>
      <c r="W399" s="3"/>
      <c r="X399" s="3"/>
      <c r="Y399" s="3"/>
      <c r="Z399" s="3"/>
    </row>
    <row r="400" spans="1:26" ht="12.75" x14ac:dyDescent="0.2">
      <c r="A400" s="3"/>
      <c r="B400" s="33"/>
      <c r="C400" s="35" t="s">
        <v>138</v>
      </c>
      <c r="D400" s="33"/>
      <c r="E400" s="299">
        <v>0</v>
      </c>
      <c r="F400" s="39">
        <f>$E400*F281</f>
        <v>0</v>
      </c>
      <c r="G400" s="39">
        <f>$E400*G281</f>
        <v>0</v>
      </c>
      <c r="H400" s="39">
        <f>$E400*H281</f>
        <v>0</v>
      </c>
      <c r="I400" s="39">
        <f>$E400*I281</f>
        <v>0</v>
      </c>
      <c r="J400" s="39">
        <f>$E400*J281</f>
        <v>0</v>
      </c>
      <c r="K400" s="39">
        <f>$E400*K281</f>
        <v>0</v>
      </c>
      <c r="L400" s="39">
        <f>$E400*L281</f>
        <v>0</v>
      </c>
      <c r="M400" s="39">
        <f>$E400*M281</f>
        <v>0</v>
      </c>
      <c r="N400" s="39">
        <f>$E400*N281</f>
        <v>0</v>
      </c>
      <c r="O400" s="39">
        <f>$E400*O281</f>
        <v>0</v>
      </c>
      <c r="P400" s="3"/>
      <c r="Q400" s="3"/>
      <c r="R400" s="3"/>
      <c r="S400" s="3"/>
      <c r="T400" s="3"/>
      <c r="U400" s="3"/>
      <c r="V400" s="3"/>
      <c r="W400" s="3"/>
      <c r="X400" s="3"/>
      <c r="Y400" s="3"/>
      <c r="Z400" s="3"/>
    </row>
    <row r="401" spans="1:26" ht="12.75" x14ac:dyDescent="0.2">
      <c r="A401" s="3"/>
      <c r="B401" s="33"/>
      <c r="C401" s="558" t="s">
        <v>843</v>
      </c>
      <c r="D401" s="33"/>
      <c r="E401" s="299">
        <v>1</v>
      </c>
      <c r="F401" s="39"/>
      <c r="G401" s="39"/>
      <c r="H401" s="39"/>
      <c r="I401" s="39"/>
      <c r="J401" s="39"/>
      <c r="K401" s="39"/>
      <c r="L401" s="39"/>
      <c r="M401" s="39"/>
      <c r="N401" s="39"/>
      <c r="O401" s="39">
        <f>$E401*O282</f>
        <v>0</v>
      </c>
      <c r="P401" s="3"/>
      <c r="Q401" s="3"/>
      <c r="R401" s="3"/>
      <c r="S401" s="3"/>
      <c r="T401" s="3"/>
      <c r="U401" s="3"/>
      <c r="V401" s="3"/>
      <c r="W401" s="3"/>
      <c r="X401" s="3"/>
      <c r="Y401" s="3"/>
      <c r="Z401" s="3"/>
    </row>
    <row r="402" spans="1:26" ht="12.75" x14ac:dyDescent="0.2">
      <c r="A402" s="3"/>
      <c r="B402" s="33"/>
      <c r="C402" s="36" t="s">
        <v>247</v>
      </c>
      <c r="D402" s="36"/>
      <c r="E402" s="36"/>
      <c r="F402" s="59">
        <f t="shared" ref="F402:O402" si="84">SUM(F399:F401)</f>
        <v>0</v>
      </c>
      <c r="G402" s="59">
        <f t="shared" si="84"/>
        <v>0</v>
      </c>
      <c r="H402" s="59">
        <f t="shared" si="84"/>
        <v>0</v>
      </c>
      <c r="I402" s="59">
        <f t="shared" si="84"/>
        <v>0</v>
      </c>
      <c r="J402" s="59">
        <f t="shared" si="84"/>
        <v>0</v>
      </c>
      <c r="K402" s="59">
        <f t="shared" si="84"/>
        <v>0</v>
      </c>
      <c r="L402" s="59">
        <f t="shared" si="84"/>
        <v>0</v>
      </c>
      <c r="M402" s="59">
        <f t="shared" si="84"/>
        <v>0</v>
      </c>
      <c r="N402" s="59">
        <f t="shared" si="84"/>
        <v>0</v>
      </c>
      <c r="O402" s="59">
        <f t="shared" si="84"/>
        <v>0</v>
      </c>
      <c r="P402" s="3"/>
      <c r="Q402" s="3"/>
      <c r="R402" s="3"/>
      <c r="S402" s="3"/>
      <c r="T402" s="3"/>
      <c r="U402" s="3"/>
      <c r="V402" s="3"/>
      <c r="W402" s="3"/>
      <c r="X402" s="3"/>
      <c r="Y402" s="3"/>
      <c r="Z402" s="3"/>
    </row>
    <row r="403" spans="1:26" ht="12.75" x14ac:dyDescent="0.2">
      <c r="A403" s="3"/>
      <c r="B403" s="33"/>
      <c r="C403" s="27"/>
      <c r="D403" s="33"/>
      <c r="E403" s="33"/>
      <c r="F403" s="37"/>
      <c r="G403" s="37"/>
      <c r="H403" s="37"/>
      <c r="I403" s="37"/>
      <c r="J403" s="37"/>
      <c r="K403" s="37"/>
      <c r="L403" s="37"/>
      <c r="M403" s="37"/>
      <c r="N403" s="37"/>
      <c r="O403" s="37"/>
      <c r="P403" s="3"/>
      <c r="Q403" s="3"/>
      <c r="R403" s="3"/>
      <c r="S403" s="3"/>
      <c r="T403" s="3"/>
      <c r="U403" s="3"/>
      <c r="V403" s="3"/>
      <c r="W403" s="3"/>
      <c r="X403" s="3"/>
      <c r="Y403" s="3"/>
      <c r="Z403" s="3"/>
    </row>
    <row r="404" spans="1:26" ht="12.75" x14ac:dyDescent="0.2">
      <c r="A404" s="3"/>
      <c r="B404" s="33"/>
      <c r="C404" s="66" t="s">
        <v>675</v>
      </c>
      <c r="D404" s="66"/>
      <c r="E404" s="66"/>
      <c r="F404" s="67">
        <f>F396+F402</f>
        <v>182.60646306240216</v>
      </c>
      <c r="G404" s="67">
        <f t="shared" ref="G404:O404" si="85">G396+G402</f>
        <v>184.43252769302615</v>
      </c>
      <c r="H404" s="67">
        <f t="shared" si="85"/>
        <v>186.27685296995645</v>
      </c>
      <c r="I404" s="67">
        <f t="shared" si="85"/>
        <v>188.13962149965602</v>
      </c>
      <c r="J404" s="67">
        <f t="shared" si="85"/>
        <v>190.02101771465254</v>
      </c>
      <c r="K404" s="67">
        <f t="shared" si="85"/>
        <v>191.92122789179916</v>
      </c>
      <c r="L404" s="67">
        <f t="shared" si="85"/>
        <v>193.84044017071707</v>
      </c>
      <c r="M404" s="67">
        <f t="shared" si="85"/>
        <v>195.77884457242425</v>
      </c>
      <c r="N404" s="67">
        <f t="shared" si="85"/>
        <v>197.73663301814844</v>
      </c>
      <c r="O404" s="67">
        <f t="shared" si="85"/>
        <v>199.71399934832996</v>
      </c>
      <c r="P404" s="3"/>
      <c r="Q404" s="3"/>
      <c r="R404" s="3"/>
      <c r="S404" s="3"/>
      <c r="T404" s="3"/>
      <c r="U404" s="3"/>
      <c r="V404" s="3"/>
      <c r="W404" s="3"/>
      <c r="X404" s="3"/>
      <c r="Y404" s="3"/>
      <c r="Z404" s="3"/>
    </row>
    <row r="405" spans="1:26" ht="12.75" x14ac:dyDescent="0.2">
      <c r="A405" s="3"/>
      <c r="B405" s="33"/>
      <c r="C405" s="33"/>
      <c r="D405" s="33"/>
      <c r="E405" s="33"/>
      <c r="F405" s="33"/>
      <c r="G405" s="33"/>
      <c r="H405" s="33"/>
      <c r="I405" s="33"/>
      <c r="J405" s="33"/>
      <c r="K405" s="33"/>
      <c r="L405" s="33"/>
      <c r="M405" s="33"/>
      <c r="N405" s="33"/>
      <c r="O405" s="33"/>
      <c r="P405" s="3"/>
      <c r="Q405" s="3"/>
      <c r="R405" s="3"/>
      <c r="S405" s="3"/>
      <c r="T405" s="3"/>
      <c r="U405" s="3"/>
      <c r="V405" s="3"/>
      <c r="W405" s="3"/>
      <c r="X405" s="3"/>
      <c r="Y405" s="3"/>
      <c r="Z405" s="3"/>
    </row>
    <row r="406" spans="1:26" ht="12.75" x14ac:dyDescent="0.2">
      <c r="A406" s="3"/>
      <c r="C406" s="64" t="s">
        <v>670</v>
      </c>
      <c r="D406" s="33"/>
      <c r="E406" s="33"/>
      <c r="F406" s="33"/>
      <c r="G406" s="33"/>
      <c r="H406" s="33"/>
      <c r="I406" s="33"/>
      <c r="J406" s="33"/>
      <c r="K406" s="33"/>
      <c r="L406" s="33"/>
      <c r="M406" s="33"/>
      <c r="N406" s="33"/>
      <c r="O406" s="33"/>
      <c r="P406" s="3"/>
      <c r="Q406" s="3"/>
      <c r="R406" s="3"/>
      <c r="S406" s="3"/>
      <c r="T406" s="3"/>
      <c r="U406" s="3"/>
      <c r="V406" s="3"/>
      <c r="W406" s="3"/>
      <c r="X406" s="3"/>
      <c r="Y406" s="3"/>
      <c r="Z406" s="3"/>
    </row>
    <row r="407" spans="1:26" ht="12.75" x14ac:dyDescent="0.2">
      <c r="A407" s="3"/>
      <c r="B407" s="33"/>
      <c r="C407" s="34" t="s">
        <v>218</v>
      </c>
      <c r="D407" s="33"/>
      <c r="E407" s="33"/>
      <c r="F407" s="33"/>
      <c r="G407" s="33"/>
      <c r="H407" s="33"/>
      <c r="I407" s="33"/>
      <c r="J407" s="33"/>
      <c r="K407" s="33"/>
      <c r="L407" s="33"/>
      <c r="M407" s="33"/>
      <c r="N407" s="33"/>
      <c r="O407" s="33"/>
      <c r="P407" s="3"/>
      <c r="Q407" s="3"/>
      <c r="R407" s="3"/>
      <c r="S407" s="3"/>
      <c r="T407" s="3"/>
      <c r="U407" s="3"/>
      <c r="V407" s="3"/>
      <c r="W407" s="3"/>
      <c r="X407" s="3"/>
      <c r="Y407" s="3"/>
      <c r="Z407" s="3"/>
    </row>
    <row r="408" spans="1:26" ht="12.75" x14ac:dyDescent="0.2">
      <c r="A408" s="3"/>
      <c r="B408" s="33"/>
      <c r="C408" s="94" t="s">
        <v>272</v>
      </c>
      <c r="D408" s="33"/>
      <c r="E408" s="302">
        <v>1</v>
      </c>
      <c r="F408" s="39">
        <f>$E408*F293</f>
        <v>25.229760920000004</v>
      </c>
      <c r="G408" s="39">
        <f>$E408*G293</f>
        <v>25.229760920000004</v>
      </c>
      <c r="H408" s="39">
        <f>$E408*H293</f>
        <v>25.22976092</v>
      </c>
      <c r="I408" s="39">
        <f>$E408*I293</f>
        <v>25.229760920000004</v>
      </c>
      <c r="J408" s="39">
        <f>$E408*J293</f>
        <v>25.229760920000004</v>
      </c>
      <c r="K408" s="39">
        <f>$E408*K293</f>
        <v>25.229760920000007</v>
      </c>
      <c r="L408" s="39">
        <f>$E408*L293</f>
        <v>25.229760920000004</v>
      </c>
      <c r="M408" s="39">
        <f>$E408*M293</f>
        <v>25.229760920000004</v>
      </c>
      <c r="N408" s="39">
        <f>$E408*N293</f>
        <v>25.22976092</v>
      </c>
      <c r="O408" s="39">
        <f>$E408*O293</f>
        <v>25.229760920000007</v>
      </c>
      <c r="P408" s="3"/>
      <c r="Q408" s="3"/>
      <c r="R408" s="3"/>
      <c r="S408" s="3"/>
      <c r="T408" s="3"/>
      <c r="U408" s="3"/>
      <c r="V408" s="3"/>
      <c r="W408" s="3"/>
      <c r="X408" s="3"/>
      <c r="Y408" s="3"/>
      <c r="Z408" s="3"/>
    </row>
    <row r="409" spans="1:26" ht="12.75" x14ac:dyDescent="0.2">
      <c r="A409" s="3"/>
      <c r="B409" s="33"/>
      <c r="C409" s="94" t="s">
        <v>273</v>
      </c>
      <c r="D409" s="33"/>
      <c r="E409" s="302">
        <v>1</v>
      </c>
      <c r="F409" s="39">
        <f>$E409*F294</f>
        <v>18.484303200000003</v>
      </c>
      <c r="G409" s="39">
        <f>$E409*G294</f>
        <v>18.484303200000003</v>
      </c>
      <c r="H409" s="39">
        <f>$E409*H294</f>
        <v>18.484303200000003</v>
      </c>
      <c r="I409" s="39">
        <f>$E409*I294</f>
        <v>18.484303200000003</v>
      </c>
      <c r="J409" s="39">
        <f>$E409*J294</f>
        <v>18.484303200000003</v>
      </c>
      <c r="K409" s="39">
        <f>$E409*K294</f>
        <v>18.484303200000003</v>
      </c>
      <c r="L409" s="39">
        <f>$E409*L294</f>
        <v>18.484303200000003</v>
      </c>
      <c r="M409" s="39">
        <f>$E409*M294</f>
        <v>18.484303199999999</v>
      </c>
      <c r="N409" s="39">
        <f>$E409*N294</f>
        <v>18.484303200000003</v>
      </c>
      <c r="O409" s="39">
        <f>$E409*O294</f>
        <v>18.484303200000003</v>
      </c>
      <c r="P409" s="3"/>
      <c r="Q409" s="3"/>
      <c r="R409" s="3"/>
      <c r="S409" s="3"/>
      <c r="T409" s="3"/>
      <c r="U409" s="3"/>
      <c r="V409" s="3"/>
      <c r="W409" s="3"/>
      <c r="X409" s="3"/>
      <c r="Y409" s="3"/>
      <c r="Z409" s="3"/>
    </row>
    <row r="410" spans="1:26" ht="12.75" x14ac:dyDescent="0.2">
      <c r="A410" s="3"/>
      <c r="B410" s="33"/>
      <c r="C410" s="94" t="s">
        <v>274</v>
      </c>
      <c r="D410" s="33"/>
      <c r="E410" s="302">
        <v>1</v>
      </c>
      <c r="F410" s="39">
        <f>$E410*F295</f>
        <v>46.6925776</v>
      </c>
      <c r="G410" s="39">
        <f>$E410*G295</f>
        <v>46.6925776</v>
      </c>
      <c r="H410" s="39">
        <f>$E410*H295</f>
        <v>46.692577599999993</v>
      </c>
      <c r="I410" s="39">
        <f>$E410*I295</f>
        <v>46.692577599999993</v>
      </c>
      <c r="J410" s="39">
        <f>$E410*J295</f>
        <v>46.692577599999993</v>
      </c>
      <c r="K410" s="39">
        <f>$E410*K295</f>
        <v>46.692577599999993</v>
      </c>
      <c r="L410" s="39">
        <f>$E410*L295</f>
        <v>46.6925776</v>
      </c>
      <c r="M410" s="39">
        <f>$E410*M295</f>
        <v>46.6925776</v>
      </c>
      <c r="N410" s="39">
        <f>$E410*N295</f>
        <v>46.6925776</v>
      </c>
      <c r="O410" s="39">
        <f>$E410*O295</f>
        <v>46.692577599999993</v>
      </c>
      <c r="P410" s="3"/>
      <c r="Q410" s="3"/>
      <c r="R410" s="3"/>
      <c r="S410" s="3"/>
      <c r="T410" s="3"/>
      <c r="U410" s="3"/>
      <c r="V410" s="3"/>
      <c r="W410" s="3"/>
      <c r="X410" s="3"/>
      <c r="Y410" s="3"/>
      <c r="Z410" s="3"/>
    </row>
    <row r="411" spans="1:26" ht="12.75" x14ac:dyDescent="0.2">
      <c r="A411" s="3"/>
      <c r="B411" s="33"/>
      <c r="C411" s="94" t="s">
        <v>275</v>
      </c>
      <c r="D411" s="33"/>
      <c r="E411" s="302">
        <v>1</v>
      </c>
      <c r="F411" s="39">
        <f>$E411*F296</f>
        <v>37.173015759999991</v>
      </c>
      <c r="G411" s="39">
        <f>$E411*G296</f>
        <v>37.173015759999998</v>
      </c>
      <c r="H411" s="39">
        <f>$E411*H296</f>
        <v>37.173015759999998</v>
      </c>
      <c r="I411" s="39">
        <f>$E411*I296</f>
        <v>37.173015759999998</v>
      </c>
      <c r="J411" s="39">
        <f>$E411*J296</f>
        <v>37.173015759999998</v>
      </c>
      <c r="K411" s="39">
        <f>$E411*K296</f>
        <v>37.173015759999991</v>
      </c>
      <c r="L411" s="39">
        <f>$E411*L296</f>
        <v>37.173015759999991</v>
      </c>
      <c r="M411" s="39">
        <f>$E411*M296</f>
        <v>37.173015759999991</v>
      </c>
      <c r="N411" s="39">
        <f>$E411*N296</f>
        <v>37.173015759999991</v>
      </c>
      <c r="O411" s="39">
        <f>$E411*O296</f>
        <v>37.173015759999998</v>
      </c>
      <c r="P411" s="3"/>
      <c r="Q411" s="3"/>
      <c r="R411" s="3"/>
      <c r="S411" s="3"/>
      <c r="T411" s="3"/>
      <c r="U411" s="3"/>
      <c r="V411" s="3"/>
      <c r="W411" s="3"/>
      <c r="X411" s="3"/>
      <c r="Y411" s="3"/>
      <c r="Z411" s="3"/>
    </row>
    <row r="412" spans="1:26" ht="12.75" x14ac:dyDescent="0.2">
      <c r="A412" s="3"/>
      <c r="B412" s="35"/>
      <c r="C412" s="84" t="s">
        <v>293</v>
      </c>
      <c r="D412" s="35"/>
      <c r="E412" s="302">
        <v>1</v>
      </c>
      <c r="F412" s="39">
        <f>$E412*F297</f>
        <v>11.475999999999997</v>
      </c>
      <c r="G412" s="39">
        <f>$E412*G297</f>
        <v>11.475999999999997</v>
      </c>
      <c r="H412" s="39">
        <f>$E412*H297</f>
        <v>11.475999999999997</v>
      </c>
      <c r="I412" s="39">
        <f>$E412*I297</f>
        <v>11.475999999999999</v>
      </c>
      <c r="J412" s="39">
        <f>$E412*J297</f>
        <v>11.475999999999999</v>
      </c>
      <c r="K412" s="39">
        <f>$E412*K297</f>
        <v>11.475999999999999</v>
      </c>
      <c r="L412" s="39">
        <f>$E412*L297</f>
        <v>11.475999999999997</v>
      </c>
      <c r="M412" s="39">
        <f>$E412*M297</f>
        <v>11.475999999999997</v>
      </c>
      <c r="N412" s="39">
        <f>$E412*N297</f>
        <v>11.475999999999999</v>
      </c>
      <c r="O412" s="39">
        <f>$E412*O297</f>
        <v>11.475999999999997</v>
      </c>
      <c r="P412" s="3"/>
      <c r="Q412" s="3"/>
      <c r="R412" s="3"/>
      <c r="S412" s="3"/>
      <c r="T412" s="3"/>
      <c r="U412" s="3"/>
      <c r="V412" s="3"/>
      <c r="W412" s="3"/>
      <c r="X412" s="3"/>
      <c r="Y412" s="3"/>
      <c r="Z412" s="3"/>
    </row>
    <row r="413" spans="1:26" ht="12.75" x14ac:dyDescent="0.2">
      <c r="A413" s="3"/>
      <c r="B413" s="33"/>
      <c r="C413" s="94" t="s">
        <v>278</v>
      </c>
      <c r="D413" s="33"/>
      <c r="E413" s="302">
        <v>1</v>
      </c>
      <c r="F413" s="39">
        <f>$E413*F298</f>
        <v>126.66687944</v>
      </c>
      <c r="G413" s="39">
        <f>$E413*G298</f>
        <v>126.66687944000002</v>
      </c>
      <c r="H413" s="39">
        <f>$E413*H298</f>
        <v>126.66687944000002</v>
      </c>
      <c r="I413" s="39">
        <f>$E413*I298</f>
        <v>126.66687944</v>
      </c>
      <c r="J413" s="39">
        <f>$E413*J298</f>
        <v>126.66687944</v>
      </c>
      <c r="K413" s="39">
        <f>$E413*K298</f>
        <v>126.66687944000002</v>
      </c>
      <c r="L413" s="39">
        <f>$E413*L298</f>
        <v>126.66687944000002</v>
      </c>
      <c r="M413" s="39">
        <f>$E413*M298</f>
        <v>126.66687944</v>
      </c>
      <c r="N413" s="39">
        <f>$E413*N298</f>
        <v>126.66687944000002</v>
      </c>
      <c r="O413" s="39">
        <f>$E413*O298</f>
        <v>126.66687944</v>
      </c>
      <c r="P413" s="3"/>
      <c r="Q413" s="3"/>
      <c r="R413" s="3"/>
      <c r="S413" s="3"/>
      <c r="T413" s="3"/>
      <c r="U413" s="3"/>
      <c r="V413" s="3"/>
      <c r="W413" s="3"/>
      <c r="X413" s="3"/>
      <c r="Y413" s="3"/>
      <c r="Z413" s="3"/>
    </row>
    <row r="414" spans="1:26" ht="12.75" x14ac:dyDescent="0.2">
      <c r="A414" s="3"/>
      <c r="B414" s="33"/>
      <c r="C414" s="9" t="s">
        <v>85</v>
      </c>
      <c r="D414" s="33"/>
      <c r="E414" s="302">
        <v>1</v>
      </c>
      <c r="F414" s="39">
        <f>$E414*F299</f>
        <v>0</v>
      </c>
      <c r="G414" s="39">
        <f>$E414*G299</f>
        <v>0</v>
      </c>
      <c r="H414" s="39">
        <f>$E414*H299</f>
        <v>0</v>
      </c>
      <c r="I414" s="39">
        <f>$E414*I299</f>
        <v>0</v>
      </c>
      <c r="J414" s="39">
        <f>$E414*J299</f>
        <v>0</v>
      </c>
      <c r="K414" s="39">
        <f>$E414*K299</f>
        <v>0</v>
      </c>
      <c r="L414" s="39">
        <f>$E414*L299</f>
        <v>0</v>
      </c>
      <c r="M414" s="39">
        <f>$E414*M299</f>
        <v>0</v>
      </c>
      <c r="N414" s="39">
        <f>$E414*N299</f>
        <v>0</v>
      </c>
      <c r="O414" s="39">
        <f>$E414*O299</f>
        <v>0</v>
      </c>
      <c r="P414" s="3"/>
      <c r="Q414" s="3"/>
      <c r="R414" s="3"/>
      <c r="S414" s="3"/>
      <c r="T414" s="3"/>
      <c r="U414" s="3"/>
      <c r="V414" s="3"/>
      <c r="W414" s="3"/>
      <c r="X414" s="3"/>
      <c r="Y414" s="3"/>
      <c r="Z414" s="3"/>
    </row>
    <row r="415" spans="1:26" ht="12.75" x14ac:dyDescent="0.2">
      <c r="A415" s="3"/>
      <c r="B415" s="33"/>
      <c r="C415" s="36" t="s">
        <v>207</v>
      </c>
      <c r="D415" s="36"/>
      <c r="E415" s="36"/>
      <c r="F415" s="59">
        <f>SUM(F408:F414)</f>
        <v>265.72253692000004</v>
      </c>
      <c r="G415" s="59">
        <f t="shared" ref="G415:O415" si="86">SUM(G408:G414)</f>
        <v>265.72253692000004</v>
      </c>
      <c r="H415" s="59">
        <f t="shared" si="86"/>
        <v>265.72253691999998</v>
      </c>
      <c r="I415" s="59">
        <f t="shared" si="86"/>
        <v>265.72253691999998</v>
      </c>
      <c r="J415" s="59">
        <f t="shared" si="86"/>
        <v>265.72253691999998</v>
      </c>
      <c r="K415" s="59">
        <f t="shared" si="86"/>
        <v>265.72253692000004</v>
      </c>
      <c r="L415" s="59">
        <f t="shared" si="86"/>
        <v>265.72253692000004</v>
      </c>
      <c r="M415" s="59">
        <f t="shared" si="86"/>
        <v>265.72253692000004</v>
      </c>
      <c r="N415" s="59">
        <f t="shared" si="86"/>
        <v>265.72253692000004</v>
      </c>
      <c r="O415" s="59">
        <f t="shared" si="86"/>
        <v>265.72253692000004</v>
      </c>
      <c r="P415" s="3"/>
      <c r="Q415" s="3"/>
      <c r="R415" s="3"/>
      <c r="S415" s="3"/>
      <c r="T415" s="3"/>
      <c r="U415" s="3"/>
      <c r="V415" s="3"/>
      <c r="W415" s="3"/>
      <c r="X415" s="3"/>
      <c r="Y415" s="3"/>
      <c r="Z415" s="3"/>
    </row>
    <row r="416" spans="1:26" ht="12.75" x14ac:dyDescent="0.2">
      <c r="A416" s="3"/>
      <c r="B416" s="33"/>
      <c r="C416" s="33"/>
      <c r="D416" s="33"/>
      <c r="E416" s="33"/>
      <c r="F416" s="41"/>
      <c r="G416" s="41"/>
      <c r="H416" s="41"/>
      <c r="I416" s="33"/>
      <c r="J416" s="33"/>
      <c r="K416" s="33"/>
      <c r="L416" s="33"/>
      <c r="M416" s="33"/>
      <c r="N416" s="33"/>
      <c r="O416" s="33"/>
      <c r="P416" s="3"/>
      <c r="Q416" s="3"/>
      <c r="R416" s="3"/>
      <c r="S416" s="3"/>
      <c r="T416" s="3"/>
      <c r="U416" s="3"/>
      <c r="V416" s="3"/>
      <c r="W416" s="3"/>
      <c r="X416" s="3"/>
      <c r="Y416" s="3"/>
      <c r="Z416" s="3"/>
    </row>
    <row r="417" spans="1:26" ht="12.75" x14ac:dyDescent="0.2">
      <c r="A417" s="3"/>
      <c r="B417" s="33"/>
      <c r="C417" s="34" t="s">
        <v>215</v>
      </c>
      <c r="D417" s="33"/>
      <c r="E417" s="33"/>
      <c r="F417" s="41"/>
      <c r="G417" s="41"/>
      <c r="H417" s="41"/>
      <c r="I417" s="41"/>
      <c r="J417" s="41"/>
      <c r="K417" s="41"/>
      <c r="L417" s="41"/>
      <c r="M417" s="41"/>
      <c r="N417" s="41"/>
      <c r="O417" s="41"/>
      <c r="P417" s="3"/>
      <c r="Q417" s="3"/>
      <c r="R417" s="3"/>
      <c r="S417" s="3"/>
      <c r="T417" s="3"/>
      <c r="U417" s="3"/>
      <c r="V417" s="3"/>
      <c r="W417" s="3"/>
      <c r="X417" s="3"/>
      <c r="Y417" s="3"/>
      <c r="Z417" s="3"/>
    </row>
    <row r="418" spans="1:26" ht="12.75" x14ac:dyDescent="0.2">
      <c r="A418" s="3"/>
      <c r="B418" s="33"/>
      <c r="C418" s="9" t="s">
        <v>110</v>
      </c>
      <c r="D418" s="33"/>
      <c r="E418" s="302">
        <v>1</v>
      </c>
      <c r="F418" s="39">
        <f>$E418*F303</f>
        <v>2.6819999999999999</v>
      </c>
      <c r="G418" s="39">
        <f>$E418*G303</f>
        <v>2.6819999999999995</v>
      </c>
      <c r="H418" s="39">
        <f>$E418*H303</f>
        <v>2.6819999999999999</v>
      </c>
      <c r="I418" s="39">
        <f>$E418*I303</f>
        <v>2.6819999999999999</v>
      </c>
      <c r="J418" s="39">
        <f>$E418*J303</f>
        <v>2.6819999999999999</v>
      </c>
      <c r="K418" s="39">
        <f>$E418*K303</f>
        <v>2.6820000000000004</v>
      </c>
      <c r="L418" s="39">
        <f>$E418*L303</f>
        <v>2.6819999999999999</v>
      </c>
      <c r="M418" s="39">
        <f>$E418*M303</f>
        <v>2.6819999999999999</v>
      </c>
      <c r="N418" s="39">
        <f>$E418*N303</f>
        <v>2.6819999999999999</v>
      </c>
      <c r="O418" s="39">
        <f>$E418*O303</f>
        <v>2.6819999999999995</v>
      </c>
      <c r="P418" s="3"/>
      <c r="Q418" s="3"/>
      <c r="R418" s="3"/>
      <c r="S418" s="3"/>
      <c r="T418" s="3"/>
      <c r="U418" s="3"/>
      <c r="V418" s="3"/>
      <c r="W418" s="3"/>
      <c r="X418" s="3"/>
      <c r="Y418" s="3"/>
      <c r="Z418" s="3"/>
    </row>
    <row r="419" spans="1:26" ht="12.75" x14ac:dyDescent="0.2">
      <c r="A419" s="3"/>
      <c r="B419" s="33"/>
      <c r="C419" s="27" t="s">
        <v>283</v>
      </c>
      <c r="D419" s="33"/>
      <c r="E419" s="302">
        <v>1</v>
      </c>
      <c r="F419" s="39">
        <f>$E419*F304</f>
        <v>2.4788235294117649</v>
      </c>
      <c r="G419" s="39">
        <f>$E419*G304</f>
        <v>2.4788235294117649</v>
      </c>
      <c r="H419" s="39">
        <f>$E419*H304</f>
        <v>2.4788235294117649</v>
      </c>
      <c r="I419" s="39">
        <f>$E419*I304</f>
        <v>2.4788235294117649</v>
      </c>
      <c r="J419" s="39">
        <f>$E419*J304</f>
        <v>2.4788235294117649</v>
      </c>
      <c r="K419" s="39">
        <f>$E419*K304</f>
        <v>2.4788235294117649</v>
      </c>
      <c r="L419" s="39">
        <f>$E419*L304</f>
        <v>2.4788235294117649</v>
      </c>
      <c r="M419" s="39">
        <f>$E419*M304</f>
        <v>2.4788235294117649</v>
      </c>
      <c r="N419" s="39">
        <f>$E419*N304</f>
        <v>2.4788235294117649</v>
      </c>
      <c r="O419" s="39">
        <f>$E419*O304</f>
        <v>2.4788235294117649</v>
      </c>
      <c r="P419" s="3"/>
      <c r="Q419" s="3"/>
      <c r="R419" s="3"/>
      <c r="S419" s="3"/>
      <c r="T419" s="3"/>
      <c r="U419" s="3"/>
      <c r="V419" s="3"/>
      <c r="W419" s="3"/>
      <c r="X419" s="3"/>
      <c r="Y419" s="3"/>
      <c r="Z419" s="3"/>
    </row>
    <row r="420" spans="1:26" ht="12.75" x14ac:dyDescent="0.2">
      <c r="A420" s="3"/>
      <c r="B420" s="33"/>
      <c r="C420" s="31" t="s">
        <v>216</v>
      </c>
      <c r="D420" s="36"/>
      <c r="E420" s="36"/>
      <c r="F420" s="40">
        <f t="shared" ref="F420:O420" si="87">SUM(F418:F419)</f>
        <v>5.1608235294117648</v>
      </c>
      <c r="G420" s="40">
        <f t="shared" si="87"/>
        <v>5.1608235294117648</v>
      </c>
      <c r="H420" s="40">
        <f t="shared" si="87"/>
        <v>5.1608235294117648</v>
      </c>
      <c r="I420" s="40">
        <f t="shared" si="87"/>
        <v>5.1608235294117648</v>
      </c>
      <c r="J420" s="40">
        <f t="shared" si="87"/>
        <v>5.1608235294117648</v>
      </c>
      <c r="K420" s="40">
        <f t="shared" si="87"/>
        <v>5.1608235294117648</v>
      </c>
      <c r="L420" s="40">
        <f t="shared" si="87"/>
        <v>5.1608235294117648</v>
      </c>
      <c r="M420" s="40">
        <f t="shared" si="87"/>
        <v>5.1608235294117648</v>
      </c>
      <c r="N420" s="40">
        <f t="shared" si="87"/>
        <v>5.1608235294117648</v>
      </c>
      <c r="O420" s="40">
        <f t="shared" si="87"/>
        <v>5.1608235294117648</v>
      </c>
      <c r="P420" s="3"/>
      <c r="Q420" s="3"/>
      <c r="R420" s="3"/>
      <c r="S420" s="3"/>
      <c r="T420" s="3"/>
      <c r="U420" s="3"/>
      <c r="V420" s="3"/>
      <c r="W420" s="3"/>
      <c r="X420" s="3"/>
      <c r="Y420" s="3"/>
      <c r="Z420" s="3"/>
    </row>
    <row r="421" spans="1:26" ht="12.75" x14ac:dyDescent="0.2">
      <c r="A421" s="3"/>
      <c r="B421" s="33"/>
      <c r="C421" s="35"/>
      <c r="D421" s="33"/>
      <c r="E421" s="33"/>
      <c r="F421" s="41"/>
      <c r="G421" s="41"/>
      <c r="H421" s="41"/>
      <c r="I421" s="41"/>
      <c r="J421" s="41"/>
      <c r="K421" s="41"/>
      <c r="L421" s="41"/>
      <c r="M421" s="41"/>
      <c r="N421" s="41"/>
      <c r="O421" s="41"/>
      <c r="P421" s="3"/>
      <c r="Q421" s="3"/>
      <c r="R421" s="3"/>
      <c r="S421" s="3"/>
      <c r="T421" s="3"/>
      <c r="U421" s="3"/>
      <c r="V421" s="3"/>
      <c r="W421" s="3"/>
      <c r="X421" s="3"/>
      <c r="Y421" s="3"/>
      <c r="Z421" s="3"/>
    </row>
    <row r="422" spans="1:26" ht="12.75" x14ac:dyDescent="0.2">
      <c r="A422" s="3"/>
      <c r="B422" s="33"/>
      <c r="C422" s="34" t="s">
        <v>219</v>
      </c>
      <c r="D422" s="33"/>
      <c r="E422" s="33"/>
      <c r="F422" s="41"/>
      <c r="G422" s="41"/>
      <c r="H422" s="41"/>
      <c r="I422" s="41"/>
      <c r="J422" s="41"/>
      <c r="K422" s="41"/>
      <c r="L422" s="41"/>
      <c r="M422" s="41"/>
      <c r="N422" s="41"/>
      <c r="O422" s="41"/>
      <c r="P422" s="3"/>
      <c r="Q422" s="3"/>
      <c r="R422" s="3"/>
      <c r="S422" s="3"/>
      <c r="T422" s="3"/>
      <c r="U422" s="3"/>
      <c r="V422" s="3"/>
      <c r="W422" s="3"/>
      <c r="X422" s="3"/>
      <c r="Y422" s="3"/>
      <c r="Z422" s="3"/>
    </row>
    <row r="423" spans="1:26" ht="12.75" x14ac:dyDescent="0.2">
      <c r="A423" s="3"/>
      <c r="B423" s="33"/>
      <c r="C423" s="9" t="s">
        <v>92</v>
      </c>
      <c r="D423" s="33"/>
      <c r="E423" s="299">
        <f>E395</f>
        <v>0.67056688148247967</v>
      </c>
      <c r="F423" s="39">
        <f>$E423*F308</f>
        <v>6.0743300959090423</v>
      </c>
      <c r="G423" s="39">
        <f>$E423*G308</f>
        <v>6.0743300959090423</v>
      </c>
      <c r="H423" s="39">
        <f>$E423*H308</f>
        <v>6.0743300959090423</v>
      </c>
      <c r="I423" s="39">
        <f>$E423*I308</f>
        <v>6.0743300959090423</v>
      </c>
      <c r="J423" s="39">
        <f>$E423*J308</f>
        <v>6.0743300959090423</v>
      </c>
      <c r="K423" s="39">
        <f>$E423*K308</f>
        <v>6.0743300959090423</v>
      </c>
      <c r="L423" s="39">
        <f>$E423*L308</f>
        <v>6.0743300959090423</v>
      </c>
      <c r="M423" s="39">
        <f>$E423*M308</f>
        <v>6.0743300959090423</v>
      </c>
      <c r="N423" s="39">
        <f>$E423*N308</f>
        <v>6.0743300959090423</v>
      </c>
      <c r="O423" s="39">
        <f>$E423*O308</f>
        <v>6.0743300959090423</v>
      </c>
      <c r="P423" s="3"/>
      <c r="Q423" s="3"/>
      <c r="R423" s="3"/>
      <c r="S423" s="3"/>
      <c r="T423" s="3"/>
      <c r="U423" s="3"/>
      <c r="V423" s="3"/>
      <c r="W423" s="3"/>
      <c r="X423" s="3"/>
      <c r="Y423" s="3"/>
      <c r="Z423" s="3"/>
    </row>
    <row r="424" spans="1:26" ht="12.75" x14ac:dyDescent="0.2">
      <c r="A424" s="3"/>
      <c r="B424" s="33"/>
      <c r="C424" s="9" t="s">
        <v>96</v>
      </c>
      <c r="D424" s="33"/>
      <c r="E424" s="302">
        <v>1</v>
      </c>
      <c r="F424" s="39">
        <f>$E424*F309</f>
        <v>0</v>
      </c>
      <c r="G424" s="39">
        <f>$E424*G309</f>
        <v>0</v>
      </c>
      <c r="H424" s="39">
        <f>$E424*H309</f>
        <v>0</v>
      </c>
      <c r="I424" s="39">
        <f>$E424*I309</f>
        <v>0</v>
      </c>
      <c r="J424" s="39">
        <f>$E424*J309</f>
        <v>0</v>
      </c>
      <c r="K424" s="39">
        <f>$E424*K309</f>
        <v>0</v>
      </c>
      <c r="L424" s="39">
        <f>$E424*L309</f>
        <v>0</v>
      </c>
      <c r="M424" s="39">
        <f>$E424*M309</f>
        <v>0</v>
      </c>
      <c r="N424" s="39">
        <f>$E424*N309</f>
        <v>0</v>
      </c>
      <c r="O424" s="39">
        <f>$E424*O309</f>
        <v>0</v>
      </c>
      <c r="P424" s="3"/>
      <c r="Q424" s="3"/>
      <c r="R424" s="3"/>
      <c r="S424" s="3"/>
      <c r="T424" s="3"/>
      <c r="U424" s="3"/>
      <c r="V424" s="3"/>
      <c r="W424" s="3"/>
      <c r="X424" s="3"/>
      <c r="Y424" s="3"/>
      <c r="Z424" s="3"/>
    </row>
    <row r="425" spans="1:26" ht="12.75" x14ac:dyDescent="0.2">
      <c r="A425" s="3"/>
      <c r="B425" s="33"/>
      <c r="C425" s="9" t="s">
        <v>99</v>
      </c>
      <c r="D425" s="33"/>
      <c r="E425" s="299">
        <f>CFs!$C$252</f>
        <v>1.5401003517880794</v>
      </c>
      <c r="F425" s="39">
        <f>$E425*F310</f>
        <v>14.654695529009917</v>
      </c>
      <c r="G425" s="39">
        <f>$E425*G310</f>
        <v>14.654695529009917</v>
      </c>
      <c r="H425" s="39">
        <f>$E425*H310</f>
        <v>14.654695529009917</v>
      </c>
      <c r="I425" s="39">
        <f>$E425*I310</f>
        <v>14.654695529009919</v>
      </c>
      <c r="J425" s="39">
        <f>$E425*J310</f>
        <v>14.654695529009917</v>
      </c>
      <c r="K425" s="39">
        <f>$E425*K310</f>
        <v>14.654695529009917</v>
      </c>
      <c r="L425" s="39">
        <f>$E425*L310</f>
        <v>14.654695529009917</v>
      </c>
      <c r="M425" s="39">
        <f>$E425*M310</f>
        <v>14.654695529009917</v>
      </c>
      <c r="N425" s="39">
        <f>$E425*N310</f>
        <v>14.654695529009919</v>
      </c>
      <c r="O425" s="39">
        <f>$E425*O310</f>
        <v>14.654695529009917</v>
      </c>
      <c r="P425" s="3"/>
      <c r="Q425" s="3"/>
      <c r="R425" s="3"/>
      <c r="S425" s="3"/>
      <c r="T425" s="3"/>
      <c r="U425" s="3"/>
      <c r="V425" s="3"/>
      <c r="W425" s="3"/>
      <c r="X425" s="3"/>
      <c r="Y425" s="3"/>
      <c r="Z425" s="3"/>
    </row>
    <row r="426" spans="1:26" ht="12.75" x14ac:dyDescent="0.2">
      <c r="A426" s="3"/>
      <c r="B426" s="33"/>
      <c r="C426" s="9" t="s">
        <v>102</v>
      </c>
      <c r="D426" s="33"/>
      <c r="E426" s="299">
        <f>CFs!$C$218</f>
        <v>1.0969941102134646</v>
      </c>
      <c r="F426" s="39">
        <f>$E426*F311</f>
        <v>0</v>
      </c>
      <c r="G426" s="39">
        <f>$E426*G311</f>
        <v>0</v>
      </c>
      <c r="H426" s="39">
        <f>$E426*H311</f>
        <v>0</v>
      </c>
      <c r="I426" s="39">
        <f>$E426*I311</f>
        <v>0</v>
      </c>
      <c r="J426" s="39">
        <f>$E426*J311</f>
        <v>0</v>
      </c>
      <c r="K426" s="39">
        <f>$E426*K311</f>
        <v>0</v>
      </c>
      <c r="L426" s="39">
        <f>$E426*L311</f>
        <v>0</v>
      </c>
      <c r="M426" s="39">
        <f>$E426*M311</f>
        <v>0</v>
      </c>
      <c r="N426" s="39">
        <f>$E426*N311</f>
        <v>0</v>
      </c>
      <c r="O426" s="39">
        <f>$E426*O311</f>
        <v>0</v>
      </c>
      <c r="P426" s="3"/>
      <c r="Q426" s="3"/>
      <c r="R426" s="3"/>
      <c r="S426" s="3"/>
      <c r="T426" s="3"/>
      <c r="U426" s="3"/>
      <c r="V426" s="3"/>
      <c r="W426" s="3"/>
      <c r="X426" s="3"/>
      <c r="Y426" s="3"/>
      <c r="Z426" s="3"/>
    </row>
    <row r="427" spans="1:26" ht="12.75" x14ac:dyDescent="0.2">
      <c r="A427" s="3"/>
      <c r="B427" s="35"/>
      <c r="C427" s="460" t="s">
        <v>834</v>
      </c>
      <c r="D427" s="35"/>
      <c r="E427" s="302">
        <v>1</v>
      </c>
      <c r="F427" s="39">
        <f>$E427*F312</f>
        <v>18</v>
      </c>
      <c r="G427" s="39">
        <f>$E427*G312</f>
        <v>0</v>
      </c>
      <c r="H427" s="39">
        <f>$E427*H312</f>
        <v>18</v>
      </c>
      <c r="I427" s="39">
        <f>$E427*I312</f>
        <v>0</v>
      </c>
      <c r="J427" s="39">
        <f>$E427*J312</f>
        <v>18</v>
      </c>
      <c r="K427" s="39">
        <f>$E427*K312</f>
        <v>0</v>
      </c>
      <c r="L427" s="39">
        <f>$E427*L312</f>
        <v>18</v>
      </c>
      <c r="M427" s="39">
        <f>$E427*M312</f>
        <v>0</v>
      </c>
      <c r="N427" s="39">
        <f>$E427*N312</f>
        <v>18</v>
      </c>
      <c r="O427" s="39">
        <f>$E427*O312</f>
        <v>0</v>
      </c>
      <c r="P427" s="3"/>
      <c r="Q427" s="3"/>
      <c r="R427" s="3"/>
      <c r="S427" s="3"/>
      <c r="T427" s="3"/>
      <c r="U427" s="3"/>
      <c r="V427" s="3"/>
      <c r="W427" s="3"/>
      <c r="X427" s="3"/>
      <c r="Y427" s="3"/>
      <c r="Z427" s="3"/>
    </row>
    <row r="428" spans="1:26" ht="12.75" x14ac:dyDescent="0.2">
      <c r="A428" s="3"/>
      <c r="B428" s="35"/>
      <c r="C428" s="460" t="s">
        <v>841</v>
      </c>
      <c r="D428" s="35"/>
      <c r="E428" s="302">
        <v>1</v>
      </c>
      <c r="F428" s="39">
        <f>$E428*F313</f>
        <v>7.6290500000000012</v>
      </c>
      <c r="G428" s="39">
        <f>$E428*G313</f>
        <v>7.6290499999999994</v>
      </c>
      <c r="H428" s="39">
        <f>$E428*H313</f>
        <v>7.6290500000000003</v>
      </c>
      <c r="I428" s="39">
        <f>$E428*I313</f>
        <v>7.6290500000000003</v>
      </c>
      <c r="J428" s="39">
        <f>$E428*J313</f>
        <v>7.6290500000000012</v>
      </c>
      <c r="K428" s="39">
        <f>$E428*K313</f>
        <v>7.6290500000000012</v>
      </c>
      <c r="L428" s="39">
        <f>$E428*L313</f>
        <v>7.6290500000000003</v>
      </c>
      <c r="M428" s="39">
        <f>$E428*M313</f>
        <v>7.6290500000000003</v>
      </c>
      <c r="N428" s="39">
        <f>$E428*N313</f>
        <v>7.6290500000000003</v>
      </c>
      <c r="O428" s="39">
        <f>$E428*O313</f>
        <v>7.6290500000000012</v>
      </c>
      <c r="P428" s="3"/>
      <c r="Q428" s="3"/>
      <c r="R428" s="3"/>
      <c r="S428" s="3"/>
      <c r="T428" s="3"/>
      <c r="U428" s="3"/>
      <c r="V428" s="3"/>
      <c r="W428" s="3"/>
      <c r="X428" s="3"/>
      <c r="Y428" s="3"/>
      <c r="Z428" s="3"/>
    </row>
    <row r="429" spans="1:26" ht="12.75" x14ac:dyDescent="0.2">
      <c r="A429" s="3"/>
      <c r="B429" s="33"/>
      <c r="C429" s="9" t="s">
        <v>105</v>
      </c>
      <c r="D429" s="33"/>
      <c r="E429" s="302">
        <v>1</v>
      </c>
      <c r="F429" s="39">
        <f>$E429*F314</f>
        <v>3.2</v>
      </c>
      <c r="G429" s="39">
        <f>$E429*G314</f>
        <v>3.1999999999999997</v>
      </c>
      <c r="H429" s="39">
        <f>$E429*H314</f>
        <v>3.1999999999999997</v>
      </c>
      <c r="I429" s="39">
        <f>$E429*I314</f>
        <v>3.2</v>
      </c>
      <c r="J429" s="39">
        <f>$E429*J314</f>
        <v>3.1999999999999997</v>
      </c>
      <c r="K429" s="39">
        <f>$E429*K314</f>
        <v>3.2</v>
      </c>
      <c r="L429" s="39">
        <f>$E429*L314</f>
        <v>3.2</v>
      </c>
      <c r="M429" s="39">
        <f>$E429*M314</f>
        <v>3.2</v>
      </c>
      <c r="N429" s="39">
        <f>$E429*N314</f>
        <v>3.2</v>
      </c>
      <c r="O429" s="39">
        <f>$E429*O314</f>
        <v>3.1999999999999997</v>
      </c>
      <c r="P429" s="3"/>
      <c r="Q429" s="3"/>
      <c r="R429" s="3"/>
      <c r="S429" s="3"/>
      <c r="T429" s="3"/>
      <c r="U429" s="3"/>
      <c r="V429" s="3"/>
      <c r="W429" s="3"/>
      <c r="X429" s="3"/>
      <c r="Y429" s="3"/>
      <c r="Z429" s="3"/>
    </row>
    <row r="430" spans="1:26" ht="12.75" x14ac:dyDescent="0.2">
      <c r="A430" s="3"/>
      <c r="B430" s="33"/>
      <c r="C430" s="9" t="s">
        <v>108</v>
      </c>
      <c r="D430" s="33"/>
      <c r="E430" s="302">
        <v>1</v>
      </c>
      <c r="F430" s="39">
        <f>$E430*F315</f>
        <v>8.1999999999999993</v>
      </c>
      <c r="G430" s="39">
        <f>$E430*G315</f>
        <v>8.3000000000000007</v>
      </c>
      <c r="H430" s="39">
        <f>$E430*H315</f>
        <v>8.4</v>
      </c>
      <c r="I430" s="39">
        <f>$E430*I315</f>
        <v>8.5</v>
      </c>
      <c r="J430" s="39">
        <f>$E430*J315</f>
        <v>8.6</v>
      </c>
      <c r="K430" s="39">
        <f>$E430*K315</f>
        <v>8.6999999999999993</v>
      </c>
      <c r="L430" s="39">
        <f>$E430*L315</f>
        <v>8.6999999999999993</v>
      </c>
      <c r="M430" s="39">
        <f>$E430*M315</f>
        <v>8.8000000000000007</v>
      </c>
      <c r="N430" s="39">
        <f>$E430*N315</f>
        <v>8.9</v>
      </c>
      <c r="O430" s="39">
        <f>$E430*O315</f>
        <v>9</v>
      </c>
      <c r="P430" s="3"/>
      <c r="Q430" s="3"/>
      <c r="R430" s="3"/>
      <c r="S430" s="3"/>
      <c r="T430" s="3"/>
      <c r="U430" s="3"/>
      <c r="V430" s="3"/>
      <c r="W430" s="3"/>
      <c r="X430" s="3"/>
      <c r="Y430" s="3"/>
      <c r="Z430" s="3"/>
    </row>
    <row r="431" spans="1:26" ht="12.75" x14ac:dyDescent="0.2">
      <c r="A431" s="3"/>
      <c r="B431" s="43"/>
      <c r="C431" s="68" t="s">
        <v>217</v>
      </c>
      <c r="D431" s="68"/>
      <c r="E431" s="68"/>
      <c r="F431" s="69">
        <f>SUM(F423:F430)</f>
        <v>57.758075624918959</v>
      </c>
      <c r="G431" s="69">
        <f t="shared" ref="G431:O431" si="88">SUM(G423:G430)</f>
        <v>39.858075624918961</v>
      </c>
      <c r="H431" s="69">
        <f t="shared" si="88"/>
        <v>57.958075624918962</v>
      </c>
      <c r="I431" s="69">
        <f t="shared" si="88"/>
        <v>40.058075624918956</v>
      </c>
      <c r="J431" s="69">
        <f t="shared" si="88"/>
        <v>58.158075624918965</v>
      </c>
      <c r="K431" s="69">
        <f t="shared" si="88"/>
        <v>40.258075624918959</v>
      </c>
      <c r="L431" s="69">
        <f t="shared" si="88"/>
        <v>58.258075624918959</v>
      </c>
      <c r="M431" s="69">
        <f t="shared" si="88"/>
        <v>40.358075624918961</v>
      </c>
      <c r="N431" s="69">
        <f t="shared" si="88"/>
        <v>58.458075624918962</v>
      </c>
      <c r="O431" s="69">
        <f t="shared" si="88"/>
        <v>40.558075624918956</v>
      </c>
      <c r="P431" s="3"/>
      <c r="Q431" s="3"/>
      <c r="R431" s="3"/>
      <c r="S431" s="3"/>
      <c r="T431" s="3"/>
      <c r="U431" s="3"/>
      <c r="V431" s="3"/>
      <c r="W431" s="3"/>
      <c r="X431" s="3"/>
      <c r="Y431" s="3"/>
      <c r="Z431" s="3"/>
    </row>
    <row r="432" spans="1:26" ht="12.75" x14ac:dyDescent="0.2">
      <c r="A432" s="3"/>
      <c r="B432" s="43"/>
      <c r="C432" s="74"/>
      <c r="D432" s="74"/>
      <c r="E432" s="74"/>
      <c r="F432" s="75"/>
      <c r="G432" s="75"/>
      <c r="H432" s="75"/>
      <c r="I432" s="75"/>
      <c r="J432" s="75"/>
      <c r="K432" s="75"/>
      <c r="L432" s="75"/>
      <c r="M432" s="75"/>
      <c r="N432" s="75"/>
      <c r="O432" s="75"/>
      <c r="P432" s="3"/>
      <c r="Q432" s="3"/>
      <c r="R432" s="3"/>
      <c r="S432" s="3"/>
      <c r="T432" s="3"/>
      <c r="U432" s="3"/>
      <c r="V432" s="3"/>
      <c r="W432" s="3"/>
      <c r="X432" s="3"/>
      <c r="Y432" s="3"/>
      <c r="Z432" s="3"/>
    </row>
    <row r="433" spans="1:26" ht="12.75" x14ac:dyDescent="0.2">
      <c r="A433" s="3"/>
      <c r="B433" s="43"/>
      <c r="C433" s="34" t="s">
        <v>287</v>
      </c>
      <c r="D433" s="74"/>
      <c r="E433" s="74"/>
      <c r="F433" s="75"/>
      <c r="G433" s="75"/>
      <c r="H433" s="75"/>
      <c r="I433" s="75"/>
      <c r="J433" s="75"/>
      <c r="K433" s="75"/>
      <c r="L433" s="75"/>
      <c r="M433" s="75"/>
      <c r="N433" s="75"/>
      <c r="O433" s="75"/>
      <c r="P433" s="3"/>
      <c r="Q433" s="3"/>
      <c r="R433" s="3"/>
      <c r="S433" s="3"/>
      <c r="T433" s="3"/>
      <c r="U433" s="3"/>
      <c r="V433" s="3"/>
      <c r="W433" s="3"/>
      <c r="X433" s="3"/>
      <c r="Y433" s="3"/>
      <c r="Z433" s="3"/>
    </row>
    <row r="434" spans="1:26" ht="12.75" x14ac:dyDescent="0.2">
      <c r="A434" s="3"/>
      <c r="B434" s="33"/>
      <c r="C434" s="27" t="s">
        <v>282</v>
      </c>
      <c r="D434" s="33"/>
      <c r="E434" s="302">
        <v>1.2</v>
      </c>
      <c r="F434" s="39">
        <f>$E434*F319</f>
        <v>9.79176E-3</v>
      </c>
      <c r="G434" s="39">
        <f>$E434*G319</f>
        <v>9.8955479999999988E-3</v>
      </c>
      <c r="H434" s="39">
        <f>$E434*H319</f>
        <v>1.0000373880000002E-2</v>
      </c>
      <c r="I434" s="39">
        <f>$E434*I319</f>
        <v>1.0106248018799998E-2</v>
      </c>
      <c r="J434" s="39">
        <f>$E434*J319</f>
        <v>1.0213180898988003E-2</v>
      </c>
      <c r="K434" s="39">
        <f>$E434*K319</f>
        <v>1.0321183107977878E-2</v>
      </c>
      <c r="L434" s="39">
        <f>$E434*L319</f>
        <v>1.0430265339057656E-2</v>
      </c>
      <c r="M434" s="39">
        <f>$E434*M319</f>
        <v>1.0540438392448233E-2</v>
      </c>
      <c r="N434" s="39">
        <f>$E434*N319</f>
        <v>1.0651713176372717E-2</v>
      </c>
      <c r="O434" s="39">
        <f>$E434*O319</f>
        <v>1.0764100708136446E-2</v>
      </c>
      <c r="P434" s="3"/>
      <c r="Q434" s="3"/>
      <c r="R434" s="3"/>
      <c r="S434" s="3"/>
      <c r="T434" s="3"/>
      <c r="U434" s="3"/>
      <c r="V434" s="3"/>
      <c r="W434" s="3"/>
      <c r="X434" s="3"/>
      <c r="Y434" s="3"/>
      <c r="Z434" s="3"/>
    </row>
    <row r="435" spans="1:26" ht="12.75" x14ac:dyDescent="0.2">
      <c r="A435" s="3"/>
      <c r="B435" s="33"/>
      <c r="C435" s="27" t="s">
        <v>284</v>
      </c>
      <c r="D435" s="33"/>
      <c r="E435" s="302">
        <v>1</v>
      </c>
      <c r="F435" s="39">
        <f>$E435*F320</f>
        <v>1.4251441568627456</v>
      </c>
      <c r="G435" s="39">
        <f>$E435*G320</f>
        <v>1.4393955984313729</v>
      </c>
      <c r="H435" s="39">
        <f>$E435*H320</f>
        <v>1.4537895544156869</v>
      </c>
      <c r="I435" s="39">
        <f>$E435*I320</f>
        <v>1.4683274499598435</v>
      </c>
      <c r="J435" s="39">
        <f>$E435*J320</f>
        <v>1.4830107244594415</v>
      </c>
      <c r="K435" s="39">
        <f>$E435*K320</f>
        <v>1.4978408317040364</v>
      </c>
      <c r="L435" s="39">
        <f>$E435*L320</f>
        <v>1.5128192400210769</v>
      </c>
      <c r="M435" s="39">
        <f>$E435*M320</f>
        <v>1.5279474324212874</v>
      </c>
      <c r="N435" s="39">
        <f>$E435*N320</f>
        <v>1.5432269067455002</v>
      </c>
      <c r="O435" s="39">
        <f>$E435*O320</f>
        <v>1.5586591758129553</v>
      </c>
      <c r="P435" s="3"/>
      <c r="Q435" s="3"/>
      <c r="R435" s="3"/>
      <c r="S435" s="3"/>
      <c r="T435" s="3"/>
      <c r="U435" s="3"/>
      <c r="V435" s="3"/>
      <c r="W435" s="3"/>
      <c r="X435" s="3"/>
      <c r="Y435" s="3"/>
      <c r="Z435" s="3"/>
    </row>
    <row r="436" spans="1:26" ht="12.75" x14ac:dyDescent="0.2">
      <c r="A436" s="3"/>
      <c r="B436" s="43"/>
      <c r="C436" s="68" t="s">
        <v>289</v>
      </c>
      <c r="D436" s="36"/>
      <c r="E436" s="36"/>
      <c r="F436" s="40">
        <f>SUM(F434:F435)</f>
        <v>1.4349359168627456</v>
      </c>
      <c r="G436" s="40">
        <f t="shared" ref="G436:O436" si="89">SUM(G434:G435)</f>
        <v>1.4492911464313729</v>
      </c>
      <c r="H436" s="40">
        <f t="shared" si="89"/>
        <v>1.463789928295687</v>
      </c>
      <c r="I436" s="40">
        <f t="shared" si="89"/>
        <v>1.4784336979786434</v>
      </c>
      <c r="J436" s="40">
        <f t="shared" si="89"/>
        <v>1.4932239053584295</v>
      </c>
      <c r="K436" s="40">
        <f t="shared" si="89"/>
        <v>1.5081620148120143</v>
      </c>
      <c r="L436" s="40">
        <f t="shared" si="89"/>
        <v>1.5232495053601345</v>
      </c>
      <c r="M436" s="40">
        <f t="shared" si="89"/>
        <v>1.5384878708137357</v>
      </c>
      <c r="N436" s="40">
        <f t="shared" si="89"/>
        <v>1.553878619921873</v>
      </c>
      <c r="O436" s="40">
        <f t="shared" si="89"/>
        <v>1.5694232765210918</v>
      </c>
      <c r="P436" s="3"/>
      <c r="Q436" s="3"/>
      <c r="R436" s="3"/>
      <c r="S436" s="3"/>
      <c r="T436" s="3"/>
      <c r="U436" s="3"/>
      <c r="V436" s="3"/>
      <c r="W436" s="3"/>
      <c r="X436" s="3"/>
      <c r="Y436" s="3"/>
      <c r="Z436" s="3"/>
    </row>
    <row r="437" spans="1:26" ht="12.75" x14ac:dyDescent="0.2">
      <c r="A437" s="3"/>
      <c r="B437" s="43"/>
      <c r="C437" s="43"/>
      <c r="D437" s="43"/>
      <c r="E437" s="43"/>
      <c r="F437" s="101"/>
      <c r="G437" s="43"/>
      <c r="H437" s="43"/>
      <c r="I437" s="43"/>
      <c r="J437" s="43"/>
      <c r="K437" s="43"/>
      <c r="L437" s="43"/>
      <c r="M437" s="43"/>
      <c r="N437" s="43"/>
      <c r="O437" s="43"/>
      <c r="P437" s="3"/>
      <c r="Q437" s="3"/>
      <c r="R437" s="3"/>
      <c r="S437" s="3"/>
      <c r="T437" s="3"/>
      <c r="U437" s="3"/>
      <c r="V437" s="3"/>
      <c r="W437" s="3"/>
      <c r="X437" s="3"/>
      <c r="Y437" s="3"/>
      <c r="Z437" s="3"/>
    </row>
    <row r="438" spans="1:26" ht="12.75" x14ac:dyDescent="0.2">
      <c r="A438" s="3"/>
      <c r="B438" s="43"/>
      <c r="C438" s="70" t="s">
        <v>669</v>
      </c>
      <c r="D438" s="70"/>
      <c r="E438" s="70"/>
      <c r="F438" s="71">
        <f>F415+F420+F431+F436</f>
        <v>330.07637199119347</v>
      </c>
      <c r="G438" s="71">
        <f t="shared" ref="G438:O438" si="90">G415+G420+G431+G436</f>
        <v>312.19072722076214</v>
      </c>
      <c r="H438" s="71">
        <f t="shared" si="90"/>
        <v>330.30522600262634</v>
      </c>
      <c r="I438" s="71">
        <f t="shared" si="90"/>
        <v>312.41986977230931</v>
      </c>
      <c r="J438" s="71">
        <f t="shared" si="90"/>
        <v>330.53465997968914</v>
      </c>
      <c r="K438" s="71">
        <f t="shared" si="90"/>
        <v>312.64959808914273</v>
      </c>
      <c r="L438" s="71">
        <f t="shared" si="90"/>
        <v>330.66468557969085</v>
      </c>
      <c r="M438" s="71">
        <f t="shared" si="90"/>
        <v>312.7799239451445</v>
      </c>
      <c r="N438" s="71">
        <f t="shared" si="90"/>
        <v>330.89531469425265</v>
      </c>
      <c r="O438" s="71">
        <f t="shared" si="90"/>
        <v>313.01085935085183</v>
      </c>
      <c r="P438" s="3"/>
      <c r="Q438" s="3"/>
      <c r="R438" s="3"/>
      <c r="S438" s="3"/>
      <c r="T438" s="3"/>
      <c r="U438" s="3"/>
      <c r="V438" s="3"/>
      <c r="W438" s="3"/>
      <c r="X438" s="3"/>
      <c r="Y438" s="3"/>
      <c r="Z438" s="3"/>
    </row>
    <row r="439" spans="1:26" ht="12.75" x14ac:dyDescent="0.2">
      <c r="A439" s="3"/>
      <c r="B439" s="43"/>
      <c r="C439" s="43"/>
      <c r="D439" s="43"/>
      <c r="E439" s="43"/>
      <c r="F439" s="43"/>
      <c r="G439" s="43"/>
      <c r="H439" s="43"/>
      <c r="I439" s="43"/>
      <c r="J439" s="43"/>
      <c r="K439" s="43"/>
      <c r="L439" s="43"/>
      <c r="M439" s="43"/>
      <c r="N439" s="43"/>
      <c r="O439" s="43"/>
      <c r="P439" s="3"/>
      <c r="Q439" s="3"/>
      <c r="R439" s="3"/>
      <c r="S439" s="3"/>
      <c r="T439" s="3"/>
      <c r="U439" s="3"/>
      <c r="V439" s="3"/>
      <c r="W439" s="3"/>
      <c r="X439" s="3"/>
      <c r="Y439" s="3"/>
      <c r="Z439" s="3"/>
    </row>
    <row r="440" spans="1:26" ht="12.75" x14ac:dyDescent="0.2">
      <c r="A440" s="3"/>
      <c r="C440" s="72" t="s">
        <v>687</v>
      </c>
      <c r="D440" s="70"/>
      <c r="E440" s="70"/>
      <c r="F440" s="73">
        <f t="shared" ref="F440:O440" si="91">F404-F438</f>
        <v>-147.46990892879131</v>
      </c>
      <c r="G440" s="73">
        <f t="shared" si="91"/>
        <v>-127.758199527736</v>
      </c>
      <c r="H440" s="73">
        <f t="shared" si="91"/>
        <v>-144.02837303266989</v>
      </c>
      <c r="I440" s="73">
        <f t="shared" si="91"/>
        <v>-124.2802482726533</v>
      </c>
      <c r="J440" s="73">
        <f t="shared" si="91"/>
        <v>-140.51364226503659</v>
      </c>
      <c r="K440" s="73">
        <f t="shared" si="91"/>
        <v>-120.72837019734357</v>
      </c>
      <c r="L440" s="73">
        <f t="shared" si="91"/>
        <v>-136.82424540897378</v>
      </c>
      <c r="M440" s="73">
        <f t="shared" si="91"/>
        <v>-117.00107937272026</v>
      </c>
      <c r="N440" s="73">
        <f t="shared" si="91"/>
        <v>-133.15868167610421</v>
      </c>
      <c r="O440" s="73">
        <f t="shared" si="91"/>
        <v>-113.29686000252187</v>
      </c>
      <c r="P440" s="3"/>
      <c r="Q440" s="3"/>
      <c r="R440" s="3"/>
      <c r="S440" s="3"/>
      <c r="T440" s="3"/>
      <c r="U440" s="3"/>
      <c r="V440" s="3"/>
      <c r="W440" s="3"/>
      <c r="X440" s="3"/>
      <c r="Y440" s="3"/>
      <c r="Z440" s="3"/>
    </row>
    <row r="441" spans="1:26" ht="12.75" x14ac:dyDescent="0.2">
      <c r="A441" s="3"/>
      <c r="B441" s="3"/>
      <c r="C441" s="3"/>
      <c r="D441" s="3"/>
      <c r="E441" s="3"/>
      <c r="F441" s="28"/>
      <c r="G441" s="3"/>
      <c r="H441" s="3"/>
      <c r="I441" s="3"/>
      <c r="J441" s="3"/>
      <c r="K441" s="3"/>
      <c r="L441" s="3"/>
      <c r="M441" s="3"/>
      <c r="N441" s="3"/>
      <c r="O441" s="3"/>
      <c r="P441" s="3"/>
      <c r="Q441" s="3"/>
      <c r="R441" s="3"/>
      <c r="S441" s="3"/>
      <c r="T441" s="3"/>
      <c r="U441" s="3"/>
      <c r="V441" s="3"/>
      <c r="W441" s="3"/>
      <c r="X441" s="3"/>
      <c r="Y441" s="3"/>
      <c r="Z441" s="3"/>
    </row>
    <row r="442" spans="1:26" ht="12.75" x14ac:dyDescent="0.2">
      <c r="A442" s="3"/>
      <c r="B442" s="567" t="s">
        <v>688</v>
      </c>
      <c r="C442" s="33"/>
      <c r="D442" s="33"/>
      <c r="E442" s="33"/>
      <c r="F442" s="33"/>
      <c r="G442" s="33"/>
      <c r="H442" s="33"/>
      <c r="I442" s="33"/>
      <c r="J442" s="33"/>
      <c r="K442" s="33"/>
      <c r="L442" s="33"/>
      <c r="M442" s="33"/>
      <c r="N442" s="33"/>
      <c r="O442" s="33"/>
      <c r="P442" s="3"/>
      <c r="Q442" s="3"/>
      <c r="R442" s="3"/>
      <c r="S442" s="3"/>
      <c r="T442" s="3"/>
      <c r="U442" s="3"/>
      <c r="V442" s="3"/>
      <c r="W442" s="3"/>
      <c r="X442" s="3"/>
      <c r="Y442" s="3"/>
      <c r="Z442" s="3"/>
    </row>
    <row r="443" spans="1:26" ht="12.75" x14ac:dyDescent="0.2">
      <c r="A443" s="3"/>
      <c r="C443" s="64" t="s">
        <v>671</v>
      </c>
      <c r="D443" s="33"/>
      <c r="E443" s="279" t="s">
        <v>666</v>
      </c>
      <c r="F443" s="33"/>
      <c r="G443" s="33"/>
      <c r="H443" s="33"/>
      <c r="I443" s="33"/>
      <c r="J443" s="33"/>
      <c r="K443" s="33"/>
      <c r="L443" s="33"/>
      <c r="M443" s="33"/>
      <c r="N443" s="33"/>
      <c r="O443" s="33"/>
      <c r="P443" s="3"/>
      <c r="Q443" s="3"/>
      <c r="R443" s="3"/>
      <c r="S443" s="3"/>
      <c r="T443" s="3"/>
      <c r="U443" s="3"/>
      <c r="V443" s="3"/>
      <c r="W443" s="3"/>
      <c r="X443" s="3"/>
      <c r="Y443" s="3"/>
      <c r="Z443" s="3"/>
    </row>
    <row r="444" spans="1:26" ht="12.75" x14ac:dyDescent="0.2">
      <c r="A444" s="3"/>
      <c r="B444" s="33"/>
      <c r="C444" s="781" t="s">
        <v>195</v>
      </c>
      <c r="D444" s="33"/>
      <c r="E444" s="299">
        <f>CFs!$C$201</f>
        <v>0.67056688148247967</v>
      </c>
      <c r="F444" s="39">
        <f>$E444*F329</f>
        <v>403.64017031395554</v>
      </c>
      <c r="G444" s="39">
        <f>$E444*G329</f>
        <v>423.82217882965335</v>
      </c>
      <c r="H444" s="39">
        <f>$E444*H329</f>
        <v>445.01328777113599</v>
      </c>
      <c r="I444" s="39">
        <f>$E444*I329</f>
        <v>467.26395215969285</v>
      </c>
      <c r="J444" s="39">
        <f>$E444*J329</f>
        <v>490.62714976767751</v>
      </c>
      <c r="K444" s="39">
        <f>$E444*K329</f>
        <v>509.2650103873853</v>
      </c>
      <c r="L444" s="39">
        <f>$E444*L329</f>
        <v>514.59101314901045</v>
      </c>
      <c r="M444" s="39">
        <f>$E444*M329</f>
        <v>514.59101314901045</v>
      </c>
      <c r="N444" s="39">
        <f>$E444*N329</f>
        <v>514.59101314901045</v>
      </c>
      <c r="O444" s="39">
        <f>$E444*O329</f>
        <v>514.59101314901045</v>
      </c>
      <c r="P444" s="3"/>
      <c r="Q444" s="3"/>
      <c r="R444" s="3"/>
      <c r="S444" s="3"/>
      <c r="T444" s="3"/>
      <c r="U444" s="3"/>
      <c r="V444" s="3"/>
      <c r="W444" s="3"/>
      <c r="X444" s="3"/>
      <c r="Y444" s="3"/>
      <c r="Z444" s="3"/>
    </row>
    <row r="445" spans="1:26" ht="12.75" x14ac:dyDescent="0.2">
      <c r="A445" s="3"/>
      <c r="B445" s="33"/>
      <c r="C445" s="27" t="s">
        <v>231</v>
      </c>
      <c r="D445" s="33"/>
      <c r="E445" s="299">
        <f>CFs!$C$201</f>
        <v>0.67056688148247967</v>
      </c>
      <c r="F445" s="39">
        <f>$E445*F330</f>
        <v>87.907705147995671</v>
      </c>
      <c r="G445" s="39">
        <f>$E445*G330</f>
        <v>82.047191471462639</v>
      </c>
      <c r="H445" s="39">
        <f>$E445*H330</f>
        <v>75.380857164406279</v>
      </c>
      <c r="I445" s="39">
        <f>$E445*I330</f>
        <v>67.84277144796566</v>
      </c>
      <c r="J445" s="39">
        <f>$E445*J330</f>
        <v>71.234910020363941</v>
      </c>
      <c r="K445" s="39">
        <f>$E445*K330</f>
        <v>73.940969652093756</v>
      </c>
      <c r="L445" s="39">
        <f>$E445*L330</f>
        <v>74.714260179681204</v>
      </c>
      <c r="M445" s="39">
        <f>$E445*M330</f>
        <v>74.714260179681204</v>
      </c>
      <c r="N445" s="39">
        <f>$E445*N330</f>
        <v>74.714260179681204</v>
      </c>
      <c r="O445" s="39">
        <f>$E445*O330</f>
        <v>74.714260179681204</v>
      </c>
      <c r="P445" s="3"/>
      <c r="Q445" s="3"/>
      <c r="R445" s="3"/>
      <c r="S445" s="3"/>
      <c r="T445" s="3"/>
      <c r="U445" s="3"/>
      <c r="V445" s="3"/>
      <c r="W445" s="3"/>
      <c r="X445" s="3"/>
      <c r="Y445" s="3"/>
      <c r="Z445" s="3"/>
    </row>
    <row r="446" spans="1:26" ht="12.75" x14ac:dyDescent="0.2">
      <c r="A446" s="3"/>
      <c r="B446" s="33"/>
      <c r="C446" s="559" t="s">
        <v>1035</v>
      </c>
      <c r="D446" s="36"/>
      <c r="E446" s="36"/>
      <c r="F446" s="59">
        <f>F444-F445</f>
        <v>315.73246516595987</v>
      </c>
      <c r="G446" s="59">
        <f t="shared" ref="G446:O446" si="92">G444-G445</f>
        <v>341.77498735819074</v>
      </c>
      <c r="H446" s="59">
        <f t="shared" si="92"/>
        <v>369.63243060672971</v>
      </c>
      <c r="I446" s="59">
        <f t="shared" si="92"/>
        <v>399.42118071172717</v>
      </c>
      <c r="J446" s="59">
        <f t="shared" si="92"/>
        <v>419.39223974731357</v>
      </c>
      <c r="K446" s="59">
        <f t="shared" si="92"/>
        <v>435.32404073529153</v>
      </c>
      <c r="L446" s="59">
        <f t="shared" si="92"/>
        <v>439.87675296932923</v>
      </c>
      <c r="M446" s="59">
        <f t="shared" si="92"/>
        <v>439.87675296932923</v>
      </c>
      <c r="N446" s="59">
        <f t="shared" si="92"/>
        <v>439.87675296932923</v>
      </c>
      <c r="O446" s="59">
        <f t="shared" si="92"/>
        <v>439.87675296932923</v>
      </c>
      <c r="P446" s="3"/>
      <c r="Q446" s="3"/>
      <c r="R446" s="3"/>
      <c r="S446" s="3"/>
      <c r="T446" s="3"/>
      <c r="U446" s="3"/>
      <c r="V446" s="3"/>
      <c r="W446" s="3"/>
      <c r="X446" s="3"/>
      <c r="Y446" s="3"/>
      <c r="Z446" s="3"/>
    </row>
    <row r="447" spans="1:26" ht="12.75" x14ac:dyDescent="0.2">
      <c r="A447" s="3"/>
      <c r="B447" s="33"/>
      <c r="C447" s="27"/>
      <c r="D447" s="33"/>
      <c r="E447" s="33"/>
      <c r="F447" s="37"/>
      <c r="G447" s="37"/>
      <c r="H447" s="37"/>
      <c r="I447" s="37"/>
      <c r="J447" s="37"/>
      <c r="K447" s="37"/>
      <c r="L447" s="37"/>
      <c r="M447" s="37"/>
      <c r="N447" s="37"/>
      <c r="O447" s="37"/>
      <c r="P447" s="3"/>
      <c r="Q447" s="3"/>
      <c r="R447" s="3"/>
      <c r="S447" s="3"/>
      <c r="T447" s="3"/>
      <c r="U447" s="3"/>
      <c r="V447" s="3"/>
      <c r="W447" s="3"/>
      <c r="X447" s="3"/>
      <c r="Y447" s="3"/>
      <c r="Z447" s="3"/>
    </row>
    <row r="448" spans="1:26" ht="12.75" x14ac:dyDescent="0.2">
      <c r="A448" s="3"/>
      <c r="B448" s="33"/>
      <c r="C448" s="34" t="s">
        <v>266</v>
      </c>
      <c r="D448" s="33"/>
      <c r="E448" s="33"/>
      <c r="F448" s="37"/>
      <c r="G448" s="37"/>
      <c r="H448" s="37"/>
      <c r="I448" s="37"/>
      <c r="J448" s="37"/>
      <c r="K448" s="37"/>
      <c r="L448" s="37"/>
      <c r="M448" s="37"/>
      <c r="N448" s="37"/>
      <c r="O448" s="37"/>
      <c r="P448" s="3"/>
      <c r="Q448" s="3"/>
      <c r="R448" s="3"/>
      <c r="S448" s="3"/>
      <c r="T448" s="3"/>
      <c r="U448" s="3"/>
      <c r="V448" s="3"/>
      <c r="W448" s="3"/>
      <c r="X448" s="3"/>
      <c r="Y448" s="3"/>
      <c r="Z448" s="3"/>
    </row>
    <row r="449" spans="1:26" ht="12.75" x14ac:dyDescent="0.2">
      <c r="A449" s="3"/>
      <c r="B449" s="33"/>
      <c r="C449" s="35" t="s">
        <v>267</v>
      </c>
      <c r="D449" s="33"/>
      <c r="E449" s="299">
        <v>0</v>
      </c>
      <c r="F449" s="39">
        <f>$E449*F334</f>
        <v>0</v>
      </c>
      <c r="G449" s="39">
        <f>$E449*G334</f>
        <v>0</v>
      </c>
      <c r="H449" s="39">
        <f>$E449*H334</f>
        <v>0</v>
      </c>
      <c r="I449" s="39">
        <f>$E449*I334</f>
        <v>0</v>
      </c>
      <c r="J449" s="39">
        <f>$E449*J334</f>
        <v>0</v>
      </c>
      <c r="K449" s="39">
        <f>$E449*K334</f>
        <v>0</v>
      </c>
      <c r="L449" s="39">
        <f>$E449*L334</f>
        <v>0</v>
      </c>
      <c r="M449" s="39">
        <f>$E449*M334</f>
        <v>0</v>
      </c>
      <c r="N449" s="39">
        <f>$E449*N334</f>
        <v>0</v>
      </c>
      <c r="O449" s="39">
        <f>$E449*O334</f>
        <v>0</v>
      </c>
      <c r="P449" s="3"/>
      <c r="Q449" s="3"/>
      <c r="R449" s="3"/>
      <c r="S449" s="3"/>
      <c r="T449" s="3"/>
      <c r="U449" s="3"/>
      <c r="V449" s="3"/>
      <c r="W449" s="3"/>
      <c r="X449" s="3"/>
      <c r="Y449" s="3"/>
      <c r="Z449" s="3"/>
    </row>
    <row r="450" spans="1:26" ht="12.75" x14ac:dyDescent="0.2">
      <c r="A450" s="3"/>
      <c r="B450" s="33"/>
      <c r="C450" s="35" t="s">
        <v>138</v>
      </c>
      <c r="D450" s="33"/>
      <c r="E450" s="299">
        <v>0</v>
      </c>
      <c r="F450" s="39">
        <f>$E450*F335</f>
        <v>0</v>
      </c>
      <c r="G450" s="39">
        <f>$E450*G335</f>
        <v>0</v>
      </c>
      <c r="H450" s="39">
        <f>$E450*H335</f>
        <v>0</v>
      </c>
      <c r="I450" s="39">
        <f>$E450*I335</f>
        <v>0</v>
      </c>
      <c r="J450" s="39">
        <f>$E450*J335</f>
        <v>0</v>
      </c>
      <c r="K450" s="39">
        <f>$E450*K335</f>
        <v>0</v>
      </c>
      <c r="L450" s="39">
        <f>$E450*L335</f>
        <v>0</v>
      </c>
      <c r="M450" s="39">
        <f>$E450*M335</f>
        <v>0</v>
      </c>
      <c r="N450" s="39">
        <f>$E450*N335</f>
        <v>0</v>
      </c>
      <c r="O450" s="39">
        <f>$E450*O335</f>
        <v>0</v>
      </c>
      <c r="P450" s="3"/>
      <c r="Q450" s="3"/>
      <c r="R450" s="3"/>
      <c r="S450" s="3"/>
      <c r="T450" s="3"/>
      <c r="U450" s="3"/>
      <c r="V450" s="3"/>
      <c r="W450" s="3"/>
      <c r="X450" s="3"/>
      <c r="Y450" s="3"/>
      <c r="Z450" s="3"/>
    </row>
    <row r="451" spans="1:26" ht="12.75" x14ac:dyDescent="0.2">
      <c r="A451" s="3"/>
      <c r="B451" s="33"/>
      <c r="C451" s="558" t="s">
        <v>843</v>
      </c>
      <c r="D451" s="33"/>
      <c r="E451" s="299">
        <v>1</v>
      </c>
      <c r="F451" s="39"/>
      <c r="G451" s="39"/>
      <c r="H451" s="39"/>
      <c r="I451" s="39"/>
      <c r="J451" s="39"/>
      <c r="K451" s="39"/>
      <c r="L451" s="39"/>
      <c r="M451" s="39"/>
      <c r="N451" s="39"/>
      <c r="O451" s="39">
        <f>$E451*O336</f>
        <v>0</v>
      </c>
      <c r="P451" s="3"/>
      <c r="Q451" s="3"/>
      <c r="R451" s="3"/>
      <c r="S451" s="3"/>
      <c r="T451" s="3"/>
      <c r="U451" s="3"/>
      <c r="V451" s="3"/>
      <c r="W451" s="3"/>
      <c r="X451" s="3"/>
      <c r="Y451" s="3"/>
      <c r="Z451" s="3"/>
    </row>
    <row r="452" spans="1:26" ht="12.75" x14ac:dyDescent="0.2">
      <c r="A452" s="3"/>
      <c r="B452" s="33"/>
      <c r="C452" s="559" t="s">
        <v>320</v>
      </c>
      <c r="D452" s="36"/>
      <c r="E452" s="36"/>
      <c r="F452" s="40">
        <f t="shared" ref="F452:O452" si="93">SUM(F449:F451)</f>
        <v>0</v>
      </c>
      <c r="G452" s="40">
        <f t="shared" si="93"/>
        <v>0</v>
      </c>
      <c r="H452" s="40">
        <f t="shared" si="93"/>
        <v>0</v>
      </c>
      <c r="I452" s="40">
        <f t="shared" si="93"/>
        <v>0</v>
      </c>
      <c r="J452" s="40">
        <f t="shared" si="93"/>
        <v>0</v>
      </c>
      <c r="K452" s="40">
        <f t="shared" si="93"/>
        <v>0</v>
      </c>
      <c r="L452" s="40">
        <f t="shared" si="93"/>
        <v>0</v>
      </c>
      <c r="M452" s="40">
        <f t="shared" si="93"/>
        <v>0</v>
      </c>
      <c r="N452" s="40">
        <f t="shared" si="93"/>
        <v>0</v>
      </c>
      <c r="O452" s="40">
        <f t="shared" si="93"/>
        <v>0</v>
      </c>
      <c r="P452" s="3"/>
      <c r="Q452" s="3"/>
      <c r="R452" s="3"/>
      <c r="S452" s="3"/>
      <c r="T452" s="3"/>
      <c r="U452" s="3"/>
      <c r="V452" s="3"/>
      <c r="W452" s="3"/>
      <c r="X452" s="3"/>
      <c r="Y452" s="3"/>
      <c r="Z452" s="3"/>
    </row>
    <row r="453" spans="1:26" ht="12.75" x14ac:dyDescent="0.2">
      <c r="A453" s="3"/>
      <c r="B453" s="33"/>
      <c r="C453" s="27"/>
      <c r="D453" s="33"/>
      <c r="E453" s="33"/>
      <c r="F453" s="37"/>
      <c r="G453" s="37"/>
      <c r="H453" s="37"/>
      <c r="I453" s="37"/>
      <c r="J453" s="37"/>
      <c r="K453" s="37"/>
      <c r="L453" s="37"/>
      <c r="M453" s="37"/>
      <c r="N453" s="37"/>
      <c r="O453" s="37"/>
      <c r="P453" s="3"/>
      <c r="Q453" s="3"/>
      <c r="R453" s="3"/>
      <c r="S453" s="3"/>
      <c r="T453" s="3"/>
      <c r="U453" s="3"/>
      <c r="V453" s="3"/>
      <c r="W453" s="3"/>
      <c r="X453" s="3"/>
      <c r="Y453" s="3"/>
      <c r="Z453" s="3"/>
    </row>
    <row r="454" spans="1:26" ht="12.75" x14ac:dyDescent="0.2">
      <c r="A454" s="3"/>
      <c r="B454" s="33"/>
      <c r="C454" s="66" t="s">
        <v>675</v>
      </c>
      <c r="D454" s="66"/>
      <c r="E454" s="66"/>
      <c r="F454" s="67">
        <f>F446+F452</f>
        <v>315.73246516595987</v>
      </c>
      <c r="G454" s="67">
        <f t="shared" ref="G454:O454" si="94">G446+G452</f>
        <v>341.77498735819074</v>
      </c>
      <c r="H454" s="67">
        <f t="shared" si="94"/>
        <v>369.63243060672971</v>
      </c>
      <c r="I454" s="67">
        <f t="shared" si="94"/>
        <v>399.42118071172717</v>
      </c>
      <c r="J454" s="67">
        <f t="shared" si="94"/>
        <v>419.39223974731357</v>
      </c>
      <c r="K454" s="67">
        <f t="shared" si="94"/>
        <v>435.32404073529153</v>
      </c>
      <c r="L454" s="67">
        <f t="shared" si="94"/>
        <v>439.87675296932923</v>
      </c>
      <c r="M454" s="67">
        <f t="shared" si="94"/>
        <v>439.87675296932923</v>
      </c>
      <c r="N454" s="67">
        <f t="shared" si="94"/>
        <v>439.87675296932923</v>
      </c>
      <c r="O454" s="67">
        <f t="shared" si="94"/>
        <v>439.87675296932923</v>
      </c>
      <c r="P454" s="3"/>
      <c r="Q454" s="3"/>
      <c r="R454" s="3"/>
      <c r="S454" s="3"/>
      <c r="T454" s="3"/>
      <c r="U454" s="3"/>
      <c r="V454" s="3"/>
      <c r="W454" s="3"/>
      <c r="X454" s="3"/>
      <c r="Y454" s="3"/>
      <c r="Z454" s="3"/>
    </row>
    <row r="455" spans="1:26" ht="12.75" x14ac:dyDescent="0.2">
      <c r="A455" s="3"/>
      <c r="B455" s="33"/>
      <c r="C455" s="33"/>
      <c r="D455" s="33"/>
      <c r="E455" s="33"/>
      <c r="F455" s="33"/>
      <c r="G455" s="33"/>
      <c r="H455" s="33"/>
      <c r="I455" s="33"/>
      <c r="J455" s="33"/>
      <c r="K455" s="33"/>
      <c r="L455" s="33"/>
      <c r="M455" s="33"/>
      <c r="N455" s="33"/>
      <c r="O455" s="33"/>
      <c r="P455" s="3"/>
      <c r="Q455" s="3"/>
      <c r="R455" s="3"/>
      <c r="S455" s="3"/>
      <c r="T455" s="3"/>
      <c r="U455" s="3"/>
      <c r="V455" s="3"/>
      <c r="W455" s="3"/>
      <c r="X455" s="3"/>
      <c r="Y455" s="3"/>
      <c r="Z455" s="3"/>
    </row>
    <row r="456" spans="1:26" ht="12.75" x14ac:dyDescent="0.2">
      <c r="A456" s="3"/>
      <c r="C456" s="64" t="s">
        <v>670</v>
      </c>
      <c r="D456" s="33"/>
      <c r="E456" s="33"/>
      <c r="F456" s="33"/>
      <c r="G456" s="33"/>
      <c r="H456" s="33"/>
      <c r="I456" s="33"/>
      <c r="J456" s="33"/>
      <c r="K456" s="33"/>
      <c r="L456" s="33"/>
      <c r="M456" s="33"/>
      <c r="N456" s="33"/>
      <c r="O456" s="33"/>
      <c r="P456" s="3"/>
      <c r="Q456" s="3"/>
      <c r="R456" s="3"/>
      <c r="S456" s="3"/>
      <c r="T456" s="3"/>
      <c r="U456" s="3"/>
      <c r="V456" s="3"/>
      <c r="W456" s="3"/>
      <c r="X456" s="3"/>
      <c r="Y456" s="3"/>
      <c r="Z456" s="3"/>
    </row>
    <row r="457" spans="1:26" ht="12.75" x14ac:dyDescent="0.2">
      <c r="A457" s="3"/>
      <c r="B457" s="33"/>
      <c r="C457" s="34" t="s">
        <v>218</v>
      </c>
      <c r="D457" s="33"/>
      <c r="E457" s="33"/>
      <c r="F457" s="33"/>
      <c r="G457" s="33"/>
      <c r="H457" s="33"/>
      <c r="I457" s="33"/>
      <c r="J457" s="33"/>
      <c r="K457" s="33"/>
      <c r="L457" s="33"/>
      <c r="M457" s="33"/>
      <c r="N457" s="33"/>
      <c r="O457" s="33"/>
      <c r="P457" s="3"/>
      <c r="Q457" s="3"/>
      <c r="R457" s="3"/>
      <c r="S457" s="3"/>
      <c r="T457" s="3"/>
      <c r="U457" s="3"/>
      <c r="V457" s="3"/>
      <c r="W457" s="3"/>
      <c r="X457" s="3"/>
      <c r="Y457" s="3"/>
      <c r="Z457" s="3"/>
    </row>
    <row r="458" spans="1:26" ht="12.75" x14ac:dyDescent="0.2">
      <c r="A458" s="3"/>
      <c r="B458" s="33"/>
      <c r="C458" s="94" t="s">
        <v>272</v>
      </c>
      <c r="D458" s="33"/>
      <c r="E458" s="302">
        <v>1</v>
      </c>
      <c r="F458" s="39">
        <f>$E458*F347</f>
        <v>29.42</v>
      </c>
      <c r="G458" s="39">
        <f>$E458*G347</f>
        <v>29.42</v>
      </c>
      <c r="H458" s="39">
        <f>$E458*H347</f>
        <v>29.42</v>
      </c>
      <c r="I458" s="39">
        <f>$E458*I347</f>
        <v>29.419999999999998</v>
      </c>
      <c r="J458" s="39">
        <f>$E458*J347</f>
        <v>29.419999999999998</v>
      </c>
      <c r="K458" s="39">
        <f>$E458*K347</f>
        <v>29.42</v>
      </c>
      <c r="L458" s="39">
        <f>$E458*L347</f>
        <v>29.42</v>
      </c>
      <c r="M458" s="39">
        <f>$E458*M347</f>
        <v>29.419999999999998</v>
      </c>
      <c r="N458" s="39">
        <f>$E458*N347</f>
        <v>29.419999999999998</v>
      </c>
      <c r="O458" s="39">
        <f>$E458*O347</f>
        <v>29.419999999999998</v>
      </c>
      <c r="P458" s="3"/>
      <c r="Q458" s="3"/>
      <c r="R458" s="3"/>
      <c r="S458" s="3"/>
      <c r="T458" s="3"/>
      <c r="U458" s="3"/>
      <c r="V458" s="3"/>
      <c r="W458" s="3"/>
      <c r="X458" s="3"/>
      <c r="Y458" s="3"/>
      <c r="Z458" s="3"/>
    </row>
    <row r="459" spans="1:26" ht="12.75" x14ac:dyDescent="0.2">
      <c r="A459" s="3"/>
      <c r="B459" s="33"/>
      <c r="C459" s="94" t="s">
        <v>273</v>
      </c>
      <c r="D459" s="33"/>
      <c r="E459" s="302">
        <v>1</v>
      </c>
      <c r="F459" s="39">
        <f>$E459*F348</f>
        <v>44.6</v>
      </c>
      <c r="G459" s="39">
        <f>$E459*G348</f>
        <v>44.600000000000009</v>
      </c>
      <c r="H459" s="39">
        <f>$E459*H348</f>
        <v>44.6</v>
      </c>
      <c r="I459" s="39">
        <f>$E459*I348</f>
        <v>44.6</v>
      </c>
      <c r="J459" s="39">
        <f>$E459*J348</f>
        <v>44.6</v>
      </c>
      <c r="K459" s="39">
        <f>$E459*K348</f>
        <v>44.6</v>
      </c>
      <c r="L459" s="39">
        <f>$E459*L348</f>
        <v>44.6</v>
      </c>
      <c r="M459" s="39">
        <f>$E459*M348</f>
        <v>44.6</v>
      </c>
      <c r="N459" s="39">
        <f>$E459*N348</f>
        <v>44.6</v>
      </c>
      <c r="O459" s="39">
        <f>$E459*O348</f>
        <v>44.6</v>
      </c>
      <c r="P459" s="3"/>
      <c r="Q459" s="3"/>
      <c r="R459" s="3"/>
      <c r="S459" s="3"/>
      <c r="T459" s="3"/>
      <c r="U459" s="3"/>
      <c r="V459" s="3"/>
      <c r="W459" s="3"/>
      <c r="X459" s="3"/>
      <c r="Y459" s="3"/>
      <c r="Z459" s="3"/>
    </row>
    <row r="460" spans="1:26" ht="12.75" x14ac:dyDescent="0.2">
      <c r="A460" s="3"/>
      <c r="B460" s="33"/>
      <c r="C460" s="94" t="s">
        <v>274</v>
      </c>
      <c r="D460" s="33"/>
      <c r="E460" s="302">
        <v>1</v>
      </c>
      <c r="F460" s="39">
        <f>$E460*F349</f>
        <v>59.65</v>
      </c>
      <c r="G460" s="39">
        <f>$E460*G349</f>
        <v>59.649999999999991</v>
      </c>
      <c r="H460" s="39">
        <f>$E460*H349</f>
        <v>59.650000000000006</v>
      </c>
      <c r="I460" s="39">
        <f>$E460*I349</f>
        <v>59.65</v>
      </c>
      <c r="J460" s="39">
        <f>$E460*J349</f>
        <v>59.650000000000006</v>
      </c>
      <c r="K460" s="39">
        <f>$E460*K349</f>
        <v>59.65</v>
      </c>
      <c r="L460" s="39">
        <f>$E460*L349</f>
        <v>59.649999999999991</v>
      </c>
      <c r="M460" s="39">
        <f>$E460*M349</f>
        <v>59.65</v>
      </c>
      <c r="N460" s="39">
        <f>$E460*N349</f>
        <v>59.649999999999991</v>
      </c>
      <c r="O460" s="39">
        <f>$E460*O349</f>
        <v>59.65</v>
      </c>
      <c r="P460" s="3"/>
      <c r="Q460" s="3"/>
      <c r="R460" s="3"/>
      <c r="S460" s="3"/>
      <c r="T460" s="3"/>
      <c r="U460" s="3"/>
      <c r="V460" s="3"/>
      <c r="W460" s="3"/>
      <c r="X460" s="3"/>
      <c r="Y460" s="3"/>
      <c r="Z460" s="3"/>
    </row>
    <row r="461" spans="1:26" ht="12.75" x14ac:dyDescent="0.2">
      <c r="A461" s="3"/>
      <c r="B461" s="33"/>
      <c r="C461" s="94" t="s">
        <v>275</v>
      </c>
      <c r="D461" s="33"/>
      <c r="E461" s="302">
        <v>1</v>
      </c>
      <c r="F461" s="39">
        <f>$E461*F350</f>
        <v>59.34</v>
      </c>
      <c r="G461" s="39">
        <f>$E461*G350</f>
        <v>59.34</v>
      </c>
      <c r="H461" s="39">
        <f>$E461*H350</f>
        <v>59.34</v>
      </c>
      <c r="I461" s="39">
        <f>$E461*I350</f>
        <v>59.339999999999989</v>
      </c>
      <c r="J461" s="39">
        <f>$E461*J350</f>
        <v>59.339999999999996</v>
      </c>
      <c r="K461" s="39">
        <f>$E461*K350</f>
        <v>59.339999999999989</v>
      </c>
      <c r="L461" s="39">
        <f>$E461*L350</f>
        <v>59.34</v>
      </c>
      <c r="M461" s="39">
        <f>$E461*M350</f>
        <v>59.34</v>
      </c>
      <c r="N461" s="39">
        <f>$E461*N350</f>
        <v>59.34</v>
      </c>
      <c r="O461" s="39">
        <f>$E461*O350</f>
        <v>59.34</v>
      </c>
      <c r="P461" s="3"/>
      <c r="Q461" s="3"/>
      <c r="R461" s="3"/>
      <c r="S461" s="3"/>
      <c r="T461" s="3"/>
      <c r="U461" s="3"/>
      <c r="V461" s="3"/>
      <c r="W461" s="3"/>
      <c r="X461" s="3"/>
      <c r="Y461" s="3"/>
      <c r="Z461" s="3"/>
    </row>
    <row r="462" spans="1:26" ht="12.75" x14ac:dyDescent="0.2">
      <c r="A462" s="3"/>
      <c r="B462" s="35"/>
      <c r="C462" s="84" t="s">
        <v>293</v>
      </c>
      <c r="D462" s="35"/>
      <c r="E462" s="302">
        <v>1</v>
      </c>
      <c r="F462" s="39">
        <f>$E462*F351</f>
        <v>17.29</v>
      </c>
      <c r="G462" s="39">
        <f>$E462*G351</f>
        <v>17.29</v>
      </c>
      <c r="H462" s="39">
        <f>$E462*H351</f>
        <v>17.29</v>
      </c>
      <c r="I462" s="39">
        <f>$E462*I351</f>
        <v>17.29</v>
      </c>
      <c r="J462" s="39">
        <f>$E462*J351</f>
        <v>17.29</v>
      </c>
      <c r="K462" s="39">
        <f>$E462*K351</f>
        <v>17.290000000000003</v>
      </c>
      <c r="L462" s="39">
        <f>$E462*L351</f>
        <v>17.290000000000003</v>
      </c>
      <c r="M462" s="39">
        <f>$E462*M351</f>
        <v>17.29</v>
      </c>
      <c r="N462" s="39">
        <f>$E462*N351</f>
        <v>17.29</v>
      </c>
      <c r="O462" s="39">
        <f>$E462*O351</f>
        <v>17.29</v>
      </c>
      <c r="P462" s="3"/>
      <c r="Q462" s="3"/>
      <c r="R462" s="3"/>
      <c r="S462" s="3"/>
      <c r="T462" s="3"/>
      <c r="U462" s="3"/>
      <c r="V462" s="3"/>
      <c r="W462" s="3"/>
      <c r="X462" s="3"/>
      <c r="Y462" s="3"/>
      <c r="Z462" s="3"/>
    </row>
    <row r="463" spans="1:26" ht="12.75" x14ac:dyDescent="0.2">
      <c r="A463" s="3"/>
      <c r="B463" s="33"/>
      <c r="C463" s="94" t="s">
        <v>278</v>
      </c>
      <c r="D463" s="33"/>
      <c r="E463" s="302">
        <v>1</v>
      </c>
      <c r="F463" s="39">
        <f>$E463*F352</f>
        <v>99.289685853658526</v>
      </c>
      <c r="G463" s="39">
        <f>$E463*G352</f>
        <v>104.25417014634147</v>
      </c>
      <c r="H463" s="39">
        <f>$E463*H352</f>
        <v>109.46687865365853</v>
      </c>
      <c r="I463" s="39">
        <f>$E463*I352</f>
        <v>114.94022258634148</v>
      </c>
      <c r="J463" s="39">
        <f>$E463*J352</f>
        <v>120.68723371565858</v>
      </c>
      <c r="K463" s="39">
        <f>$E463*K352</f>
        <v>125.27187979901466</v>
      </c>
      <c r="L463" s="39">
        <f>$E463*L352</f>
        <v>126.58199999999999</v>
      </c>
      <c r="M463" s="39">
        <f>$E463*M352</f>
        <v>126.58200000000001</v>
      </c>
      <c r="N463" s="39">
        <f>$E463*N352</f>
        <v>126.58199999999999</v>
      </c>
      <c r="O463" s="39">
        <f>$E463*O352</f>
        <v>126.58199999999999</v>
      </c>
      <c r="P463" s="3"/>
      <c r="Q463" s="3"/>
      <c r="R463" s="3"/>
      <c r="S463" s="3"/>
      <c r="T463" s="3"/>
      <c r="U463" s="3"/>
      <c r="V463" s="3"/>
      <c r="W463" s="3"/>
      <c r="X463" s="3"/>
      <c r="Y463" s="3"/>
      <c r="Z463" s="3"/>
    </row>
    <row r="464" spans="1:26" ht="12.75" x14ac:dyDescent="0.2">
      <c r="A464" s="3"/>
      <c r="B464" s="33"/>
      <c r="C464" s="9" t="s">
        <v>85</v>
      </c>
      <c r="D464" s="33"/>
      <c r="E464" s="302">
        <v>1</v>
      </c>
      <c r="F464" s="39">
        <f>$E464*F353</f>
        <v>26.01</v>
      </c>
      <c r="G464" s="39">
        <f>$E464*G353</f>
        <v>26.009999999999998</v>
      </c>
      <c r="H464" s="39">
        <f>$E464*H353</f>
        <v>26.01</v>
      </c>
      <c r="I464" s="39">
        <f>$E464*I353</f>
        <v>26.01</v>
      </c>
      <c r="J464" s="39">
        <f>$E464*J353</f>
        <v>0</v>
      </c>
      <c r="K464" s="39">
        <f>$E464*K353</f>
        <v>0</v>
      </c>
      <c r="L464" s="39">
        <f>$E464*L353</f>
        <v>0</v>
      </c>
      <c r="M464" s="39">
        <f>$E464*M353</f>
        <v>0</v>
      </c>
      <c r="N464" s="39">
        <f>$E464*N353</f>
        <v>0</v>
      </c>
      <c r="O464" s="39">
        <f>$E464*O353</f>
        <v>0</v>
      </c>
      <c r="P464" s="3"/>
      <c r="Q464" s="3"/>
      <c r="R464" s="3"/>
      <c r="S464" s="3"/>
      <c r="T464" s="3"/>
      <c r="U464" s="3"/>
      <c r="V464" s="3"/>
      <c r="W464" s="3"/>
      <c r="X464" s="3"/>
      <c r="Y464" s="3"/>
      <c r="Z464" s="3"/>
    </row>
    <row r="465" spans="1:26" ht="12.75" x14ac:dyDescent="0.2">
      <c r="A465" s="3"/>
      <c r="B465" s="33"/>
      <c r="C465" s="36" t="s">
        <v>207</v>
      </c>
      <c r="D465" s="36"/>
      <c r="E465" s="36"/>
      <c r="F465" s="59">
        <f>SUM(F458:F464)</f>
        <v>335.59968585365851</v>
      </c>
      <c r="G465" s="59">
        <f t="shared" ref="G465:O465" si="95">SUM(G458:G464)</f>
        <v>340.56417014634144</v>
      </c>
      <c r="H465" s="59">
        <f t="shared" si="95"/>
        <v>345.77687865365851</v>
      </c>
      <c r="I465" s="59">
        <f t="shared" si="95"/>
        <v>351.25022258634147</v>
      </c>
      <c r="J465" s="59">
        <f t="shared" si="95"/>
        <v>330.98723371565859</v>
      </c>
      <c r="K465" s="59">
        <f t="shared" si="95"/>
        <v>335.57187979901465</v>
      </c>
      <c r="L465" s="59">
        <f t="shared" si="95"/>
        <v>336.88200000000001</v>
      </c>
      <c r="M465" s="59">
        <f t="shared" si="95"/>
        <v>336.88200000000001</v>
      </c>
      <c r="N465" s="59">
        <f t="shared" si="95"/>
        <v>336.88199999999995</v>
      </c>
      <c r="O465" s="59">
        <f t="shared" si="95"/>
        <v>336.88199999999995</v>
      </c>
      <c r="P465" s="3"/>
      <c r="Q465" s="3"/>
      <c r="R465" s="3"/>
      <c r="S465" s="3"/>
      <c r="T465" s="3"/>
      <c r="U465" s="3"/>
      <c r="V465" s="3"/>
      <c r="W465" s="3"/>
      <c r="X465" s="3"/>
      <c r="Y465" s="3"/>
      <c r="Z465" s="3"/>
    </row>
    <row r="466" spans="1:26" ht="12.75" x14ac:dyDescent="0.2">
      <c r="A466" s="3"/>
      <c r="B466" s="33"/>
      <c r="C466" s="33"/>
      <c r="D466" s="33"/>
      <c r="E466" s="33"/>
      <c r="F466" s="37"/>
      <c r="G466" s="33"/>
      <c r="H466" s="33"/>
      <c r="I466" s="33"/>
      <c r="J466" s="33"/>
      <c r="K466" s="33"/>
      <c r="L466" s="33"/>
      <c r="M466" s="33"/>
      <c r="N466" s="33"/>
      <c r="O466" s="33"/>
      <c r="P466" s="3"/>
      <c r="Q466" s="3"/>
      <c r="R466" s="3"/>
      <c r="S466" s="3"/>
      <c r="T466" s="3"/>
      <c r="U466" s="3"/>
      <c r="V466" s="3"/>
      <c r="W466" s="3"/>
      <c r="X466" s="3"/>
      <c r="Y466" s="3"/>
      <c r="Z466" s="3"/>
    </row>
    <row r="467" spans="1:26" ht="12.75" x14ac:dyDescent="0.2">
      <c r="A467" s="3"/>
      <c r="B467" s="33"/>
      <c r="C467" s="34" t="s">
        <v>215</v>
      </c>
      <c r="D467" s="33"/>
      <c r="E467" s="33"/>
      <c r="F467" s="41"/>
      <c r="G467" s="41"/>
      <c r="H467" s="41"/>
      <c r="I467" s="41"/>
      <c r="J467" s="41"/>
      <c r="K467" s="41"/>
      <c r="L467" s="41"/>
      <c r="M467" s="41"/>
      <c r="N467" s="41"/>
      <c r="O467" s="41"/>
      <c r="P467" s="3"/>
      <c r="Q467" s="3"/>
      <c r="R467" s="3"/>
      <c r="S467" s="3"/>
      <c r="T467" s="3"/>
      <c r="U467" s="3"/>
      <c r="V467" s="3"/>
      <c r="W467" s="3"/>
      <c r="X467" s="3"/>
      <c r="Y467" s="3"/>
      <c r="Z467" s="3"/>
    </row>
    <row r="468" spans="1:26" ht="12.75" x14ac:dyDescent="0.2">
      <c r="A468" s="3"/>
      <c r="B468" s="33"/>
      <c r="C468" s="9" t="s">
        <v>110</v>
      </c>
      <c r="D468" s="33"/>
      <c r="E468" s="302">
        <v>1</v>
      </c>
      <c r="F468" s="39">
        <f>$E468*F357</f>
        <v>2.6819999999999999</v>
      </c>
      <c r="G468" s="39">
        <f>$E468*G357</f>
        <v>2.6819999999999995</v>
      </c>
      <c r="H468" s="39">
        <f>$E468*H357</f>
        <v>2.6819999999999999</v>
      </c>
      <c r="I468" s="39">
        <f>$E468*I357</f>
        <v>2.6819999999999999</v>
      </c>
      <c r="J468" s="39">
        <f>$E468*J357</f>
        <v>2.6819999999999999</v>
      </c>
      <c r="K468" s="39">
        <f>$E468*K357</f>
        <v>2.6820000000000004</v>
      </c>
      <c r="L468" s="39">
        <f>$E468*L357</f>
        <v>2.6819999999999999</v>
      </c>
      <c r="M468" s="39">
        <f>$E468*M357</f>
        <v>2.6819999999999999</v>
      </c>
      <c r="N468" s="39">
        <f>$E468*N357</f>
        <v>2.6819999999999999</v>
      </c>
      <c r="O468" s="39">
        <f>$E468*O357</f>
        <v>2.6819999999999995</v>
      </c>
      <c r="P468" s="3"/>
      <c r="Q468" s="3"/>
      <c r="R468" s="3"/>
      <c r="S468" s="3"/>
      <c r="T468" s="3"/>
      <c r="U468" s="3"/>
      <c r="V468" s="3"/>
      <c r="W468" s="3"/>
      <c r="X468" s="3"/>
      <c r="Y468" s="3"/>
      <c r="Z468" s="3"/>
    </row>
    <row r="469" spans="1:26" ht="12.75" x14ac:dyDescent="0.2">
      <c r="A469" s="3"/>
      <c r="B469" s="33"/>
      <c r="C469" s="27" t="s">
        <v>283</v>
      </c>
      <c r="D469" s="33"/>
      <c r="E469" s="302">
        <v>1</v>
      </c>
      <c r="F469" s="39">
        <f>$E469*F358</f>
        <v>2.4788235294117649</v>
      </c>
      <c r="G469" s="39">
        <f>$E469*G358</f>
        <v>2.4788235294117649</v>
      </c>
      <c r="H469" s="39">
        <f>$E469*H358</f>
        <v>2.4788235294117649</v>
      </c>
      <c r="I469" s="39">
        <f>$E469*I358</f>
        <v>2.4788235294117649</v>
      </c>
      <c r="J469" s="39">
        <f>$E469*J358</f>
        <v>2.4788235294117649</v>
      </c>
      <c r="K469" s="39">
        <f>$E469*K358</f>
        <v>2.4788235294117649</v>
      </c>
      <c r="L469" s="39">
        <f>$E469*L358</f>
        <v>2.4788235294117649</v>
      </c>
      <c r="M469" s="39">
        <f>$E469*M358</f>
        <v>2.4788235294117649</v>
      </c>
      <c r="N469" s="39">
        <f>$E469*N358</f>
        <v>2.4788235294117649</v>
      </c>
      <c r="O469" s="39">
        <f>$E469*O358</f>
        <v>2.4788235294117649</v>
      </c>
      <c r="P469" s="3"/>
      <c r="Q469" s="3"/>
      <c r="R469" s="3"/>
      <c r="S469" s="3"/>
      <c r="T469" s="3"/>
      <c r="U469" s="3"/>
      <c r="V469" s="3"/>
      <c r="W469" s="3"/>
      <c r="X469" s="3"/>
      <c r="Y469" s="3"/>
      <c r="Z469" s="3"/>
    </row>
    <row r="470" spans="1:26" ht="12.75" x14ac:dyDescent="0.2">
      <c r="A470" s="3"/>
      <c r="B470" s="33"/>
      <c r="C470" s="31" t="s">
        <v>216</v>
      </c>
      <c r="D470" s="36"/>
      <c r="E470" s="36"/>
      <c r="F470" s="40">
        <f t="shared" ref="F470:O470" si="96">SUM(F468:F469)</f>
        <v>5.1608235294117648</v>
      </c>
      <c r="G470" s="40">
        <f t="shared" si="96"/>
        <v>5.1608235294117648</v>
      </c>
      <c r="H470" s="40">
        <f t="shared" si="96"/>
        <v>5.1608235294117648</v>
      </c>
      <c r="I470" s="40">
        <f t="shared" si="96"/>
        <v>5.1608235294117648</v>
      </c>
      <c r="J470" s="40">
        <f t="shared" si="96"/>
        <v>5.1608235294117648</v>
      </c>
      <c r="K470" s="40">
        <f t="shared" si="96"/>
        <v>5.1608235294117648</v>
      </c>
      <c r="L470" s="40">
        <f t="shared" si="96"/>
        <v>5.1608235294117648</v>
      </c>
      <c r="M470" s="40">
        <f t="shared" si="96"/>
        <v>5.1608235294117648</v>
      </c>
      <c r="N470" s="40">
        <f t="shared" si="96"/>
        <v>5.1608235294117648</v>
      </c>
      <c r="O470" s="40">
        <f t="shared" si="96"/>
        <v>5.1608235294117648</v>
      </c>
      <c r="P470" s="3"/>
      <c r="Q470" s="3"/>
      <c r="R470" s="3"/>
      <c r="S470" s="3"/>
      <c r="T470" s="3"/>
      <c r="U470" s="3"/>
      <c r="V470" s="3"/>
      <c r="W470" s="3"/>
      <c r="X470" s="3"/>
      <c r="Y470" s="3"/>
      <c r="Z470" s="3"/>
    </row>
    <row r="471" spans="1:26" ht="12.75" x14ac:dyDescent="0.2">
      <c r="A471" s="3"/>
      <c r="B471" s="33"/>
      <c r="C471" s="35"/>
      <c r="D471" s="33"/>
      <c r="E471" s="33"/>
      <c r="F471" s="41"/>
      <c r="G471" s="41"/>
      <c r="H471" s="41"/>
      <c r="I471" s="41"/>
      <c r="J471" s="41"/>
      <c r="K471" s="41"/>
      <c r="L471" s="41"/>
      <c r="M471" s="41"/>
      <c r="N471" s="41"/>
      <c r="O471" s="41"/>
      <c r="P471" s="3"/>
      <c r="Q471" s="3"/>
      <c r="R471" s="3"/>
      <c r="S471" s="3"/>
      <c r="T471" s="3"/>
      <c r="U471" s="3"/>
      <c r="V471" s="3"/>
      <c r="W471" s="3"/>
      <c r="X471" s="3"/>
      <c r="Y471" s="3"/>
      <c r="Z471" s="3"/>
    </row>
    <row r="472" spans="1:26" ht="12.75" x14ac:dyDescent="0.2">
      <c r="A472" s="3"/>
      <c r="B472" s="33"/>
      <c r="C472" s="34" t="s">
        <v>219</v>
      </c>
      <c r="D472" s="33"/>
      <c r="E472" s="33"/>
      <c r="F472" s="41"/>
      <c r="G472" s="41"/>
      <c r="H472" s="41"/>
      <c r="I472" s="41"/>
      <c r="J472" s="41"/>
      <c r="K472" s="41"/>
      <c r="L472" s="41"/>
      <c r="M472" s="41"/>
      <c r="N472" s="41"/>
      <c r="O472" s="41"/>
      <c r="P472" s="3"/>
      <c r="Q472" s="3"/>
      <c r="R472" s="3"/>
      <c r="S472" s="3"/>
      <c r="T472" s="3"/>
      <c r="U472" s="3"/>
      <c r="V472" s="3"/>
      <c r="W472" s="3"/>
      <c r="X472" s="3"/>
      <c r="Y472" s="3"/>
      <c r="Z472" s="3"/>
    </row>
    <row r="473" spans="1:26" ht="12.75" x14ac:dyDescent="0.2">
      <c r="A473" s="3"/>
      <c r="B473" s="33"/>
      <c r="C473" s="9" t="s">
        <v>92</v>
      </c>
      <c r="D473" s="33"/>
      <c r="E473" s="299">
        <f>E445</f>
        <v>0.67056688148247967</v>
      </c>
      <c r="F473" s="39">
        <f>$E473*F362</f>
        <v>0</v>
      </c>
      <c r="G473" s="39">
        <f>$E473*G362</f>
        <v>0</v>
      </c>
      <c r="H473" s="39">
        <f>$E473*H362</f>
        <v>0</v>
      </c>
      <c r="I473" s="39">
        <f>$E473*I362</f>
        <v>0</v>
      </c>
      <c r="J473" s="39">
        <f>$E473*J362</f>
        <v>0</v>
      </c>
      <c r="K473" s="39">
        <f>$E473*K362</f>
        <v>0</v>
      </c>
      <c r="L473" s="39">
        <f>$E473*L362</f>
        <v>0</v>
      </c>
      <c r="M473" s="39">
        <f>$E473*M362</f>
        <v>0</v>
      </c>
      <c r="N473" s="39">
        <f>$E473*N362</f>
        <v>0</v>
      </c>
      <c r="O473" s="39">
        <f>$E473*O362</f>
        <v>0</v>
      </c>
      <c r="P473" s="3"/>
      <c r="Q473" s="3"/>
      <c r="R473" s="3"/>
      <c r="S473" s="3"/>
      <c r="T473" s="3"/>
      <c r="U473" s="3"/>
      <c r="V473" s="3"/>
      <c r="W473" s="3"/>
      <c r="X473" s="3"/>
      <c r="Y473" s="3"/>
      <c r="Z473" s="3"/>
    </row>
    <row r="474" spans="1:26" ht="12.75" x14ac:dyDescent="0.2">
      <c r="A474" s="3"/>
      <c r="B474" s="33"/>
      <c r="C474" s="9" t="s">
        <v>96</v>
      </c>
      <c r="D474" s="33"/>
      <c r="E474" s="302">
        <v>1</v>
      </c>
      <c r="F474" s="39">
        <f>$E474*F363</f>
        <v>22.5</v>
      </c>
      <c r="G474" s="39">
        <f>$E474*G363</f>
        <v>22.5</v>
      </c>
      <c r="H474" s="39">
        <f>$E474*H363</f>
        <v>22.5</v>
      </c>
      <c r="I474" s="39">
        <f>$E474*I363</f>
        <v>22.5</v>
      </c>
      <c r="J474" s="39">
        <f>$E474*J363</f>
        <v>22.5</v>
      </c>
      <c r="K474" s="39">
        <f>$E474*K363</f>
        <v>22.5</v>
      </c>
      <c r="L474" s="39">
        <f>$E474*L363</f>
        <v>22.5</v>
      </c>
      <c r="M474" s="39">
        <f>$E474*M363</f>
        <v>22.5</v>
      </c>
      <c r="N474" s="39">
        <f>$E474*N363</f>
        <v>22.5</v>
      </c>
      <c r="O474" s="39">
        <f>$E474*O363</f>
        <v>22.5</v>
      </c>
      <c r="P474" s="3"/>
      <c r="Q474" s="3"/>
      <c r="R474" s="3"/>
      <c r="S474" s="3"/>
      <c r="T474" s="3"/>
      <c r="U474" s="3"/>
      <c r="V474" s="3"/>
      <c r="W474" s="3"/>
      <c r="X474" s="3"/>
      <c r="Y474" s="3"/>
      <c r="Z474" s="3"/>
    </row>
    <row r="475" spans="1:26" ht="12.75" x14ac:dyDescent="0.2">
      <c r="A475" s="3"/>
      <c r="B475" s="33"/>
      <c r="C475" s="9" t="s">
        <v>99</v>
      </c>
      <c r="D475" s="33"/>
      <c r="E475" s="299">
        <f>CFs!$C$252</f>
        <v>1.5401003517880794</v>
      </c>
      <c r="F475" s="39">
        <f>$E475*F364</f>
        <v>29.309391058019834</v>
      </c>
      <c r="G475" s="39">
        <f>$E475*G364</f>
        <v>29.309391058019834</v>
      </c>
      <c r="H475" s="39">
        <f>$E475*H364</f>
        <v>29.309391058019834</v>
      </c>
      <c r="I475" s="39">
        <f>$E475*I364</f>
        <v>29.309391058019838</v>
      </c>
      <c r="J475" s="39">
        <f>$E475*J364</f>
        <v>29.309391058019834</v>
      </c>
      <c r="K475" s="39">
        <f>$E475*K364</f>
        <v>29.309391058019834</v>
      </c>
      <c r="L475" s="39">
        <f>$E475*L364</f>
        <v>29.309391058019834</v>
      </c>
      <c r="M475" s="39">
        <f>$E475*M364</f>
        <v>29.309391058019834</v>
      </c>
      <c r="N475" s="39">
        <f>$E475*N364</f>
        <v>29.309391058019838</v>
      </c>
      <c r="O475" s="39">
        <f>$E475*O364</f>
        <v>29.309391058019834</v>
      </c>
      <c r="P475" s="3"/>
      <c r="Q475" s="3"/>
      <c r="R475" s="3"/>
      <c r="S475" s="3"/>
      <c r="T475" s="3"/>
      <c r="U475" s="3"/>
      <c r="V475" s="3"/>
      <c r="W475" s="3"/>
      <c r="X475" s="3"/>
      <c r="Y475" s="3"/>
      <c r="Z475" s="3"/>
    </row>
    <row r="476" spans="1:26" ht="12.75" x14ac:dyDescent="0.2">
      <c r="A476" s="3"/>
      <c r="B476" s="33"/>
      <c r="C476" s="9" t="s">
        <v>102</v>
      </c>
      <c r="D476" s="33"/>
      <c r="E476" s="299">
        <f>CFs!$C$218</f>
        <v>1.0969941102134646</v>
      </c>
      <c r="F476" s="39">
        <f>$E476*F365</f>
        <v>42.099062137169909</v>
      </c>
      <c r="G476" s="39">
        <f>$E476*G365</f>
        <v>42.099062137169902</v>
      </c>
      <c r="H476" s="39">
        <f>$E476*H365</f>
        <v>42.099062137169909</v>
      </c>
      <c r="I476" s="39">
        <f>$E476*I365</f>
        <v>42.099062137169909</v>
      </c>
      <c r="J476" s="39">
        <f>$E476*J365</f>
        <v>42.099062137169909</v>
      </c>
      <c r="K476" s="39">
        <f>$E476*K365</f>
        <v>42.099062137169902</v>
      </c>
      <c r="L476" s="39">
        <f>$E476*L365</f>
        <v>42.099062137169902</v>
      </c>
      <c r="M476" s="39">
        <f>$E476*M365</f>
        <v>42.099062137169909</v>
      </c>
      <c r="N476" s="39">
        <f>$E476*N365</f>
        <v>42.099062137169909</v>
      </c>
      <c r="O476" s="39">
        <f>$E476*O365</f>
        <v>42.099062137169909</v>
      </c>
      <c r="P476" s="3"/>
      <c r="Q476" s="3"/>
      <c r="R476" s="3"/>
      <c r="S476" s="3"/>
      <c r="T476" s="3"/>
      <c r="U476" s="3"/>
      <c r="V476" s="3"/>
      <c r="W476" s="3"/>
      <c r="X476" s="3"/>
      <c r="Y476" s="3"/>
      <c r="Z476" s="3"/>
    </row>
    <row r="477" spans="1:26" ht="12.75" x14ac:dyDescent="0.2">
      <c r="A477" s="3"/>
      <c r="B477" s="35"/>
      <c r="C477" s="460" t="s">
        <v>834</v>
      </c>
      <c r="D477" s="35"/>
      <c r="E477" s="302">
        <v>1</v>
      </c>
      <c r="F477" s="39">
        <f>$E477*F366</f>
        <v>18</v>
      </c>
      <c r="G477" s="39">
        <f>$E477*G366</f>
        <v>0</v>
      </c>
      <c r="H477" s="39">
        <f>$E477*H366</f>
        <v>18</v>
      </c>
      <c r="I477" s="39">
        <f>$E477*I366</f>
        <v>0</v>
      </c>
      <c r="J477" s="39">
        <f>$E477*J366</f>
        <v>18</v>
      </c>
      <c r="K477" s="39">
        <f>$E477*K366</f>
        <v>0</v>
      </c>
      <c r="L477" s="39">
        <f>$E477*L366</f>
        <v>18</v>
      </c>
      <c r="M477" s="39">
        <f>$E477*M366</f>
        <v>0</v>
      </c>
      <c r="N477" s="39">
        <f>$E477*N366</f>
        <v>18</v>
      </c>
      <c r="O477" s="39">
        <f>$E477*O366</f>
        <v>0</v>
      </c>
      <c r="P477" s="3"/>
      <c r="Q477" s="3"/>
      <c r="R477" s="3"/>
      <c r="S477" s="3"/>
      <c r="T477" s="3"/>
      <c r="U477" s="3"/>
      <c r="V477" s="3"/>
      <c r="W477" s="3"/>
      <c r="X477" s="3"/>
      <c r="Y477" s="3"/>
      <c r="Z477" s="3"/>
    </row>
    <row r="478" spans="1:26" ht="12.75" x14ac:dyDescent="0.2">
      <c r="A478" s="3"/>
      <c r="B478" s="35"/>
      <c r="C478" s="460" t="s">
        <v>841</v>
      </c>
      <c r="D478" s="35"/>
      <c r="E478" s="302">
        <v>1</v>
      </c>
      <c r="F478" s="39">
        <f>$E478*F367</f>
        <v>7.6290500000000012</v>
      </c>
      <c r="G478" s="39">
        <f>$E478*G367</f>
        <v>7.6290499999999994</v>
      </c>
      <c r="H478" s="39">
        <f>$E478*H367</f>
        <v>7.6290500000000003</v>
      </c>
      <c r="I478" s="39">
        <f>$E478*I367</f>
        <v>7.6290500000000003</v>
      </c>
      <c r="J478" s="39">
        <f>$E478*J367</f>
        <v>7.6290500000000012</v>
      </c>
      <c r="K478" s="39">
        <f>$E478*K367</f>
        <v>7.6290500000000012</v>
      </c>
      <c r="L478" s="39">
        <f>$E478*L367</f>
        <v>7.6290500000000003</v>
      </c>
      <c r="M478" s="39">
        <f>$E478*M367</f>
        <v>7.6290500000000003</v>
      </c>
      <c r="N478" s="39">
        <f>$E478*N367</f>
        <v>7.6290500000000003</v>
      </c>
      <c r="O478" s="39">
        <f>$E478*O367</f>
        <v>7.6290500000000012</v>
      </c>
      <c r="P478" s="3"/>
      <c r="Q478" s="3"/>
      <c r="R478" s="3"/>
      <c r="S478" s="3"/>
      <c r="T478" s="3"/>
      <c r="U478" s="3"/>
      <c r="V478" s="3"/>
      <c r="W478" s="3"/>
      <c r="X478" s="3"/>
      <c r="Y478" s="3"/>
      <c r="Z478" s="3"/>
    </row>
    <row r="479" spans="1:26" ht="12.75" x14ac:dyDescent="0.2">
      <c r="A479" s="3"/>
      <c r="B479" s="33"/>
      <c r="C479" s="9" t="s">
        <v>105</v>
      </c>
      <c r="D479" s="33"/>
      <c r="E479" s="302">
        <v>1</v>
      </c>
      <c r="F479" s="39">
        <f>$E479*F368</f>
        <v>6.4</v>
      </c>
      <c r="G479" s="39">
        <f>$E479*G368</f>
        <v>6.3999999999999995</v>
      </c>
      <c r="H479" s="39">
        <f>$E479*H368</f>
        <v>6.3999999999999995</v>
      </c>
      <c r="I479" s="39">
        <f>$E479*I368</f>
        <v>6.4</v>
      </c>
      <c r="J479" s="39">
        <f>$E479*J368</f>
        <v>6.3999999999999995</v>
      </c>
      <c r="K479" s="39">
        <f>$E479*K368</f>
        <v>6.4</v>
      </c>
      <c r="L479" s="39">
        <f>$E479*L368</f>
        <v>6.4</v>
      </c>
      <c r="M479" s="39">
        <f>$E479*M368</f>
        <v>6.4</v>
      </c>
      <c r="N479" s="39">
        <f>$E479*N368</f>
        <v>6.4</v>
      </c>
      <c r="O479" s="39">
        <f>$E479*O368</f>
        <v>6.3999999999999995</v>
      </c>
      <c r="P479" s="3"/>
      <c r="Q479" s="3"/>
      <c r="R479" s="3"/>
      <c r="S479" s="3"/>
      <c r="T479" s="3"/>
      <c r="U479" s="3"/>
      <c r="V479" s="3"/>
      <c r="W479" s="3"/>
      <c r="X479" s="3"/>
      <c r="Y479" s="3"/>
      <c r="Z479" s="3"/>
    </row>
    <row r="480" spans="1:26" ht="12.75" x14ac:dyDescent="0.2">
      <c r="A480" s="3"/>
      <c r="B480" s="33"/>
      <c r="C480" s="9" t="s">
        <v>108</v>
      </c>
      <c r="D480" s="33"/>
      <c r="E480" s="302">
        <v>1</v>
      </c>
      <c r="F480" s="39">
        <f>$E480*F369</f>
        <v>14.7</v>
      </c>
      <c r="G480" s="39">
        <f>$E480*G369</f>
        <v>16</v>
      </c>
      <c r="H480" s="39">
        <f>$E480*H369</f>
        <v>17.3</v>
      </c>
      <c r="I480" s="39">
        <f>$E480*I369</f>
        <v>18.7</v>
      </c>
      <c r="J480" s="39">
        <f>$E480*J369</f>
        <v>19.7</v>
      </c>
      <c r="K480" s="39">
        <f>$E480*K369</f>
        <v>20.399999999999999</v>
      </c>
      <c r="L480" s="39">
        <f>$E480*L369</f>
        <v>20.699999999999996</v>
      </c>
      <c r="M480" s="39">
        <f>$E480*M369</f>
        <v>20.7</v>
      </c>
      <c r="N480" s="39">
        <f>$E480*N369</f>
        <v>20.7</v>
      </c>
      <c r="O480" s="39">
        <f>$E480*O369</f>
        <v>20.7</v>
      </c>
      <c r="P480" s="3"/>
      <c r="Q480" s="3"/>
      <c r="R480" s="3"/>
      <c r="S480" s="3"/>
      <c r="T480" s="3"/>
      <c r="U480" s="3"/>
      <c r="V480" s="3"/>
      <c r="W480" s="3"/>
      <c r="X480" s="3"/>
      <c r="Y480" s="3"/>
      <c r="Z480" s="3"/>
    </row>
    <row r="481" spans="1:26" ht="12.75" x14ac:dyDescent="0.2">
      <c r="A481" s="3"/>
      <c r="B481" s="43"/>
      <c r="C481" s="68" t="s">
        <v>217</v>
      </c>
      <c r="D481" s="68"/>
      <c r="E481" s="68"/>
      <c r="F481" s="69">
        <f>SUM(F473:F480)</f>
        <v>140.63750319518974</v>
      </c>
      <c r="G481" s="69">
        <f>SUM(G473:G480)</f>
        <v>123.93750319518975</v>
      </c>
      <c r="H481" s="69">
        <f t="shared" ref="H481:O481" si="97">SUM(H473:H480)</f>
        <v>143.23750319518976</v>
      </c>
      <c r="I481" s="69">
        <f t="shared" si="97"/>
        <v>126.63750319518977</v>
      </c>
      <c r="J481" s="69">
        <f t="shared" si="97"/>
        <v>145.63750319518974</v>
      </c>
      <c r="K481" s="69">
        <f t="shared" si="97"/>
        <v>128.33750319518975</v>
      </c>
      <c r="L481" s="69">
        <f t="shared" si="97"/>
        <v>146.63750319518974</v>
      </c>
      <c r="M481" s="69">
        <f t="shared" si="97"/>
        <v>128.63750319518974</v>
      </c>
      <c r="N481" s="69">
        <f t="shared" si="97"/>
        <v>146.63750319518977</v>
      </c>
      <c r="O481" s="69">
        <f t="shared" si="97"/>
        <v>128.63750319518974</v>
      </c>
      <c r="P481" s="3"/>
      <c r="Q481" s="3"/>
      <c r="R481" s="3"/>
      <c r="S481" s="3"/>
      <c r="T481" s="3"/>
      <c r="U481" s="3"/>
      <c r="V481" s="3"/>
      <c r="W481" s="3"/>
      <c r="X481" s="3"/>
      <c r="Y481" s="3"/>
      <c r="Z481" s="3"/>
    </row>
    <row r="482" spans="1:26" ht="12.75" x14ac:dyDescent="0.2">
      <c r="A482" s="3"/>
      <c r="B482" s="43"/>
      <c r="C482" s="74"/>
      <c r="D482" s="74"/>
      <c r="E482" s="74"/>
      <c r="F482" s="75"/>
      <c r="G482" s="75"/>
      <c r="H482" s="75"/>
      <c r="I482" s="75"/>
      <c r="J482" s="75"/>
      <c r="K482" s="75"/>
      <c r="L482" s="75"/>
      <c r="M482" s="75"/>
      <c r="N482" s="75"/>
      <c r="O482" s="75"/>
      <c r="P482" s="3"/>
      <c r="Q482" s="3"/>
      <c r="R482" s="3"/>
      <c r="S482" s="3"/>
      <c r="T482" s="3"/>
      <c r="U482" s="3"/>
      <c r="V482" s="3"/>
      <c r="W482" s="3"/>
      <c r="X482" s="3"/>
      <c r="Y482" s="3"/>
      <c r="Z482" s="3"/>
    </row>
    <row r="483" spans="1:26" ht="12.75" x14ac:dyDescent="0.2">
      <c r="A483" s="3"/>
      <c r="B483" s="43"/>
      <c r="C483" s="34" t="s">
        <v>287</v>
      </c>
      <c r="D483" s="74"/>
      <c r="E483" s="74"/>
      <c r="F483" s="75"/>
      <c r="G483" s="75"/>
      <c r="H483" s="75"/>
      <c r="I483" s="75"/>
      <c r="J483" s="75"/>
      <c r="K483" s="75"/>
      <c r="L483" s="75"/>
      <c r="M483" s="75"/>
      <c r="N483" s="75"/>
      <c r="O483" s="75"/>
      <c r="P483" s="3"/>
      <c r="Q483" s="3"/>
      <c r="R483" s="3"/>
      <c r="S483" s="3"/>
      <c r="T483" s="3"/>
      <c r="U483" s="3"/>
      <c r="V483" s="3"/>
      <c r="W483" s="3"/>
      <c r="X483" s="3"/>
      <c r="Y483" s="3"/>
      <c r="Z483" s="3"/>
    </row>
    <row r="484" spans="1:26" ht="12.75" x14ac:dyDescent="0.2">
      <c r="A484" s="3"/>
      <c r="B484" s="33"/>
      <c r="C484" s="27" t="s">
        <v>282</v>
      </c>
      <c r="D484" s="33"/>
      <c r="E484" s="302">
        <v>1.2</v>
      </c>
      <c r="F484" s="39">
        <f>$E484*F373</f>
        <v>1.7585280000000002E-2</v>
      </c>
      <c r="G484" s="39">
        <f>$E484*G373</f>
        <v>1.9090368E-2</v>
      </c>
      <c r="H484" s="39">
        <f>$E484*H373</f>
        <v>2.0701101600000004E-2</v>
      </c>
      <c r="I484" s="39">
        <f>$E484*I373</f>
        <v>2.2424282640000005E-2</v>
      </c>
      <c r="J484" s="39">
        <f>$E484*J373</f>
        <v>2.3563496772000005E-2</v>
      </c>
      <c r="K484" s="39">
        <f>$E484*K373</f>
        <v>2.4472298493600001E-2</v>
      </c>
      <c r="L484" s="39">
        <f>$E484*L373</f>
        <v>2.4732000000000004E-2</v>
      </c>
      <c r="M484" s="39">
        <f>$E484*M373</f>
        <v>2.4732000000000001E-2</v>
      </c>
      <c r="N484" s="39">
        <f>$E484*N373</f>
        <v>2.4732000000000001E-2</v>
      </c>
      <c r="O484" s="39">
        <f>$E484*O373</f>
        <v>2.4732000000000001E-2</v>
      </c>
      <c r="P484" s="3"/>
      <c r="Q484" s="3"/>
      <c r="R484" s="3"/>
      <c r="S484" s="3"/>
      <c r="T484" s="3"/>
      <c r="U484" s="3"/>
      <c r="V484" s="3"/>
      <c r="W484" s="3"/>
      <c r="X484" s="3"/>
      <c r="Y484" s="3"/>
      <c r="Z484" s="3"/>
    </row>
    <row r="485" spans="1:26" ht="12.75" x14ac:dyDescent="0.2">
      <c r="A485" s="3"/>
      <c r="B485" s="33"/>
      <c r="C485" s="27" t="s">
        <v>284</v>
      </c>
      <c r="D485" s="33"/>
      <c r="E485" s="302">
        <v>1</v>
      </c>
      <c r="F485" s="39">
        <f>$E485*F374</f>
        <v>2.4641202196078438</v>
      </c>
      <c r="G485" s="39">
        <f>$E485*G374</f>
        <v>2.6707883670588246</v>
      </c>
      <c r="H485" s="39">
        <f>$E485*H374</f>
        <v>2.8919630287058835</v>
      </c>
      <c r="I485" s="39">
        <f>$E485*I374</f>
        <v>3.1285781856000012</v>
      </c>
      <c r="J485" s="39">
        <f>$E485*J374</f>
        <v>3.2850070948800014</v>
      </c>
      <c r="K485" s="39">
        <f>$E485*K374</f>
        <v>3.4097973850180758</v>
      </c>
      <c r="L485" s="39">
        <f>$E485*L374</f>
        <v>3.4454577777777784</v>
      </c>
      <c r="M485" s="39">
        <f>$E485*M374</f>
        <v>3.4454577777777788</v>
      </c>
      <c r="N485" s="39">
        <f>$E485*N374</f>
        <v>3.4454577777777784</v>
      </c>
      <c r="O485" s="39">
        <f>$E485*O374</f>
        <v>3.4454577777777788</v>
      </c>
      <c r="P485" s="3"/>
      <c r="Q485" s="3"/>
      <c r="R485" s="3"/>
      <c r="S485" s="3"/>
      <c r="T485" s="3"/>
      <c r="U485" s="3"/>
      <c r="V485" s="3"/>
      <c r="W485" s="3"/>
      <c r="X485" s="3"/>
      <c r="Y485" s="3"/>
      <c r="Z485" s="3"/>
    </row>
    <row r="486" spans="1:26" ht="12.75" x14ac:dyDescent="0.2">
      <c r="A486" s="3"/>
      <c r="B486" s="43"/>
      <c r="C486" s="68" t="s">
        <v>289</v>
      </c>
      <c r="D486" s="36"/>
      <c r="E486" s="36"/>
      <c r="F486" s="40">
        <f>SUM(F484:F485)</f>
        <v>2.4817054996078438</v>
      </c>
      <c r="G486" s="40">
        <f t="shared" ref="G486:O486" si="98">SUM(G484:G485)</f>
        <v>2.6898787350588247</v>
      </c>
      <c r="H486" s="40">
        <f t="shared" si="98"/>
        <v>2.9126641303058833</v>
      </c>
      <c r="I486" s="40">
        <f t="shared" si="98"/>
        <v>3.1510024682400011</v>
      </c>
      <c r="J486" s="40">
        <f t="shared" si="98"/>
        <v>3.3085705916520016</v>
      </c>
      <c r="K486" s="40">
        <f t="shared" si="98"/>
        <v>3.4342696835116757</v>
      </c>
      <c r="L486" s="40">
        <f t="shared" si="98"/>
        <v>3.4701897777777786</v>
      </c>
      <c r="M486" s="40">
        <f t="shared" si="98"/>
        <v>3.470189777777779</v>
      </c>
      <c r="N486" s="40">
        <f t="shared" si="98"/>
        <v>3.4701897777777786</v>
      </c>
      <c r="O486" s="40">
        <f t="shared" si="98"/>
        <v>3.470189777777779</v>
      </c>
      <c r="P486" s="3"/>
      <c r="Q486" s="3"/>
      <c r="R486" s="3"/>
      <c r="S486" s="3"/>
      <c r="T486" s="3"/>
      <c r="U486" s="3"/>
      <c r="V486" s="3"/>
      <c r="W486" s="3"/>
      <c r="X486" s="3"/>
      <c r="Y486" s="3"/>
      <c r="Z486" s="3"/>
    </row>
    <row r="487" spans="1:26" ht="12.75" x14ac:dyDescent="0.2">
      <c r="A487" s="3"/>
      <c r="B487" s="43"/>
      <c r="C487" s="43"/>
      <c r="D487" s="43"/>
      <c r="E487" s="43"/>
      <c r="F487" s="101"/>
      <c r="G487" s="43"/>
      <c r="H487" s="43"/>
      <c r="I487" s="43"/>
      <c r="J487" s="43"/>
      <c r="K487" s="43"/>
      <c r="L487" s="43"/>
      <c r="M487" s="43"/>
      <c r="N487" s="43"/>
      <c r="O487" s="43"/>
      <c r="P487" s="3"/>
      <c r="Q487" s="3"/>
      <c r="R487" s="3"/>
      <c r="S487" s="3"/>
      <c r="T487" s="3"/>
      <c r="U487" s="3"/>
      <c r="V487" s="3"/>
      <c r="W487" s="3"/>
      <c r="X487" s="3"/>
      <c r="Y487" s="3"/>
      <c r="Z487" s="3"/>
    </row>
    <row r="488" spans="1:26" ht="12.75" x14ac:dyDescent="0.2">
      <c r="A488" s="3"/>
      <c r="B488" s="43"/>
      <c r="C488" s="70" t="s">
        <v>669</v>
      </c>
      <c r="D488" s="70"/>
      <c r="E488" s="70"/>
      <c r="F488" s="71">
        <f>F465+F470+F481+F486</f>
        <v>483.87971807786789</v>
      </c>
      <c r="G488" s="71">
        <f t="shared" ref="G488:O488" si="99">G465+G470+G481+G486</f>
        <v>472.35237560600177</v>
      </c>
      <c r="H488" s="71">
        <f t="shared" si="99"/>
        <v>497.08786950856586</v>
      </c>
      <c r="I488" s="71">
        <f t="shared" si="99"/>
        <v>486.19955177918297</v>
      </c>
      <c r="J488" s="71">
        <f t="shared" si="99"/>
        <v>485.09413103191207</v>
      </c>
      <c r="K488" s="71">
        <f t="shared" si="99"/>
        <v>472.50447620712782</v>
      </c>
      <c r="L488" s="71">
        <f t="shared" si="99"/>
        <v>492.15051650237928</v>
      </c>
      <c r="M488" s="71">
        <f t="shared" si="99"/>
        <v>474.15051650237928</v>
      </c>
      <c r="N488" s="71">
        <f t="shared" si="99"/>
        <v>492.15051650237922</v>
      </c>
      <c r="O488" s="71">
        <f t="shared" si="99"/>
        <v>474.15051650237916</v>
      </c>
      <c r="P488" s="3"/>
      <c r="Q488" s="3"/>
      <c r="R488" s="3"/>
      <c r="S488" s="3"/>
      <c r="T488" s="3"/>
      <c r="U488" s="3"/>
      <c r="V488" s="3"/>
      <c r="W488" s="3"/>
      <c r="X488" s="3"/>
      <c r="Y488" s="3"/>
      <c r="Z488" s="3"/>
    </row>
    <row r="489" spans="1:26" ht="12.75" x14ac:dyDescent="0.2">
      <c r="A489" s="3"/>
      <c r="B489" s="43"/>
      <c r="C489" s="43"/>
      <c r="D489" s="43"/>
      <c r="E489" s="43"/>
      <c r="F489" s="43"/>
      <c r="G489" s="43"/>
      <c r="H489" s="43"/>
      <c r="I489" s="43"/>
      <c r="J489" s="43"/>
      <c r="K489" s="43"/>
      <c r="L489" s="43"/>
      <c r="M489" s="43"/>
      <c r="N489" s="43"/>
      <c r="O489" s="43"/>
      <c r="P489" s="3"/>
      <c r="Q489" s="3"/>
      <c r="R489" s="3"/>
      <c r="S489" s="3"/>
      <c r="T489" s="3"/>
      <c r="U489" s="3"/>
      <c r="V489" s="3"/>
      <c r="W489" s="3"/>
      <c r="X489" s="3"/>
      <c r="Y489" s="3"/>
      <c r="Z489" s="3"/>
    </row>
    <row r="490" spans="1:26" ht="12.75" x14ac:dyDescent="0.2">
      <c r="A490" s="3"/>
      <c r="C490" s="72" t="s">
        <v>689</v>
      </c>
      <c r="D490" s="70"/>
      <c r="E490" s="70"/>
      <c r="F490" s="73">
        <f t="shared" ref="F490:O490" si="100">F454-F488</f>
        <v>-168.14725291190803</v>
      </c>
      <c r="G490" s="73">
        <f t="shared" si="100"/>
        <v>-130.57738824781103</v>
      </c>
      <c r="H490" s="73">
        <f t="shared" si="100"/>
        <v>-127.45543890183615</v>
      </c>
      <c r="I490" s="73">
        <f t="shared" si="100"/>
        <v>-86.778371067455794</v>
      </c>
      <c r="J490" s="73">
        <f t="shared" si="100"/>
        <v>-65.701891284598503</v>
      </c>
      <c r="K490" s="73">
        <f t="shared" si="100"/>
        <v>-37.18043547183629</v>
      </c>
      <c r="L490" s="73">
        <f t="shared" si="100"/>
        <v>-52.273763533050044</v>
      </c>
      <c r="M490" s="73">
        <f t="shared" si="100"/>
        <v>-34.273763533050044</v>
      </c>
      <c r="N490" s="73">
        <f t="shared" si="100"/>
        <v>-52.273763533049987</v>
      </c>
      <c r="O490" s="73">
        <f t="shared" si="100"/>
        <v>-34.27376353304993</v>
      </c>
      <c r="P490" s="3"/>
      <c r="Q490" s="3"/>
      <c r="R490" s="3"/>
      <c r="S490" s="3"/>
      <c r="T490" s="3"/>
      <c r="U490" s="3"/>
      <c r="V490" s="3"/>
      <c r="W490" s="3"/>
      <c r="X490" s="3"/>
      <c r="Y490" s="3"/>
      <c r="Z490" s="3"/>
    </row>
    <row r="491" spans="1:26" ht="12.75"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x14ac:dyDescent="0.2">
      <c r="A492" s="392" t="s">
        <v>769</v>
      </c>
      <c r="B492" s="2"/>
      <c r="C492" s="2"/>
      <c r="D492" s="6" t="s">
        <v>174</v>
      </c>
      <c r="E492" s="21"/>
      <c r="F492" s="51">
        <v>0</v>
      </c>
      <c r="G492" s="51">
        <v>1</v>
      </c>
      <c r="H492" s="51">
        <v>2</v>
      </c>
      <c r="I492" s="51">
        <v>3</v>
      </c>
      <c r="J492" s="51">
        <v>4</v>
      </c>
      <c r="K492" s="51">
        <v>5</v>
      </c>
      <c r="L492" s="51">
        <v>6</v>
      </c>
      <c r="M492" s="51">
        <v>7</v>
      </c>
      <c r="N492" s="51">
        <v>8</v>
      </c>
      <c r="O492" s="51">
        <v>9</v>
      </c>
      <c r="P492" s="3"/>
      <c r="Q492" s="3"/>
      <c r="R492" s="3"/>
      <c r="S492" s="3"/>
      <c r="T492" s="3"/>
      <c r="U492" s="3"/>
      <c r="V492" s="3"/>
      <c r="W492" s="3"/>
      <c r="X492" s="3"/>
      <c r="Y492" s="3"/>
      <c r="Z492" s="3"/>
    </row>
    <row r="493" spans="1:26" ht="12.75" x14ac:dyDescent="0.2">
      <c r="A493" s="3"/>
      <c r="B493" s="479" t="s">
        <v>887</v>
      </c>
      <c r="C493" s="43"/>
      <c r="D493" s="43"/>
      <c r="E493" s="43"/>
      <c r="F493" s="43"/>
      <c r="G493" s="43"/>
      <c r="H493" s="43"/>
      <c r="I493" s="43"/>
      <c r="J493" s="43"/>
      <c r="K493" s="43"/>
      <c r="L493" s="43"/>
      <c r="M493" s="43"/>
      <c r="N493" s="43"/>
      <c r="O493" s="43"/>
      <c r="P493" s="3"/>
      <c r="Q493" s="3"/>
      <c r="R493" s="3"/>
      <c r="S493" s="3"/>
      <c r="T493" s="3"/>
      <c r="U493" s="3"/>
      <c r="V493" s="3"/>
      <c r="W493" s="3"/>
      <c r="X493" s="3"/>
      <c r="Y493" s="3"/>
      <c r="Z493" s="3"/>
    </row>
    <row r="494" spans="1:26" ht="12.75" x14ac:dyDescent="0.2">
      <c r="A494" s="3"/>
      <c r="B494" s="43"/>
      <c r="C494" s="46" t="s">
        <v>672</v>
      </c>
      <c r="D494" s="43"/>
      <c r="E494" s="43"/>
      <c r="F494" s="39">
        <f t="shared" ref="F494:O494" si="101">F454-F404</f>
        <v>133.12600210355771</v>
      </c>
      <c r="G494" s="39">
        <f t="shared" si="101"/>
        <v>157.3424596651646</v>
      </c>
      <c r="H494" s="39">
        <f t="shared" si="101"/>
        <v>183.35557763677326</v>
      </c>
      <c r="I494" s="39">
        <f t="shared" si="101"/>
        <v>211.28155921207116</v>
      </c>
      <c r="J494" s="39">
        <f t="shared" si="101"/>
        <v>229.37122203266102</v>
      </c>
      <c r="K494" s="39">
        <f t="shared" si="101"/>
        <v>243.40281284349237</v>
      </c>
      <c r="L494" s="39">
        <f t="shared" si="101"/>
        <v>246.03631279861216</v>
      </c>
      <c r="M494" s="39">
        <f t="shared" si="101"/>
        <v>244.09790839690498</v>
      </c>
      <c r="N494" s="39">
        <f t="shared" si="101"/>
        <v>242.14011995118079</v>
      </c>
      <c r="O494" s="39">
        <f t="shared" si="101"/>
        <v>240.16275362099927</v>
      </c>
      <c r="P494" s="3"/>
      <c r="Q494" s="3"/>
      <c r="R494" s="3"/>
      <c r="S494" s="3"/>
      <c r="T494" s="3"/>
      <c r="U494" s="3"/>
      <c r="V494" s="3"/>
      <c r="W494" s="3"/>
      <c r="X494" s="3"/>
      <c r="Y494" s="3"/>
      <c r="Z494" s="3"/>
    </row>
    <row r="495" spans="1:26" ht="12.75" x14ac:dyDescent="0.2">
      <c r="A495" s="3"/>
      <c r="B495" s="43"/>
      <c r="C495" s="46" t="s">
        <v>673</v>
      </c>
      <c r="D495" s="43"/>
      <c r="E495" s="43"/>
      <c r="F495" s="39">
        <f t="shared" ref="F495:O495" si="102">F488-F438</f>
        <v>153.80334608667442</v>
      </c>
      <c r="G495" s="39">
        <f t="shared" si="102"/>
        <v>160.16164838523963</v>
      </c>
      <c r="H495" s="39">
        <f t="shared" si="102"/>
        <v>166.78264350593952</v>
      </c>
      <c r="I495" s="39">
        <f t="shared" si="102"/>
        <v>173.77968200687366</v>
      </c>
      <c r="J495" s="39">
        <f t="shared" si="102"/>
        <v>154.55947105222293</v>
      </c>
      <c r="K495" s="39">
        <f t="shared" si="102"/>
        <v>159.85487811798509</v>
      </c>
      <c r="L495" s="39">
        <f t="shared" si="102"/>
        <v>161.48583092268842</v>
      </c>
      <c r="M495" s="39">
        <f t="shared" si="102"/>
        <v>161.37059255723477</v>
      </c>
      <c r="N495" s="39">
        <f t="shared" si="102"/>
        <v>161.25520180812657</v>
      </c>
      <c r="O495" s="39">
        <f t="shared" si="102"/>
        <v>161.13965715152733</v>
      </c>
      <c r="P495" s="3"/>
      <c r="Q495" s="3"/>
      <c r="R495" s="3"/>
      <c r="S495" s="3"/>
      <c r="T495" s="3"/>
      <c r="U495" s="3"/>
      <c r="V495" s="3"/>
      <c r="W495" s="3"/>
      <c r="X495" s="3"/>
      <c r="Y495" s="3"/>
      <c r="Z495" s="3"/>
    </row>
    <row r="496" spans="1:26" ht="12.75" x14ac:dyDescent="0.2">
      <c r="A496" s="3"/>
      <c r="B496" s="43"/>
      <c r="C496" s="46" t="s">
        <v>674</v>
      </c>
      <c r="D496" s="43"/>
      <c r="E496" s="43"/>
      <c r="F496" s="39">
        <f>F494-F495</f>
        <v>-20.677343983116714</v>
      </c>
      <c r="G496" s="39">
        <f t="shared" ref="G496:O496" si="103">G494-G495</f>
        <v>-2.819188720075033</v>
      </c>
      <c r="H496" s="39">
        <f t="shared" si="103"/>
        <v>16.572934130833744</v>
      </c>
      <c r="I496" s="39">
        <f t="shared" si="103"/>
        <v>37.501877205197502</v>
      </c>
      <c r="J496" s="39">
        <f t="shared" si="103"/>
        <v>74.811750980438092</v>
      </c>
      <c r="K496" s="39">
        <f t="shared" si="103"/>
        <v>83.547934725507275</v>
      </c>
      <c r="L496" s="39">
        <f t="shared" si="103"/>
        <v>84.550481875923737</v>
      </c>
      <c r="M496" s="39">
        <f t="shared" si="103"/>
        <v>82.727315839670212</v>
      </c>
      <c r="N496" s="39">
        <f t="shared" si="103"/>
        <v>80.884918143054222</v>
      </c>
      <c r="O496" s="39">
        <f t="shared" si="103"/>
        <v>79.023096469471938</v>
      </c>
      <c r="P496" s="3"/>
      <c r="Q496" s="3"/>
      <c r="R496" s="3"/>
      <c r="S496" s="3"/>
      <c r="T496" s="3"/>
      <c r="U496" s="3"/>
      <c r="V496" s="3"/>
      <c r="W496" s="3"/>
      <c r="X496" s="3"/>
      <c r="Y496" s="3"/>
      <c r="Z496" s="3"/>
    </row>
    <row r="497" spans="1:26" ht="12.75" x14ac:dyDescent="0.2">
      <c r="A497" s="3"/>
      <c r="B497" s="3"/>
      <c r="C497" s="3"/>
      <c r="D497" s="3"/>
      <c r="E497" s="3"/>
      <c r="F497" s="881"/>
      <c r="G497" s="3"/>
      <c r="H497" s="3"/>
      <c r="I497" s="3"/>
      <c r="J497" s="3"/>
      <c r="K497" s="3"/>
      <c r="L497" s="3"/>
      <c r="M497" s="3"/>
      <c r="N497" s="3"/>
      <c r="O497" s="3"/>
      <c r="P497" s="3"/>
      <c r="Q497" s="3"/>
      <c r="R497" s="3"/>
      <c r="S497" s="3"/>
      <c r="T497" s="3"/>
      <c r="U497" s="3"/>
      <c r="V497" s="3"/>
      <c r="W497" s="3"/>
      <c r="X497" s="3"/>
      <c r="Y497" s="3"/>
      <c r="Z497" s="3"/>
    </row>
    <row r="498" spans="1:26" ht="12.75" x14ac:dyDescent="0.2">
      <c r="A498" s="392" t="s">
        <v>770</v>
      </c>
      <c r="B498" s="2"/>
      <c r="C498" s="2"/>
      <c r="D498" s="6" t="s">
        <v>174</v>
      </c>
      <c r="E498" s="21"/>
      <c r="F498" s="51">
        <v>0</v>
      </c>
      <c r="G498" s="51">
        <v>1</v>
      </c>
      <c r="H498" s="51">
        <v>2</v>
      </c>
      <c r="I498" s="51">
        <v>3</v>
      </c>
      <c r="J498" s="51">
        <v>4</v>
      </c>
      <c r="K498" s="51">
        <v>5</v>
      </c>
      <c r="L498" s="51">
        <v>6</v>
      </c>
      <c r="M498" s="51">
        <v>7</v>
      </c>
      <c r="N498" s="51">
        <v>8</v>
      </c>
      <c r="O498" s="51">
        <v>9</v>
      </c>
      <c r="P498" s="51">
        <v>10</v>
      </c>
      <c r="Q498" s="51">
        <v>11</v>
      </c>
      <c r="R498" s="51">
        <v>12</v>
      </c>
      <c r="S498" s="51">
        <v>13</v>
      </c>
      <c r="T498" s="2"/>
      <c r="U498" s="2"/>
      <c r="V498" s="2"/>
      <c r="W498" s="2"/>
      <c r="X498" s="2"/>
      <c r="Y498" s="2"/>
      <c r="Z498" s="2"/>
    </row>
    <row r="499" spans="1:26" ht="12.75" x14ac:dyDescent="0.2">
      <c r="A499" s="3"/>
      <c r="B499" s="479" t="s">
        <v>888</v>
      </c>
      <c r="C499" s="43"/>
      <c r="D499" s="43"/>
      <c r="E499" s="43"/>
      <c r="F499" s="43"/>
      <c r="G499" s="43"/>
      <c r="H499" s="43"/>
      <c r="I499" s="43"/>
      <c r="J499" s="43"/>
      <c r="K499" s="3"/>
      <c r="L499" s="3"/>
      <c r="M499" s="3"/>
      <c r="N499" s="3"/>
      <c r="O499" s="3"/>
      <c r="P499" s="3"/>
      <c r="Q499" s="3"/>
      <c r="R499" s="3"/>
      <c r="S499" s="3"/>
      <c r="T499" s="3"/>
      <c r="U499" s="3"/>
      <c r="V499" s="3"/>
      <c r="W499" s="3"/>
      <c r="X499" s="3"/>
      <c r="Y499" s="3"/>
      <c r="Z499" s="3"/>
    </row>
    <row r="500" spans="1:26" ht="12.75" x14ac:dyDescent="0.2">
      <c r="A500" s="3"/>
      <c r="B500" s="43"/>
      <c r="C500" s="46" t="s">
        <v>260</v>
      </c>
      <c r="D500" s="43"/>
      <c r="E500" s="43"/>
      <c r="F500" s="43">
        <f>I106*(1+$I$118)</f>
        <v>0</v>
      </c>
      <c r="G500" s="78">
        <f>I107*(1+$I$118)</f>
        <v>3000</v>
      </c>
      <c r="H500" s="78">
        <f>I108*(1+$I$118)</f>
        <v>10000</v>
      </c>
      <c r="I500" s="78">
        <f>I109*(1+$I$118)</f>
        <v>12000</v>
      </c>
      <c r="J500" s="78">
        <f>I110*(1+$I$118)</f>
        <v>15000</v>
      </c>
      <c r="K500" s="3"/>
      <c r="L500" s="3"/>
      <c r="M500" s="3"/>
      <c r="N500" s="3"/>
      <c r="O500" s="3"/>
      <c r="P500" s="3"/>
      <c r="Q500" s="3"/>
      <c r="R500" s="3"/>
      <c r="S500" s="3"/>
      <c r="T500" s="3"/>
      <c r="U500" s="3"/>
      <c r="V500" s="3"/>
      <c r="W500" s="3"/>
      <c r="X500" s="3"/>
      <c r="Y500" s="3"/>
      <c r="Z500" s="3"/>
    </row>
    <row r="501" spans="1:26" ht="12.75" x14ac:dyDescent="0.2">
      <c r="A501" s="3"/>
      <c r="B501" s="43"/>
      <c r="C501" s="46" t="s">
        <v>258</v>
      </c>
      <c r="D501" s="43"/>
      <c r="E501" s="43"/>
      <c r="F501" s="79">
        <f>$I$111</f>
        <v>0.9</v>
      </c>
      <c r="G501" s="79">
        <f t="shared" ref="G501:S501" si="104">$I$111</f>
        <v>0.9</v>
      </c>
      <c r="H501" s="79">
        <f t="shared" si="104"/>
        <v>0.9</v>
      </c>
      <c r="I501" s="79">
        <f t="shared" si="104"/>
        <v>0.9</v>
      </c>
      <c r="J501" s="79">
        <f t="shared" si="104"/>
        <v>0.9</v>
      </c>
      <c r="K501" s="79">
        <f t="shared" si="104"/>
        <v>0.9</v>
      </c>
      <c r="L501" s="79">
        <f t="shared" si="104"/>
        <v>0.9</v>
      </c>
      <c r="M501" s="79">
        <f t="shared" si="104"/>
        <v>0.9</v>
      </c>
      <c r="N501" s="79">
        <f t="shared" si="104"/>
        <v>0.9</v>
      </c>
      <c r="O501" s="79">
        <f t="shared" si="104"/>
        <v>0.9</v>
      </c>
      <c r="P501" s="79">
        <f t="shared" si="104"/>
        <v>0.9</v>
      </c>
      <c r="Q501" s="79">
        <f t="shared" si="104"/>
        <v>0.9</v>
      </c>
      <c r="R501" s="79">
        <f t="shared" si="104"/>
        <v>0.9</v>
      </c>
      <c r="S501" s="79">
        <f t="shared" si="104"/>
        <v>0.9</v>
      </c>
      <c r="T501" s="3"/>
      <c r="U501" s="3"/>
      <c r="V501" s="3"/>
      <c r="W501" s="3"/>
      <c r="X501" s="3"/>
      <c r="Y501" s="3"/>
      <c r="Z501" s="3"/>
    </row>
    <row r="502" spans="1:26" ht="12.75" x14ac:dyDescent="0.2">
      <c r="A502" s="3"/>
      <c r="B502" s="43"/>
      <c r="C502" s="46" t="s">
        <v>259</v>
      </c>
      <c r="D502" s="43"/>
      <c r="E502" s="43"/>
      <c r="F502" s="80">
        <f>IF(F498&lt;$I$113,0,$I$112)</f>
        <v>0</v>
      </c>
      <c r="G502" s="80">
        <f t="shared" ref="G502:S502" si="105">IF(G498&lt;$I$113,0,$I$112)</f>
        <v>0</v>
      </c>
      <c r="H502" s="80">
        <f t="shared" si="105"/>
        <v>0</v>
      </c>
      <c r="I502" s="80">
        <f t="shared" si="105"/>
        <v>0</v>
      </c>
      <c r="J502" s="80">
        <f t="shared" si="105"/>
        <v>0</v>
      </c>
      <c r="K502" s="80">
        <f t="shared" si="105"/>
        <v>0.2</v>
      </c>
      <c r="L502" s="80">
        <f t="shared" si="105"/>
        <v>0.2</v>
      </c>
      <c r="M502" s="80">
        <f t="shared" si="105"/>
        <v>0.2</v>
      </c>
      <c r="N502" s="80">
        <f t="shared" si="105"/>
        <v>0.2</v>
      </c>
      <c r="O502" s="80">
        <f t="shared" si="105"/>
        <v>0.2</v>
      </c>
      <c r="P502" s="80">
        <f t="shared" si="105"/>
        <v>0.2</v>
      </c>
      <c r="Q502" s="80">
        <f t="shared" si="105"/>
        <v>0.2</v>
      </c>
      <c r="R502" s="80">
        <f t="shared" si="105"/>
        <v>0.2</v>
      </c>
      <c r="S502" s="80">
        <f t="shared" si="105"/>
        <v>0.2</v>
      </c>
      <c r="T502" s="3"/>
      <c r="U502" s="3"/>
      <c r="V502" s="3"/>
      <c r="W502" s="3"/>
      <c r="X502" s="3"/>
      <c r="Y502" s="3"/>
      <c r="Z502" s="3"/>
    </row>
    <row r="503" spans="1:26" ht="12.75"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x14ac:dyDescent="0.2">
      <c r="A504" s="3"/>
      <c r="B504" s="479" t="s">
        <v>889</v>
      </c>
      <c r="C504" s="43"/>
      <c r="D504" s="43"/>
      <c r="E504" s="43"/>
      <c r="F504" s="43"/>
      <c r="G504" s="43"/>
      <c r="H504" s="43"/>
      <c r="I504" s="43"/>
      <c r="J504" s="43"/>
      <c r="K504" s="43"/>
      <c r="L504" s="43"/>
      <c r="M504" s="43"/>
      <c r="N504" s="43"/>
      <c r="O504" s="43"/>
      <c r="P504" s="43"/>
      <c r="Q504" s="43"/>
      <c r="R504" s="43"/>
      <c r="S504" s="43"/>
      <c r="T504" s="3"/>
      <c r="U504" s="3"/>
      <c r="V504" s="3"/>
      <c r="W504" s="3"/>
      <c r="X504" s="3"/>
      <c r="Y504" s="3"/>
      <c r="Z504" s="3"/>
    </row>
    <row r="505" spans="1:26" ht="12.75" x14ac:dyDescent="0.2">
      <c r="A505" s="3"/>
      <c r="C505" s="65" t="s">
        <v>681</v>
      </c>
      <c r="D505" s="43"/>
      <c r="E505" s="43"/>
      <c r="F505" s="43"/>
      <c r="G505" s="43"/>
      <c r="H505" s="43"/>
      <c r="I505" s="43"/>
      <c r="J505" s="43"/>
      <c r="K505" s="43"/>
      <c r="L505" s="43"/>
      <c r="M505" s="43"/>
      <c r="N505" s="43"/>
      <c r="O505" s="43"/>
      <c r="P505" s="43"/>
      <c r="Q505" s="43"/>
      <c r="R505" s="43"/>
      <c r="S505" s="43"/>
      <c r="T505" s="3"/>
      <c r="U505" s="3"/>
      <c r="V505" s="3"/>
      <c r="W505" s="3"/>
      <c r="X505" s="3"/>
      <c r="Y505" s="3"/>
      <c r="Z505" s="3"/>
    </row>
    <row r="506" spans="1:26" ht="12.75" x14ac:dyDescent="0.2">
      <c r="A506" s="3"/>
      <c r="B506" s="43"/>
      <c r="C506" s="46" t="s">
        <v>252</v>
      </c>
      <c r="D506" s="43"/>
      <c r="E506" s="43"/>
      <c r="F506" s="81">
        <f t="shared" ref="F506:S506" si="106">F496*(F501*$F500)*(1-F502)</f>
        <v>0</v>
      </c>
      <c r="G506" s="81">
        <f t="shared" si="106"/>
        <v>0</v>
      </c>
      <c r="H506" s="81">
        <f t="shared" si="106"/>
        <v>0</v>
      </c>
      <c r="I506" s="81">
        <f t="shared" si="106"/>
        <v>0</v>
      </c>
      <c r="J506" s="81">
        <f t="shared" si="106"/>
        <v>0</v>
      </c>
      <c r="K506" s="81">
        <f t="shared" si="106"/>
        <v>0</v>
      </c>
      <c r="L506" s="81">
        <f t="shared" si="106"/>
        <v>0</v>
      </c>
      <c r="M506" s="81">
        <f t="shared" si="106"/>
        <v>0</v>
      </c>
      <c r="N506" s="81">
        <f t="shared" si="106"/>
        <v>0</v>
      </c>
      <c r="O506" s="81">
        <f t="shared" si="106"/>
        <v>0</v>
      </c>
      <c r="P506" s="81">
        <f t="shared" si="106"/>
        <v>0</v>
      </c>
      <c r="Q506" s="81">
        <f t="shared" si="106"/>
        <v>0</v>
      </c>
      <c r="R506" s="81">
        <f t="shared" si="106"/>
        <v>0</v>
      </c>
      <c r="S506" s="81">
        <f t="shared" si="106"/>
        <v>0</v>
      </c>
      <c r="T506" s="3"/>
      <c r="U506" s="3"/>
      <c r="V506" s="3"/>
      <c r="W506" s="3"/>
      <c r="X506" s="3"/>
      <c r="Y506" s="3"/>
      <c r="Z506" s="3"/>
    </row>
    <row r="507" spans="1:26" ht="12.75" x14ac:dyDescent="0.2">
      <c r="A507" s="3"/>
      <c r="B507" s="43"/>
      <c r="C507" s="46" t="s">
        <v>253</v>
      </c>
      <c r="D507" s="43"/>
      <c r="E507" s="43"/>
      <c r="F507" s="81"/>
      <c r="G507" s="81">
        <f t="shared" ref="G507:S507" si="107">F496*(F501*$G500)*(1-F502)</f>
        <v>-55828.828754415124</v>
      </c>
      <c r="H507" s="81">
        <f t="shared" si="107"/>
        <v>-7611.8095442025888</v>
      </c>
      <c r="I507" s="81">
        <f t="shared" si="107"/>
        <v>44746.922153251107</v>
      </c>
      <c r="J507" s="81">
        <f t="shared" si="107"/>
        <v>101255.06845403326</v>
      </c>
      <c r="K507" s="81">
        <f t="shared" si="107"/>
        <v>201991.72764718285</v>
      </c>
      <c r="L507" s="81">
        <f t="shared" si="107"/>
        <v>180463.53900709574</v>
      </c>
      <c r="M507" s="81">
        <f t="shared" si="107"/>
        <v>182629.04085199529</v>
      </c>
      <c r="N507" s="81">
        <f t="shared" si="107"/>
        <v>178691.00221368767</v>
      </c>
      <c r="O507" s="81">
        <f t="shared" si="107"/>
        <v>174711.42318899714</v>
      </c>
      <c r="P507" s="81">
        <f t="shared" si="107"/>
        <v>170689.8883740594</v>
      </c>
      <c r="Q507" s="81">
        <f t="shared" si="107"/>
        <v>0</v>
      </c>
      <c r="R507" s="81">
        <f t="shared" si="107"/>
        <v>0</v>
      </c>
      <c r="S507" s="81">
        <f t="shared" si="107"/>
        <v>0</v>
      </c>
      <c r="T507" s="3"/>
      <c r="U507" s="3"/>
      <c r="V507" s="3"/>
      <c r="W507" s="3"/>
      <c r="X507" s="3"/>
      <c r="Y507" s="3"/>
      <c r="Z507" s="3"/>
    </row>
    <row r="508" spans="1:26" ht="12.75" x14ac:dyDescent="0.2">
      <c r="A508" s="3"/>
      <c r="B508" s="43"/>
      <c r="C508" s="46" t="s">
        <v>254</v>
      </c>
      <c r="D508" s="43"/>
      <c r="E508" s="43"/>
      <c r="F508" s="81"/>
      <c r="G508" s="81"/>
      <c r="H508" s="81">
        <f t="shared" ref="H508:S508" si="108">F496*(F501*$H500)*(1-F502)</f>
        <v>-186096.09584805043</v>
      </c>
      <c r="I508" s="81">
        <f t="shared" si="108"/>
        <v>-25372.698480675295</v>
      </c>
      <c r="J508" s="81">
        <f t="shared" si="108"/>
        <v>149156.40717750369</v>
      </c>
      <c r="K508" s="81">
        <f t="shared" si="108"/>
        <v>337516.89484677749</v>
      </c>
      <c r="L508" s="81">
        <f t="shared" si="108"/>
        <v>673305.75882394286</v>
      </c>
      <c r="M508" s="81">
        <f t="shared" si="108"/>
        <v>601545.13002365245</v>
      </c>
      <c r="N508" s="81">
        <f t="shared" si="108"/>
        <v>608763.46950665093</v>
      </c>
      <c r="O508" s="81">
        <f t="shared" si="108"/>
        <v>595636.67404562549</v>
      </c>
      <c r="P508" s="81">
        <f t="shared" si="108"/>
        <v>582371.41062999039</v>
      </c>
      <c r="Q508" s="81">
        <f t="shared" si="108"/>
        <v>568966.29458019801</v>
      </c>
      <c r="R508" s="81">
        <f t="shared" si="108"/>
        <v>0</v>
      </c>
      <c r="S508" s="81">
        <f t="shared" si="108"/>
        <v>0</v>
      </c>
      <c r="T508" s="3"/>
      <c r="U508" s="3"/>
      <c r="V508" s="3"/>
      <c r="W508" s="3"/>
      <c r="X508" s="3"/>
      <c r="Y508" s="3"/>
      <c r="Z508" s="3"/>
    </row>
    <row r="509" spans="1:26" ht="12.75" x14ac:dyDescent="0.2">
      <c r="A509" s="3"/>
      <c r="B509" s="43"/>
      <c r="C509" s="46" t="s">
        <v>255</v>
      </c>
      <c r="D509" s="43"/>
      <c r="E509" s="43"/>
      <c r="F509" s="81"/>
      <c r="G509" s="81"/>
      <c r="H509" s="81"/>
      <c r="I509" s="81">
        <f t="shared" ref="I509:S509" si="109">F496*(F501*$I500)*(1-F502)</f>
        <v>-223315.3150176605</v>
      </c>
      <c r="J509" s="81">
        <f t="shared" si="109"/>
        <v>-30447.238176810355</v>
      </c>
      <c r="K509" s="81">
        <f t="shared" si="109"/>
        <v>178987.68861300443</v>
      </c>
      <c r="L509" s="81">
        <f t="shared" si="109"/>
        <v>405020.27381613303</v>
      </c>
      <c r="M509" s="81">
        <f t="shared" si="109"/>
        <v>807966.91058873141</v>
      </c>
      <c r="N509" s="81">
        <f t="shared" si="109"/>
        <v>721854.15602838295</v>
      </c>
      <c r="O509" s="81">
        <f t="shared" si="109"/>
        <v>730516.16340798116</v>
      </c>
      <c r="P509" s="81">
        <f t="shared" si="109"/>
        <v>714764.00885475066</v>
      </c>
      <c r="Q509" s="81">
        <f t="shared" si="109"/>
        <v>698845.69275598857</v>
      </c>
      <c r="R509" s="81">
        <f t="shared" si="109"/>
        <v>682759.55349623761</v>
      </c>
      <c r="S509" s="81">
        <f t="shared" si="109"/>
        <v>0</v>
      </c>
      <c r="T509" s="3"/>
      <c r="U509" s="3"/>
      <c r="V509" s="3"/>
      <c r="W509" s="3"/>
      <c r="X509" s="3"/>
      <c r="Y509" s="3"/>
      <c r="Z509" s="3"/>
    </row>
    <row r="510" spans="1:26" ht="12.75" x14ac:dyDescent="0.2">
      <c r="A510" s="3"/>
      <c r="B510" s="43"/>
      <c r="C510" s="46" t="s">
        <v>261</v>
      </c>
      <c r="D510" s="43"/>
      <c r="E510" s="43"/>
      <c r="F510" s="81"/>
      <c r="G510" s="81"/>
      <c r="H510" s="81"/>
      <c r="I510" s="81"/>
      <c r="J510" s="81">
        <f t="shared" ref="J510:S510" si="110">F496*(F501*$J500)*(1-F502)</f>
        <v>-279144.14377207565</v>
      </c>
      <c r="K510" s="81">
        <f t="shared" si="110"/>
        <v>-38059.047721012947</v>
      </c>
      <c r="L510" s="81">
        <f t="shared" si="110"/>
        <v>223734.61076625553</v>
      </c>
      <c r="M510" s="81">
        <f t="shared" si="110"/>
        <v>506275.34227016626</v>
      </c>
      <c r="N510" s="81">
        <f t="shared" si="110"/>
        <v>1009958.6382359143</v>
      </c>
      <c r="O510" s="81">
        <f t="shared" si="110"/>
        <v>902317.69503547868</v>
      </c>
      <c r="P510" s="81">
        <f t="shared" si="110"/>
        <v>913145.2042599764</v>
      </c>
      <c r="Q510" s="81">
        <f t="shared" si="110"/>
        <v>893455.01106843841</v>
      </c>
      <c r="R510" s="81">
        <f t="shared" si="110"/>
        <v>873557.11594498577</v>
      </c>
      <c r="S510" s="81">
        <f t="shared" si="110"/>
        <v>853449.44187029696</v>
      </c>
      <c r="T510" s="3"/>
      <c r="U510" s="3"/>
      <c r="V510" s="3"/>
      <c r="W510" s="3"/>
      <c r="X510" s="3"/>
      <c r="Y510" s="3"/>
      <c r="Z510" s="3"/>
    </row>
    <row r="511" spans="1:26" ht="12.75" x14ac:dyDescent="0.2">
      <c r="A511" s="3"/>
      <c r="B511" s="43"/>
      <c r="C511" s="68" t="s">
        <v>686</v>
      </c>
      <c r="D511" s="68"/>
      <c r="E511" s="68"/>
      <c r="F511" s="82">
        <f>SUM(F506:F510)</f>
        <v>0</v>
      </c>
      <c r="G511" s="82">
        <f t="shared" ref="G511:S511" si="111">SUM(G506:G510)</f>
        <v>-55828.828754415124</v>
      </c>
      <c r="H511" s="82">
        <f t="shared" si="111"/>
        <v>-193707.90539225301</v>
      </c>
      <c r="I511" s="82">
        <f t="shared" si="111"/>
        <v>-203941.09134508469</v>
      </c>
      <c r="J511" s="82">
        <f t="shared" si="111"/>
        <v>-59179.906317349058</v>
      </c>
      <c r="K511" s="82">
        <f t="shared" si="111"/>
        <v>680437.26338595175</v>
      </c>
      <c r="L511" s="82">
        <f t="shared" si="111"/>
        <v>1482524.1824134272</v>
      </c>
      <c r="M511" s="82">
        <f t="shared" si="111"/>
        <v>2098416.4237345452</v>
      </c>
      <c r="N511" s="82">
        <f t="shared" si="111"/>
        <v>2519267.2659846358</v>
      </c>
      <c r="O511" s="82">
        <f t="shared" si="111"/>
        <v>2403181.9556780825</v>
      </c>
      <c r="P511" s="82">
        <f t="shared" si="111"/>
        <v>2380970.5121187768</v>
      </c>
      <c r="Q511" s="82">
        <f t="shared" si="111"/>
        <v>2161266.9984046249</v>
      </c>
      <c r="R511" s="82">
        <f t="shared" si="111"/>
        <v>1556316.6694412234</v>
      </c>
      <c r="S511" s="82">
        <f t="shared" si="111"/>
        <v>853449.44187029696</v>
      </c>
      <c r="T511" s="3"/>
      <c r="U511" s="3"/>
      <c r="V511" s="3"/>
      <c r="W511" s="3"/>
      <c r="X511" s="3"/>
      <c r="Y511" s="3"/>
      <c r="Z511" s="3"/>
    </row>
    <row r="512" spans="1:26" ht="12.75"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x14ac:dyDescent="0.2">
      <c r="A513" s="3"/>
      <c r="B513" s="57"/>
      <c r="C513" s="65" t="s">
        <v>262</v>
      </c>
      <c r="D513" s="43"/>
      <c r="E513" s="43"/>
      <c r="F513" s="43"/>
      <c r="G513" s="43"/>
      <c r="H513" s="43"/>
      <c r="I513" s="43"/>
      <c r="J513" s="43"/>
      <c r="K513" s="43"/>
      <c r="L513" s="43"/>
      <c r="M513" s="43"/>
      <c r="N513" s="43"/>
      <c r="O513" s="43"/>
      <c r="P513" s="43"/>
      <c r="Q513" s="43"/>
      <c r="R513" s="43"/>
      <c r="S513" s="43"/>
      <c r="T513" s="3"/>
      <c r="U513" s="3"/>
      <c r="V513" s="3"/>
      <c r="W513" s="3"/>
      <c r="X513" s="3"/>
      <c r="Y513" s="3"/>
      <c r="Z513" s="3"/>
    </row>
    <row r="514" spans="1:26" ht="12.75" x14ac:dyDescent="0.2">
      <c r="A514" s="3"/>
      <c r="B514" s="43"/>
      <c r="C514" s="68" t="s">
        <v>686</v>
      </c>
      <c r="D514" s="68"/>
      <c r="E514" s="68"/>
      <c r="F514" s="82">
        <f>$I$114*(I106/SUM($I$106:$I$110))*F$129/1000*(1+$I$115)</f>
        <v>0</v>
      </c>
      <c r="G514" s="82">
        <f>$I$114*(I107/SUM($I$106:$I$110))*G$129/1000*(1+$I$115)</f>
        <v>41032.22334632025</v>
      </c>
      <c r="H514" s="82">
        <f>$I$114*(I108/SUM($I$106:$I$110))*H$129/1000*(1+$I$115)</f>
        <v>136774.07782106751</v>
      </c>
      <c r="I514" s="82">
        <f>$I$114*(I109/SUM($I$106:$I$110))*I$129/1000*(1+$I$115)</f>
        <v>164128.893385281</v>
      </c>
      <c r="J514" s="82">
        <f>$I$114*(I110/SUM($I$106:$I$110))*J$129/1000*(1+$I$115)</f>
        <v>205161.11673160127</v>
      </c>
      <c r="K514" s="82"/>
      <c r="L514" s="82"/>
      <c r="M514" s="82"/>
      <c r="N514" s="82"/>
      <c r="O514" s="82"/>
      <c r="P514" s="82"/>
      <c r="Q514" s="82"/>
      <c r="R514" s="82"/>
      <c r="S514" s="82"/>
      <c r="T514" s="3"/>
      <c r="U514" s="3"/>
      <c r="V514" s="3"/>
      <c r="W514" s="3"/>
      <c r="X514" s="3"/>
      <c r="Y514" s="3"/>
      <c r="Z514" s="3"/>
    </row>
    <row r="515" spans="1:26" ht="12.75"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x14ac:dyDescent="0.2">
      <c r="A516" s="3"/>
      <c r="B516" s="3"/>
      <c r="C516" s="72" t="s">
        <v>685</v>
      </c>
      <c r="D516" s="70"/>
      <c r="E516" s="70"/>
      <c r="F516" s="89">
        <f>F511-F514</f>
        <v>0</v>
      </c>
      <c r="G516" s="89">
        <f t="shared" ref="G516:S516" si="112">G511-G514</f>
        <v>-96861.052100735367</v>
      </c>
      <c r="H516" s="89">
        <f t="shared" si="112"/>
        <v>-330481.98321332049</v>
      </c>
      <c r="I516" s="89">
        <f t="shared" si="112"/>
        <v>-368069.98473036569</v>
      </c>
      <c r="J516" s="89">
        <f t="shared" si="112"/>
        <v>-264341.02304895036</v>
      </c>
      <c r="K516" s="89">
        <f t="shared" si="112"/>
        <v>680437.26338595175</v>
      </c>
      <c r="L516" s="89">
        <f t="shared" si="112"/>
        <v>1482524.1824134272</v>
      </c>
      <c r="M516" s="89">
        <f t="shared" si="112"/>
        <v>2098416.4237345452</v>
      </c>
      <c r="N516" s="89">
        <f t="shared" si="112"/>
        <v>2519267.2659846358</v>
      </c>
      <c r="O516" s="89">
        <f t="shared" si="112"/>
        <v>2403181.9556780825</v>
      </c>
      <c r="P516" s="89">
        <f t="shared" si="112"/>
        <v>2380970.5121187768</v>
      </c>
      <c r="Q516" s="89">
        <f t="shared" si="112"/>
        <v>2161266.9984046249</v>
      </c>
      <c r="R516" s="89">
        <f t="shared" si="112"/>
        <v>1556316.6694412234</v>
      </c>
      <c r="S516" s="89">
        <f t="shared" si="112"/>
        <v>853449.44187029696</v>
      </c>
      <c r="T516" s="3"/>
      <c r="U516" s="3"/>
      <c r="V516" s="3"/>
      <c r="W516" s="3"/>
      <c r="X516" s="3"/>
      <c r="Y516" s="3"/>
      <c r="Z516" s="3"/>
    </row>
    <row r="517" spans="1:26" ht="13.5" thickBot="1" x14ac:dyDescent="0.25">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3.5" thickTop="1" x14ac:dyDescent="0.2">
      <c r="A518" s="3"/>
      <c r="B518" s="3"/>
      <c r="C518" s="86" t="s">
        <v>676</v>
      </c>
      <c r="D518" s="86"/>
      <c r="E518" s="86"/>
      <c r="F518" s="92">
        <f>NPV($F$20,G516:S516)+F516</f>
        <v>5173567.5581370369</v>
      </c>
      <c r="G518" s="3"/>
      <c r="H518" s="3"/>
      <c r="I518" s="3"/>
      <c r="J518" s="3"/>
      <c r="K518" s="3"/>
      <c r="L518" s="3"/>
      <c r="M518" s="3"/>
      <c r="N518" s="3"/>
      <c r="O518" s="3"/>
      <c r="P518" s="3"/>
      <c r="Q518" s="3"/>
      <c r="R518" s="3"/>
      <c r="S518" s="3"/>
      <c r="T518" s="3"/>
      <c r="U518" s="3"/>
      <c r="V518" s="3"/>
      <c r="W518" s="3"/>
      <c r="X518" s="3"/>
      <c r="Y518" s="3"/>
      <c r="Z518" s="3"/>
    </row>
    <row r="519" spans="1:26" ht="12.75" x14ac:dyDescent="0.2">
      <c r="A519" s="3"/>
      <c r="B519" s="3"/>
      <c r="C519" s="65" t="s">
        <v>677</v>
      </c>
      <c r="D519" s="65"/>
      <c r="E519" s="65"/>
      <c r="F519" s="298">
        <f>F518/$F$10*1000</f>
        <v>32839707.744934857</v>
      </c>
      <c r="G519" s="3"/>
      <c r="H519" s="3"/>
      <c r="I519" s="3"/>
      <c r="J519" s="3"/>
      <c r="K519" s="3"/>
      <c r="L519" s="3"/>
      <c r="M519" s="3"/>
      <c r="N519" s="3"/>
      <c r="O519" s="3"/>
      <c r="P519" s="3"/>
      <c r="Q519" s="3"/>
      <c r="R519" s="3"/>
      <c r="S519" s="3"/>
      <c r="T519" s="3"/>
      <c r="U519" s="3"/>
      <c r="V519" s="3"/>
      <c r="W519" s="3"/>
      <c r="X519" s="3"/>
      <c r="Y519" s="3"/>
      <c r="Z519" s="3"/>
    </row>
    <row r="520" spans="1:26" ht="12.75" x14ac:dyDescent="0.2">
      <c r="A520" s="3"/>
      <c r="B520" s="3"/>
      <c r="C520" s="65" t="s">
        <v>683</v>
      </c>
      <c r="D520" s="65"/>
      <c r="E520" s="65"/>
      <c r="F520" s="95">
        <f>IRR(F516:S516)</f>
        <v>0.64599533716489543</v>
      </c>
      <c r="G520" s="3"/>
      <c r="H520" s="3"/>
      <c r="I520" s="3"/>
      <c r="J520" s="3"/>
      <c r="K520" s="3"/>
      <c r="L520" s="3"/>
      <c r="M520" s="3"/>
      <c r="N520" s="3"/>
      <c r="O520" s="3"/>
      <c r="P520" s="3"/>
      <c r="Q520" s="3"/>
      <c r="R520" s="3"/>
      <c r="S520" s="3"/>
      <c r="T520" s="3"/>
      <c r="U520" s="3"/>
      <c r="V520" s="3"/>
      <c r="W520" s="3"/>
      <c r="X520" s="3"/>
      <c r="Y520" s="3"/>
      <c r="Z520" s="3"/>
    </row>
    <row r="521" spans="1:26" ht="13.5" thickBot="1" x14ac:dyDescent="0.25">
      <c r="A521" s="3"/>
      <c r="B521" s="3"/>
      <c r="C521" s="87" t="s">
        <v>684</v>
      </c>
      <c r="D521" s="87"/>
      <c r="E521" s="87"/>
      <c r="F521" s="90">
        <f>MIRR(F516:S516,$F$20,$F$20)</f>
        <v>0.30954274227710088</v>
      </c>
      <c r="G521" s="3"/>
      <c r="H521" s="3"/>
      <c r="I521" s="3"/>
      <c r="J521" s="3"/>
      <c r="K521" s="3"/>
      <c r="L521" s="3"/>
      <c r="M521" s="3"/>
      <c r="N521" s="3"/>
      <c r="O521" s="3"/>
      <c r="P521" s="3"/>
      <c r="Q521" s="3"/>
      <c r="R521" s="3"/>
      <c r="S521" s="3"/>
      <c r="T521" s="3"/>
      <c r="U521" s="3"/>
      <c r="V521" s="3"/>
      <c r="W521" s="3"/>
      <c r="X521" s="3"/>
      <c r="Y521" s="3"/>
      <c r="Z521" s="3"/>
    </row>
    <row r="522" spans="1:26" ht="13.5" thickTop="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s="226" customFormat="1" ht="12.75" x14ac:dyDescent="0.2">
      <c r="A523" s="355" t="s">
        <v>914</v>
      </c>
      <c r="B523" s="353"/>
      <c r="C523" s="353"/>
      <c r="D523" s="356"/>
      <c r="E523" s="356"/>
      <c r="F523" s="357"/>
      <c r="G523" s="357"/>
      <c r="H523" s="357"/>
      <c r="I523" s="357"/>
      <c r="J523" s="357"/>
      <c r="K523" s="357"/>
      <c r="L523" s="357"/>
      <c r="M523" s="357"/>
      <c r="N523" s="357"/>
      <c r="O523" s="357"/>
      <c r="P523" s="357"/>
      <c r="Q523" s="357"/>
      <c r="R523" s="357"/>
      <c r="S523" s="357"/>
      <c r="T523" s="353"/>
      <c r="U523" s="353"/>
      <c r="V523" s="353"/>
      <c r="W523" s="353"/>
      <c r="X523" s="353"/>
      <c r="Y523" s="353"/>
      <c r="Z523" s="353"/>
    </row>
    <row r="524" spans="1:26" ht="12.75" x14ac:dyDescent="0.2">
      <c r="A524" s="3"/>
      <c r="B524" s="611" t="s">
        <v>752</v>
      </c>
      <c r="C524" s="610"/>
      <c r="D524" s="610"/>
      <c r="E524" s="610"/>
      <c r="F524" s="610"/>
      <c r="G524" s="610"/>
      <c r="H524" s="610"/>
      <c r="I524" s="610"/>
      <c r="J524" s="610"/>
      <c r="K524" s="610"/>
      <c r="L524" s="3"/>
      <c r="M524" s="3"/>
      <c r="N524" s="3"/>
      <c r="O524" s="3"/>
      <c r="P524" s="3"/>
      <c r="Q524" s="3"/>
      <c r="R524" s="3"/>
      <c r="S524" s="3"/>
      <c r="T524" s="3"/>
      <c r="U524" s="3"/>
      <c r="V524" s="3"/>
      <c r="W524" s="3"/>
      <c r="X524" s="3"/>
      <c r="Y524" s="3"/>
      <c r="Z524" s="3"/>
    </row>
    <row r="525" spans="1:26" ht="12.75" x14ac:dyDescent="0.2">
      <c r="A525" s="3"/>
      <c r="B525" s="358"/>
      <c r="C525" s="358"/>
      <c r="D525" s="358"/>
      <c r="E525" s="358"/>
      <c r="F525" s="358"/>
      <c r="G525" s="358"/>
      <c r="H525" s="358"/>
      <c r="I525" s="358"/>
      <c r="J525" s="358"/>
      <c r="K525" s="358"/>
      <c r="L525" s="3"/>
      <c r="M525" s="3"/>
      <c r="N525" s="3"/>
      <c r="O525" s="3"/>
      <c r="P525" s="3"/>
      <c r="Q525" s="3"/>
      <c r="R525" s="3"/>
      <c r="S525" s="3"/>
      <c r="T525" s="3"/>
      <c r="U525" s="3"/>
      <c r="V525" s="3"/>
      <c r="W525" s="3"/>
      <c r="X525" s="3"/>
      <c r="Y525" s="3"/>
      <c r="Z525" s="3"/>
    </row>
    <row r="526" spans="1:26" ht="25.5" x14ac:dyDescent="0.2">
      <c r="A526" s="3"/>
      <c r="B526" s="358"/>
      <c r="C526" s="359" t="s">
        <v>753</v>
      </c>
      <c r="D526" s="360" t="s">
        <v>812</v>
      </c>
      <c r="E526" s="361" t="s">
        <v>813</v>
      </c>
      <c r="F526" s="361" t="s">
        <v>814</v>
      </c>
      <c r="G526" s="358"/>
      <c r="H526" s="359" t="s">
        <v>754</v>
      </c>
      <c r="I526" s="360" t="s">
        <v>812</v>
      </c>
      <c r="J526" s="361" t="s">
        <v>813</v>
      </c>
      <c r="K526" s="361" t="s">
        <v>814</v>
      </c>
      <c r="L526" s="3"/>
      <c r="M526" s="3"/>
      <c r="N526" s="3"/>
      <c r="O526" s="3"/>
      <c r="P526" s="3"/>
      <c r="Q526" s="3"/>
      <c r="R526" s="3"/>
      <c r="S526" s="3"/>
      <c r="T526" s="3"/>
      <c r="U526" s="3"/>
      <c r="V526" s="3"/>
      <c r="W526" s="3"/>
      <c r="X526" s="3"/>
      <c r="Y526" s="3"/>
      <c r="Z526" s="3"/>
    </row>
    <row r="527" spans="1:26" ht="12.75" x14ac:dyDescent="0.2">
      <c r="A527" s="3"/>
      <c r="B527" s="358"/>
      <c r="C527" s="362"/>
      <c r="D527" s="363">
        <f>$F$388</f>
        <v>4562.9858732369848</v>
      </c>
      <c r="E527" s="364">
        <f>$F$519</f>
        <v>32839707.744934857</v>
      </c>
      <c r="F527" s="364">
        <f>$H$385*1000/$F$10</f>
        <v>669.6629132924794</v>
      </c>
      <c r="G527" s="358"/>
      <c r="H527" s="362"/>
      <c r="I527" s="669">
        <f>$F$388</f>
        <v>4562.9858732369848</v>
      </c>
      <c r="J527" s="670">
        <f>$F$519</f>
        <v>32839707.744934857</v>
      </c>
      <c r="K527" s="670">
        <f>$H$385*1000/$F$10</f>
        <v>669.6629132924794</v>
      </c>
      <c r="L527" s="3"/>
      <c r="M527" s="3"/>
      <c r="N527" s="3"/>
      <c r="O527" s="3"/>
      <c r="P527" s="3"/>
      <c r="Q527" s="3"/>
      <c r="R527" s="3"/>
      <c r="S527" s="3"/>
      <c r="T527" s="3"/>
      <c r="U527" s="3"/>
      <c r="V527" s="3"/>
      <c r="W527" s="3"/>
      <c r="X527" s="3"/>
      <c r="Y527" s="3"/>
      <c r="Z527" s="3"/>
    </row>
    <row r="528" spans="1:26" ht="12.75" x14ac:dyDescent="0.2">
      <c r="A528" s="3"/>
      <c r="B528" s="358"/>
      <c r="C528" s="365">
        <v>0.03</v>
      </c>
      <c r="D528" s="621">
        <f t="dataTable" ref="D528:F533" dt2D="0" dtr="0" r1="F8" ca="1"/>
        <v>4562.9858732369848</v>
      </c>
      <c r="E528" s="622">
        <v>32839707.744934864</v>
      </c>
      <c r="F528" s="622">
        <v>669.6629132924802</v>
      </c>
      <c r="G528" s="358"/>
      <c r="H528" s="365">
        <v>-0.01</v>
      </c>
      <c r="I528" s="621">
        <f t="dataTable" ref="I528:K533" dt2D="0" dtr="0" r1="F9" ca="1"/>
        <v>4562.9858732369848</v>
      </c>
      <c r="J528" s="622">
        <v>32839707.744934857</v>
      </c>
      <c r="K528" s="622">
        <v>669.6629132924794</v>
      </c>
      <c r="L528" s="3"/>
      <c r="M528" s="3"/>
      <c r="N528" s="3"/>
      <c r="O528" s="3"/>
      <c r="P528" s="3"/>
      <c r="Q528" s="3"/>
      <c r="R528" s="3"/>
      <c r="S528" s="3"/>
      <c r="T528" s="3"/>
      <c r="U528" s="3"/>
      <c r="V528" s="3"/>
      <c r="W528" s="3"/>
      <c r="X528" s="3"/>
      <c r="Y528" s="3"/>
      <c r="Z528" s="3"/>
    </row>
    <row r="529" spans="1:26" ht="12.75" x14ac:dyDescent="0.2">
      <c r="A529" s="3"/>
      <c r="B529" s="358"/>
      <c r="C529" s="368">
        <v>0.05</v>
      </c>
      <c r="D529" s="613">
        <v>4562.985873236983</v>
      </c>
      <c r="E529" s="614">
        <v>32839707.744934857</v>
      </c>
      <c r="F529" s="614">
        <v>669.6629132924802</v>
      </c>
      <c r="G529" s="358"/>
      <c r="H529" s="368">
        <v>0</v>
      </c>
      <c r="I529" s="613">
        <v>4562.9858732369848</v>
      </c>
      <c r="J529" s="614">
        <v>32839707.744934857</v>
      </c>
      <c r="K529" s="614">
        <v>669.6629132924794</v>
      </c>
      <c r="L529" s="3"/>
      <c r="M529" s="3"/>
      <c r="N529" s="3"/>
      <c r="O529" s="3"/>
      <c r="P529" s="3"/>
      <c r="Q529" s="3"/>
      <c r="R529" s="3"/>
      <c r="S529" s="3"/>
      <c r="T529" s="3"/>
      <c r="U529" s="3"/>
      <c r="V529" s="3"/>
      <c r="W529" s="3"/>
      <c r="X529" s="3"/>
      <c r="Y529" s="3"/>
      <c r="Z529" s="3"/>
    </row>
    <row r="530" spans="1:26" ht="12.75" x14ac:dyDescent="0.2">
      <c r="A530" s="3"/>
      <c r="B530" s="358"/>
      <c r="C530" s="371">
        <v>7.0000000000000007E-2</v>
      </c>
      <c r="D530" s="617">
        <v>4562.9858732369848</v>
      </c>
      <c r="E530" s="618">
        <v>32839707.744934864</v>
      </c>
      <c r="F530" s="618">
        <v>669.6629132924794</v>
      </c>
      <c r="G530" s="358"/>
      <c r="H530" s="368">
        <v>0.01</v>
      </c>
      <c r="I530" s="613">
        <v>4562.9858732369848</v>
      </c>
      <c r="J530" s="614">
        <v>32839707.744934857</v>
      </c>
      <c r="K530" s="614">
        <v>669.6629132924794</v>
      </c>
      <c r="L530" s="3"/>
      <c r="M530" s="3"/>
      <c r="N530" s="3"/>
      <c r="O530" s="3"/>
      <c r="P530" s="3"/>
      <c r="Q530" s="3"/>
      <c r="R530" s="3"/>
      <c r="S530" s="3"/>
      <c r="T530" s="3"/>
      <c r="U530" s="3"/>
      <c r="V530" s="3"/>
      <c r="W530" s="3"/>
      <c r="X530" s="3"/>
      <c r="Y530" s="3"/>
      <c r="Z530" s="3"/>
    </row>
    <row r="531" spans="1:26" ht="12.75" x14ac:dyDescent="0.2">
      <c r="A531" s="3"/>
      <c r="B531" s="358"/>
      <c r="C531" s="368">
        <v>0.1</v>
      </c>
      <c r="D531" s="613">
        <v>4562.985873236983</v>
      </c>
      <c r="E531" s="614">
        <v>32839707.744934835</v>
      </c>
      <c r="F531" s="614">
        <v>669.66291329247986</v>
      </c>
      <c r="G531" s="358"/>
      <c r="H531" s="374">
        <v>2.5000000000000001E-2</v>
      </c>
      <c r="I531" s="617">
        <v>4562.9858732369848</v>
      </c>
      <c r="J531" s="618">
        <v>32839707.744934857</v>
      </c>
      <c r="K531" s="618">
        <v>669.6629132924794</v>
      </c>
      <c r="L531" s="3"/>
      <c r="M531" s="3"/>
      <c r="N531" s="3"/>
      <c r="O531" s="3"/>
      <c r="P531" s="3"/>
      <c r="Q531" s="3"/>
      <c r="R531" s="3"/>
      <c r="S531" s="3"/>
      <c r="T531" s="3"/>
      <c r="U531" s="3"/>
      <c r="V531" s="3"/>
      <c r="W531" s="3"/>
      <c r="X531" s="3"/>
      <c r="Y531" s="3"/>
      <c r="Z531" s="3"/>
    </row>
    <row r="532" spans="1:26" ht="12.75" x14ac:dyDescent="0.2">
      <c r="A532" s="3"/>
      <c r="B532" s="358"/>
      <c r="C532" s="368">
        <v>0.15</v>
      </c>
      <c r="D532" s="613">
        <v>4562.985873236983</v>
      </c>
      <c r="E532" s="614">
        <v>32839707.744934857</v>
      </c>
      <c r="F532" s="614">
        <v>669.66291329247986</v>
      </c>
      <c r="G532" s="358"/>
      <c r="H532" s="368">
        <v>0.04</v>
      </c>
      <c r="I532" s="613">
        <v>4562.9858732369848</v>
      </c>
      <c r="J532" s="614">
        <v>32839707.744934857</v>
      </c>
      <c r="K532" s="614">
        <v>669.6629132924794</v>
      </c>
      <c r="L532" s="3"/>
      <c r="M532" s="3"/>
      <c r="N532" s="3"/>
      <c r="O532" s="3"/>
      <c r="P532" s="3"/>
      <c r="Q532" s="3"/>
      <c r="R532" s="3"/>
      <c r="S532" s="3"/>
      <c r="T532" s="3"/>
      <c r="U532" s="3"/>
      <c r="V532" s="3"/>
      <c r="W532" s="3"/>
      <c r="X532" s="3"/>
      <c r="Y532" s="3"/>
      <c r="Z532" s="3"/>
    </row>
    <row r="533" spans="1:26" ht="12.75" x14ac:dyDescent="0.2">
      <c r="A533" s="3"/>
      <c r="B533" s="358"/>
      <c r="C533" s="375">
        <v>0.2</v>
      </c>
      <c r="D533" s="619">
        <v>4562.9858732369848</v>
      </c>
      <c r="E533" s="620">
        <v>32839707.744934879</v>
      </c>
      <c r="F533" s="620">
        <v>669.6629132924802</v>
      </c>
      <c r="G533" s="358"/>
      <c r="H533" s="375">
        <v>0.06</v>
      </c>
      <c r="I533" s="619">
        <v>4562.9858732369848</v>
      </c>
      <c r="J533" s="620">
        <v>32839707.744934849</v>
      </c>
      <c r="K533" s="620">
        <v>669.6629132924794</v>
      </c>
      <c r="L533" s="3"/>
      <c r="M533" s="3"/>
      <c r="N533" s="3"/>
      <c r="O533" s="3"/>
      <c r="P533" s="3"/>
      <c r="Q533" s="3"/>
      <c r="R533" s="3"/>
      <c r="S533" s="3"/>
      <c r="T533" s="3"/>
      <c r="U533" s="3"/>
      <c r="V533" s="3"/>
      <c r="W533" s="3"/>
      <c r="X533" s="3"/>
      <c r="Y533" s="3"/>
      <c r="Z533" s="3"/>
    </row>
    <row r="534" spans="1:26" ht="12.75" x14ac:dyDescent="0.2">
      <c r="A534" s="3"/>
      <c r="B534" s="358"/>
      <c r="C534" s="358"/>
      <c r="D534" s="358"/>
      <c r="E534" s="358"/>
      <c r="F534" s="358"/>
      <c r="G534" s="358"/>
      <c r="H534" s="358"/>
      <c r="I534" s="358"/>
      <c r="J534" s="358"/>
      <c r="K534" s="358"/>
      <c r="L534" s="3"/>
      <c r="M534" s="3"/>
      <c r="N534" s="3"/>
      <c r="O534" s="3"/>
      <c r="P534" s="3"/>
      <c r="Q534" s="3"/>
      <c r="R534" s="3"/>
      <c r="S534" s="3"/>
      <c r="T534" s="3"/>
      <c r="U534" s="3"/>
      <c r="V534" s="3"/>
      <c r="W534" s="3"/>
      <c r="X534" s="3"/>
      <c r="Y534" s="3"/>
      <c r="Z534" s="3"/>
    </row>
    <row r="535" spans="1:26" ht="51" x14ac:dyDescent="0.2">
      <c r="A535" s="3"/>
      <c r="B535" s="358"/>
      <c r="C535" s="359" t="s">
        <v>181</v>
      </c>
      <c r="D535" s="360" t="s">
        <v>812</v>
      </c>
      <c r="E535" s="361" t="s">
        <v>813</v>
      </c>
      <c r="F535" s="361" t="s">
        <v>814</v>
      </c>
      <c r="G535" s="358"/>
      <c r="H535" s="359" t="s">
        <v>951</v>
      </c>
      <c r="I535" s="360" t="s">
        <v>812</v>
      </c>
      <c r="J535" s="361" t="s">
        <v>813</v>
      </c>
      <c r="K535" s="361" t="s">
        <v>814</v>
      </c>
      <c r="L535" s="3"/>
      <c r="M535" s="3"/>
      <c r="N535" s="3"/>
      <c r="O535" s="3"/>
      <c r="P535" s="3"/>
      <c r="Q535" s="3"/>
      <c r="R535" s="3"/>
      <c r="S535" s="3"/>
      <c r="T535" s="3"/>
      <c r="U535" s="3"/>
      <c r="V535" s="3"/>
      <c r="W535" s="3"/>
      <c r="X535" s="3"/>
      <c r="Y535" s="3"/>
      <c r="Z535" s="3"/>
    </row>
    <row r="536" spans="1:26" ht="12.75" x14ac:dyDescent="0.2">
      <c r="A536" s="3"/>
      <c r="B536" s="354"/>
      <c r="C536" s="362"/>
      <c r="D536" s="363">
        <f>$F$388</f>
        <v>4562.9858732369848</v>
      </c>
      <c r="E536" s="364">
        <f>$F$519</f>
        <v>32839707.744934857</v>
      </c>
      <c r="F536" s="364">
        <f>$H$385*1000/$F$10</f>
        <v>669.6629132924794</v>
      </c>
      <c r="G536" s="358"/>
      <c r="H536" s="362"/>
      <c r="I536" s="363">
        <f>$F$388</f>
        <v>4562.9858732369848</v>
      </c>
      <c r="J536" s="364">
        <f>$F$519</f>
        <v>32839707.744934857</v>
      </c>
      <c r="K536" s="364">
        <f>$H$385*1000/$F$10</f>
        <v>669.6629132924794</v>
      </c>
      <c r="L536" s="3"/>
      <c r="M536" s="3"/>
      <c r="N536" s="3"/>
      <c r="O536" s="3"/>
      <c r="P536" s="3"/>
      <c r="Q536" s="3"/>
      <c r="R536" s="3"/>
      <c r="S536" s="3"/>
      <c r="T536" s="3"/>
      <c r="U536" s="3"/>
      <c r="V536" s="3"/>
      <c r="W536" s="3"/>
      <c r="X536" s="3"/>
      <c r="Y536" s="3"/>
      <c r="Z536" s="3"/>
    </row>
    <row r="537" spans="1:26" ht="12.75" x14ac:dyDescent="0.2">
      <c r="A537" s="3"/>
      <c r="B537" s="354"/>
      <c r="C537" s="378">
        <v>140</v>
      </c>
      <c r="D537" s="621">
        <f t="dataTable" ref="D537:F542" dt2D="0" dtr="0" r1="F10" ca="1"/>
        <v>5357.3679089851721</v>
      </c>
      <c r="E537" s="622">
        <v>44501979.160516679</v>
      </c>
      <c r="F537" s="622">
        <v>794.19380807730136</v>
      </c>
      <c r="G537" s="358"/>
      <c r="H537" s="365">
        <v>-0.02</v>
      </c>
      <c r="I537" s="621">
        <f t="dataTable" ref="I537:K542" dt2D="0" dtr="0" r1="F11" ca="1"/>
        <v>4674.0892268334946</v>
      </c>
      <c r="J537" s="622">
        <v>36663183.125963777</v>
      </c>
      <c r="K537" s="622">
        <v>682.5056804373321</v>
      </c>
      <c r="L537" s="3"/>
      <c r="M537" s="3"/>
      <c r="N537" s="3"/>
      <c r="O537" s="3"/>
      <c r="P537" s="3"/>
      <c r="Q537" s="3"/>
      <c r="R537" s="3"/>
      <c r="S537" s="3"/>
      <c r="T537" s="3"/>
      <c r="U537" s="3"/>
      <c r="V537" s="3"/>
      <c r="W537" s="3"/>
      <c r="X537" s="3"/>
      <c r="Y537" s="3"/>
      <c r="Z537" s="3"/>
    </row>
    <row r="538" spans="1:26" ht="12.75" x14ac:dyDescent="0.2">
      <c r="A538" s="3"/>
      <c r="B538" s="354"/>
      <c r="C538" s="379">
        <v>150</v>
      </c>
      <c r="D538" s="613">
        <v>4881.7048686515755</v>
      </c>
      <c r="E538" s="614">
        <v>37518800.753786311</v>
      </c>
      <c r="F538" s="614">
        <v>719.62673409630236</v>
      </c>
      <c r="G538" s="358"/>
      <c r="H538" s="368">
        <v>-0.01</v>
      </c>
      <c r="I538" s="613">
        <v>4619.7874959100682</v>
      </c>
      <c r="J538" s="614">
        <v>34793862.799741983</v>
      </c>
      <c r="K538" s="614">
        <v>676.11672809506979</v>
      </c>
      <c r="L538" s="3"/>
      <c r="M538" s="3"/>
      <c r="N538" s="3"/>
      <c r="O538" s="3"/>
      <c r="P538" s="3"/>
      <c r="Q538" s="3"/>
      <c r="R538" s="3"/>
      <c r="S538" s="3"/>
      <c r="T538" s="3"/>
      <c r="U538" s="3"/>
      <c r="V538" s="3"/>
      <c r="W538" s="3"/>
      <c r="X538" s="3"/>
      <c r="Y538" s="3"/>
      <c r="Z538" s="3"/>
    </row>
    <row r="539" spans="1:26" ht="12.75" x14ac:dyDescent="0.2">
      <c r="A539" s="3"/>
      <c r="B539" s="354"/>
      <c r="C539" s="380">
        <v>157.54</v>
      </c>
      <c r="D539" s="617">
        <v>4562.9858732369848</v>
      </c>
      <c r="E539" s="618">
        <v>32839707.744934857</v>
      </c>
      <c r="F539" s="618">
        <v>669.6629132924794</v>
      </c>
      <c r="G539" s="358"/>
      <c r="H539" s="371">
        <v>0</v>
      </c>
      <c r="I539" s="617">
        <v>4562.9858732369848</v>
      </c>
      <c r="J539" s="618">
        <v>32839707.744934857</v>
      </c>
      <c r="K539" s="618">
        <v>669.6629132924794</v>
      </c>
      <c r="L539" s="3"/>
      <c r="M539" s="3"/>
      <c r="N539" s="3"/>
      <c r="O539" s="3"/>
      <c r="P539" s="3"/>
      <c r="Q539" s="3"/>
      <c r="R539" s="3"/>
      <c r="S539" s="3"/>
      <c r="T539" s="3"/>
      <c r="U539" s="3"/>
      <c r="V539" s="3"/>
      <c r="W539" s="3"/>
      <c r="X539" s="3"/>
      <c r="Y539" s="3"/>
      <c r="Z539" s="3"/>
    </row>
    <row r="540" spans="1:26" ht="12.75" x14ac:dyDescent="0.2">
      <c r="A540" s="3"/>
      <c r="B540" s="354"/>
      <c r="C540" s="379">
        <v>165</v>
      </c>
      <c r="D540" s="613">
        <v>4276.3155445906341</v>
      </c>
      <c r="E540" s="614">
        <v>28631119.145220388</v>
      </c>
      <c r="F540" s="614">
        <v>624.72318539321316</v>
      </c>
      <c r="G540" s="358"/>
      <c r="H540" s="597">
        <v>0.01</v>
      </c>
      <c r="I540" s="615">
        <v>4503.5625904768594</v>
      </c>
      <c r="J540" s="616">
        <v>30796602.258186597</v>
      </c>
      <c r="K540" s="616">
        <v>663.14423602956299</v>
      </c>
      <c r="L540" s="3"/>
      <c r="M540" s="3"/>
      <c r="N540" s="3"/>
      <c r="O540" s="3"/>
      <c r="P540" s="3"/>
      <c r="Q540" s="3"/>
      <c r="R540" s="3"/>
      <c r="S540" s="3"/>
      <c r="T540" s="3"/>
      <c r="U540" s="3"/>
      <c r="V540" s="3"/>
      <c r="W540" s="3"/>
      <c r="X540" s="3"/>
      <c r="Y540" s="3"/>
      <c r="Z540" s="3"/>
    </row>
    <row r="541" spans="1:26" ht="12.75" x14ac:dyDescent="0.2">
      <c r="A541" s="3"/>
      <c r="B541" s="354"/>
      <c r="C541" s="379">
        <v>175</v>
      </c>
      <c r="D541" s="613">
        <v>3930.3787879843826</v>
      </c>
      <c r="E541" s="614">
        <v>23552443.940325581</v>
      </c>
      <c r="F541" s="614">
        <v>570.49258613430538</v>
      </c>
      <c r="G541" s="358"/>
      <c r="H541" s="368">
        <v>0.02</v>
      </c>
      <c r="I541" s="613">
        <v>4441.3902815765468</v>
      </c>
      <c r="J541" s="614">
        <v>28660240.040115662</v>
      </c>
      <c r="K541" s="614">
        <v>656.5606963063176</v>
      </c>
      <c r="L541" s="3"/>
      <c r="M541" s="3"/>
      <c r="N541" s="3"/>
      <c r="O541" s="3"/>
      <c r="P541" s="3"/>
      <c r="Q541" s="3"/>
      <c r="R541" s="3"/>
      <c r="S541" s="3"/>
      <c r="T541" s="3"/>
      <c r="U541" s="3"/>
      <c r="V541" s="3"/>
      <c r="W541" s="3"/>
      <c r="X541" s="3"/>
      <c r="Y541" s="3"/>
      <c r="Z541" s="3"/>
    </row>
    <row r="542" spans="1:26" ht="12.75" x14ac:dyDescent="0.2">
      <c r="A542" s="3"/>
      <c r="B542" s="354"/>
      <c r="C542" s="381">
        <v>185</v>
      </c>
      <c r="D542" s="619">
        <v>3621.8405996598876</v>
      </c>
      <c r="E542" s="620">
        <v>19022814.703527484</v>
      </c>
      <c r="F542" s="620">
        <v>522.12475436284649</v>
      </c>
      <c r="G542" s="358"/>
      <c r="H542" s="375">
        <v>0.05</v>
      </c>
      <c r="I542" s="619">
        <v>4237.0167636191945</v>
      </c>
      <c r="J542" s="620">
        <v>21645525.498183589</v>
      </c>
      <c r="K542" s="620">
        <v>636.42090237461787</v>
      </c>
      <c r="L542" s="3"/>
      <c r="M542" s="3"/>
      <c r="N542" s="3"/>
      <c r="O542" s="3"/>
      <c r="P542" s="3"/>
      <c r="Q542" s="3"/>
      <c r="R542" s="3"/>
      <c r="S542" s="3"/>
      <c r="T542" s="3"/>
      <c r="U542" s="3"/>
      <c r="V542" s="3"/>
      <c r="W542" s="3"/>
      <c r="X542" s="3"/>
      <c r="Y542" s="3"/>
      <c r="Z542" s="3"/>
    </row>
    <row r="543" spans="1:26" ht="12.75" x14ac:dyDescent="0.2">
      <c r="A543" s="3"/>
      <c r="B543" s="354"/>
      <c r="C543" s="354"/>
      <c r="D543" s="354"/>
      <c r="E543" s="354"/>
      <c r="F543" s="354"/>
      <c r="G543" s="354"/>
      <c r="H543" s="354"/>
      <c r="I543" s="354"/>
      <c r="J543" s="354"/>
      <c r="K543" s="354"/>
      <c r="L543" s="3"/>
      <c r="M543" s="3"/>
      <c r="N543" s="3"/>
      <c r="O543" s="3"/>
      <c r="P543" s="3"/>
      <c r="Q543" s="3"/>
      <c r="R543" s="3"/>
      <c r="S543" s="3"/>
      <c r="T543" s="3"/>
      <c r="U543" s="3"/>
      <c r="V543" s="3"/>
      <c r="W543" s="3"/>
      <c r="X543" s="3"/>
      <c r="Y543" s="3"/>
      <c r="Z543" s="3"/>
    </row>
    <row r="544" spans="1:26" ht="25.5" x14ac:dyDescent="0.2">
      <c r="A544" s="3"/>
      <c r="B544" s="354"/>
      <c r="C544" s="359" t="s">
        <v>21</v>
      </c>
      <c r="D544" s="360" t="s">
        <v>812</v>
      </c>
      <c r="E544" s="657" t="s">
        <v>813</v>
      </c>
      <c r="F544" s="361" t="s">
        <v>814</v>
      </c>
      <c r="G544" s="358"/>
      <c r="H544" s="359" t="s">
        <v>23</v>
      </c>
      <c r="I544" s="662" t="s">
        <v>812</v>
      </c>
      <c r="J544" s="361" t="s">
        <v>813</v>
      </c>
      <c r="K544" s="657" t="s">
        <v>814</v>
      </c>
      <c r="L544" s="3"/>
      <c r="M544" s="3"/>
      <c r="N544" s="3"/>
      <c r="O544" s="3"/>
      <c r="P544" s="3"/>
      <c r="Q544" s="3"/>
      <c r="R544" s="3"/>
      <c r="S544" s="3"/>
      <c r="T544" s="3"/>
      <c r="U544" s="3"/>
      <c r="V544" s="3"/>
      <c r="W544" s="3"/>
      <c r="X544" s="3"/>
      <c r="Y544" s="3"/>
      <c r="Z544" s="3"/>
    </row>
    <row r="545" spans="1:26" ht="12.75" x14ac:dyDescent="0.2">
      <c r="A545" s="3"/>
      <c r="B545" s="354"/>
      <c r="C545" s="362"/>
      <c r="D545" s="363">
        <f>$F$388</f>
        <v>4562.9858732369848</v>
      </c>
      <c r="E545" s="364">
        <f>$F$519</f>
        <v>32839707.744934857</v>
      </c>
      <c r="F545" s="364">
        <f>$H$385*1000/$F$10</f>
        <v>669.6629132924794</v>
      </c>
      <c r="G545" s="358"/>
      <c r="H545" s="362"/>
      <c r="I545" s="363">
        <f>$F$388</f>
        <v>4562.9858732369848</v>
      </c>
      <c r="J545" s="364">
        <f>$F$519</f>
        <v>32839707.744934857</v>
      </c>
      <c r="K545" s="364">
        <f>$H$385*1000/$F$10</f>
        <v>669.6629132924794</v>
      </c>
      <c r="L545" s="3"/>
      <c r="M545" s="3"/>
      <c r="N545" s="3"/>
      <c r="O545" s="3"/>
      <c r="P545" s="3"/>
      <c r="Q545" s="3"/>
      <c r="R545" s="3"/>
      <c r="S545" s="3"/>
      <c r="T545" s="3"/>
      <c r="U545" s="3"/>
      <c r="V545" s="3"/>
      <c r="W545" s="3"/>
      <c r="X545" s="3"/>
      <c r="Y545" s="3"/>
      <c r="Z545" s="3"/>
    </row>
    <row r="546" spans="1:26" ht="12.75" x14ac:dyDescent="0.2">
      <c r="A546" s="3"/>
      <c r="B546" s="354"/>
      <c r="C546" s="382">
        <v>7.0000000000000007E-2</v>
      </c>
      <c r="D546" s="621">
        <f t="dataTable" ref="D546:F551" dt2D="0" dtr="0" r1="F19" ca="1"/>
        <v>6909.8862694798108</v>
      </c>
      <c r="E546" s="668">
        <v>32839707.744934857</v>
      </c>
      <c r="F546" s="622">
        <v>669.6629132924794</v>
      </c>
      <c r="G546" s="358"/>
      <c r="H546" s="365">
        <v>0.06</v>
      </c>
      <c r="I546" s="667">
        <f t="dataTable" ref="I546:K551" dt2D="0" dtr="0" r1="F20" ca="1"/>
        <v>4562.9858732369848</v>
      </c>
      <c r="J546" s="622">
        <v>55159983.07932622</v>
      </c>
      <c r="K546" s="668">
        <v>669.6629132924794</v>
      </c>
      <c r="L546" s="3"/>
      <c r="M546" s="3"/>
      <c r="N546" s="3"/>
      <c r="O546" s="3"/>
      <c r="P546" s="3"/>
      <c r="Q546" s="3"/>
      <c r="R546" s="3"/>
      <c r="S546" s="3"/>
      <c r="T546" s="3"/>
      <c r="U546" s="3"/>
      <c r="V546" s="3"/>
      <c r="W546" s="3"/>
      <c r="X546" s="3"/>
      <c r="Y546" s="3"/>
      <c r="Z546" s="3"/>
    </row>
    <row r="547" spans="1:26" ht="12.75" x14ac:dyDescent="0.2">
      <c r="A547" s="3"/>
      <c r="B547" s="354"/>
      <c r="C547" s="383">
        <v>0.1</v>
      </c>
      <c r="D547" s="613">
        <v>6029.3176679585604</v>
      </c>
      <c r="E547" s="658">
        <v>32839707.744934857</v>
      </c>
      <c r="F547" s="614">
        <v>669.6629132924794</v>
      </c>
      <c r="G547" s="358"/>
      <c r="H547" s="368">
        <v>0.08</v>
      </c>
      <c r="I547" s="663">
        <v>4562.9858732369848</v>
      </c>
      <c r="J547" s="614">
        <v>46255769.420905195</v>
      </c>
      <c r="K547" s="658">
        <v>669.6629132924794</v>
      </c>
      <c r="L547" s="3"/>
      <c r="M547" s="3"/>
      <c r="N547" s="3"/>
      <c r="O547" s="3"/>
      <c r="P547" s="3"/>
      <c r="Q547" s="3"/>
      <c r="R547" s="3"/>
      <c r="S547" s="3"/>
      <c r="T547" s="3"/>
      <c r="U547" s="3"/>
      <c r="V547" s="3"/>
      <c r="W547" s="3"/>
      <c r="X547" s="3"/>
      <c r="Y547" s="3"/>
      <c r="Z547" s="3"/>
    </row>
    <row r="548" spans="1:26" ht="12.75" x14ac:dyDescent="0.2">
      <c r="A548" s="3"/>
      <c r="B548" s="354"/>
      <c r="C548" s="384">
        <v>0.12</v>
      </c>
      <c r="D548" s="615">
        <v>5531.5538931039673</v>
      </c>
      <c r="E548" s="659">
        <v>32839707.744934857</v>
      </c>
      <c r="F548" s="616">
        <v>669.6629132924794</v>
      </c>
      <c r="G548" s="358"/>
      <c r="H548" s="368">
        <v>0.1</v>
      </c>
      <c r="I548" s="663">
        <v>4562.9858732369848</v>
      </c>
      <c r="J548" s="614">
        <v>38916596.698279366</v>
      </c>
      <c r="K548" s="658">
        <v>669.6629132924794</v>
      </c>
      <c r="L548" s="3"/>
      <c r="M548" s="3"/>
      <c r="N548" s="3"/>
      <c r="O548" s="3"/>
      <c r="P548" s="3"/>
      <c r="Q548" s="3"/>
      <c r="R548" s="3"/>
      <c r="S548" s="3"/>
      <c r="T548" s="3"/>
      <c r="U548" s="3"/>
      <c r="V548" s="3"/>
      <c r="W548" s="3"/>
      <c r="X548" s="3"/>
      <c r="Y548" s="3"/>
      <c r="Z548" s="3"/>
    </row>
    <row r="549" spans="1:26" ht="12.75" x14ac:dyDescent="0.2">
      <c r="A549" s="3"/>
      <c r="B549" s="354"/>
      <c r="C549" s="387">
        <v>0.16800000000000001</v>
      </c>
      <c r="D549" s="617">
        <v>4562.9858732369848</v>
      </c>
      <c r="E549" s="660">
        <v>32839707.744934857</v>
      </c>
      <c r="F549" s="618">
        <v>669.6629132924794</v>
      </c>
      <c r="G549" s="358"/>
      <c r="H549" s="371">
        <v>0.12</v>
      </c>
      <c r="I549" s="665">
        <v>4562.9858732369848</v>
      </c>
      <c r="J549" s="618">
        <v>32839707.744934857</v>
      </c>
      <c r="K549" s="660">
        <v>669.6629132924794</v>
      </c>
      <c r="L549" s="3"/>
      <c r="M549" s="3"/>
      <c r="N549" s="3"/>
      <c r="O549" s="3"/>
      <c r="P549" s="3"/>
      <c r="Q549" s="3"/>
      <c r="R549" s="3"/>
      <c r="S549" s="3"/>
      <c r="T549" s="3"/>
      <c r="U549" s="3"/>
      <c r="V549" s="3"/>
      <c r="W549" s="3"/>
      <c r="X549" s="3"/>
      <c r="Y549" s="3"/>
      <c r="Z549" s="3"/>
    </row>
    <row r="550" spans="1:26" ht="12.75" x14ac:dyDescent="0.2">
      <c r="A550" s="3"/>
      <c r="B550" s="354"/>
      <c r="C550" s="383">
        <v>0.2</v>
      </c>
      <c r="D550" s="613">
        <v>4055.4046648919639</v>
      </c>
      <c r="E550" s="658">
        <v>32839707.744934857</v>
      </c>
      <c r="F550" s="614">
        <v>669.6629132924794</v>
      </c>
      <c r="G550" s="358"/>
      <c r="H550" s="368">
        <v>0.14000000000000001</v>
      </c>
      <c r="I550" s="663">
        <v>4562.9858732369848</v>
      </c>
      <c r="J550" s="614">
        <v>27786099.528976765</v>
      </c>
      <c r="K550" s="658">
        <v>669.6629132924794</v>
      </c>
      <c r="L550" s="3"/>
      <c r="M550" s="3"/>
      <c r="N550" s="3"/>
      <c r="O550" s="3"/>
      <c r="P550" s="3"/>
      <c r="Q550" s="3"/>
      <c r="R550" s="3"/>
      <c r="S550" s="3"/>
      <c r="T550" s="3"/>
      <c r="U550" s="3"/>
      <c r="V550" s="3"/>
      <c r="W550" s="3"/>
      <c r="X550" s="3"/>
      <c r="Y550" s="3"/>
      <c r="Z550" s="3"/>
    </row>
    <row r="551" spans="1:26" ht="12.75" x14ac:dyDescent="0.2">
      <c r="A551" s="3"/>
      <c r="B551" s="354"/>
      <c r="C551" s="388">
        <v>0.25</v>
      </c>
      <c r="D551" s="619">
        <v>3424.1707321245262</v>
      </c>
      <c r="E551" s="661">
        <v>32839707.744934857</v>
      </c>
      <c r="F551" s="620">
        <v>669.6629132924794</v>
      </c>
      <c r="G551" s="358"/>
      <c r="H551" s="375">
        <v>0.16</v>
      </c>
      <c r="I551" s="666">
        <v>4562.9858732369848</v>
      </c>
      <c r="J551" s="620">
        <v>23566072.447169956</v>
      </c>
      <c r="K551" s="661">
        <v>669.6629132924794</v>
      </c>
      <c r="L551" s="3"/>
      <c r="M551" s="3"/>
      <c r="N551" s="3"/>
      <c r="O551" s="3"/>
      <c r="P551" s="3"/>
      <c r="Q551" s="3"/>
      <c r="R551" s="3"/>
      <c r="S551" s="3"/>
      <c r="T551" s="3"/>
      <c r="U551" s="3"/>
      <c r="V551" s="3"/>
      <c r="W551" s="3"/>
      <c r="X551" s="3"/>
      <c r="Y551" s="3"/>
      <c r="Z551" s="3"/>
    </row>
    <row r="552" spans="1:26" ht="12.75"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38.25" x14ac:dyDescent="0.2">
      <c r="A553" s="3"/>
      <c r="B553" s="3"/>
      <c r="C553" s="359" t="s">
        <v>950</v>
      </c>
      <c r="D553" s="360" t="s">
        <v>812</v>
      </c>
      <c r="E553" s="361" t="s">
        <v>813</v>
      </c>
      <c r="F553" s="361" t="s">
        <v>814</v>
      </c>
      <c r="G553" s="3"/>
      <c r="H553" s="359" t="s">
        <v>911</v>
      </c>
      <c r="I553" s="360" t="s">
        <v>812</v>
      </c>
      <c r="J553" s="361" t="s">
        <v>813</v>
      </c>
      <c r="K553" s="361" t="s">
        <v>814</v>
      </c>
      <c r="L553" s="3"/>
      <c r="M553" s="3"/>
      <c r="N553" s="3"/>
      <c r="O553" s="3"/>
      <c r="P553" s="3"/>
      <c r="Q553" s="3"/>
      <c r="R553" s="3"/>
      <c r="S553" s="3"/>
      <c r="T553" s="3"/>
      <c r="U553" s="3"/>
      <c r="V553" s="3"/>
      <c r="W553" s="3"/>
      <c r="X553" s="3"/>
      <c r="Y553" s="3"/>
      <c r="Z553" s="3"/>
    </row>
    <row r="554" spans="1:26" ht="12.75" x14ac:dyDescent="0.2">
      <c r="A554" s="3"/>
      <c r="B554" s="3"/>
      <c r="C554" s="362"/>
      <c r="D554" s="363">
        <f>$F$388</f>
        <v>4562.9858732369848</v>
      </c>
      <c r="E554" s="364">
        <f>$F$519</f>
        <v>32839707.744934857</v>
      </c>
      <c r="F554" s="364">
        <f>$H$385*1000/$F$10</f>
        <v>669.6629132924794</v>
      </c>
      <c r="G554" s="3"/>
      <c r="H554" s="362"/>
      <c r="I554" s="363">
        <f>$F$388</f>
        <v>4562.9858732369848</v>
      </c>
      <c r="J554" s="364">
        <f>$F$519</f>
        <v>32839707.744934857</v>
      </c>
      <c r="K554" s="364">
        <f>$H$385*1000/$F$10</f>
        <v>669.6629132924794</v>
      </c>
      <c r="L554" s="3"/>
      <c r="M554" s="3"/>
      <c r="N554" s="3"/>
      <c r="O554" s="3"/>
      <c r="P554" s="3"/>
      <c r="Q554" s="3"/>
      <c r="R554" s="3"/>
      <c r="S554" s="3"/>
      <c r="T554" s="3"/>
      <c r="U554" s="3"/>
      <c r="V554" s="3"/>
      <c r="W554" s="3"/>
      <c r="X554" s="3"/>
      <c r="Y554" s="3"/>
      <c r="Z554" s="3"/>
    </row>
    <row r="555" spans="1:26" ht="12.75" x14ac:dyDescent="0.2">
      <c r="A555" s="3"/>
      <c r="B555" s="3"/>
      <c r="C555" s="382">
        <v>-0.03</v>
      </c>
      <c r="D555" s="621">
        <f t="dataTable" ref="D555:F562" dt2D="0" dtr="0" r1="F55" ca="1"/>
        <v>4795.2350075403447</v>
      </c>
      <c r="E555" s="622">
        <v>39401336.380967736</v>
      </c>
      <c r="F555" s="622">
        <v>699.69472487340772</v>
      </c>
      <c r="G555" s="3"/>
      <c r="H555" s="382">
        <v>-0.03</v>
      </c>
      <c r="I555" s="621">
        <f t="dataTable" ref="I555:K562" dt2D="0" dtr="0" r1="F85" ca="1"/>
        <v>4630.3427405088687</v>
      </c>
      <c r="J555" s="622">
        <v>35046935.968294218</v>
      </c>
      <c r="K555" s="622">
        <v>681.95191798969961</v>
      </c>
      <c r="L555" s="3"/>
      <c r="M555" s="3"/>
      <c r="N555" s="3"/>
      <c r="O555" s="3"/>
      <c r="P555" s="3"/>
      <c r="Q555" s="3"/>
      <c r="R555" s="3"/>
      <c r="S555" s="3"/>
      <c r="T555" s="3"/>
      <c r="U555" s="3"/>
      <c r="V555" s="3"/>
      <c r="W555" s="3"/>
      <c r="X555" s="3"/>
      <c r="Y555" s="3"/>
      <c r="Z555" s="3"/>
    </row>
    <row r="556" spans="1:26" ht="12.75" x14ac:dyDescent="0.2">
      <c r="A556" s="3"/>
      <c r="B556" s="3"/>
      <c r="C556" s="383">
        <v>-0.02</v>
      </c>
      <c r="D556" s="613">
        <v>4721.2037688354803</v>
      </c>
      <c r="E556" s="614">
        <v>37310206.375283629</v>
      </c>
      <c r="F556" s="614">
        <v>689.78575150914094</v>
      </c>
      <c r="G556" s="3"/>
      <c r="H556" s="383">
        <v>-0.02</v>
      </c>
      <c r="I556" s="613">
        <v>4607.8904514182404</v>
      </c>
      <c r="J556" s="614">
        <v>34311193.227174439</v>
      </c>
      <c r="K556" s="614">
        <v>677.85558309062628</v>
      </c>
      <c r="L556" s="3"/>
      <c r="M556" s="3"/>
      <c r="N556" s="3"/>
      <c r="O556" s="3"/>
      <c r="P556" s="3"/>
      <c r="Q556" s="3"/>
      <c r="R556" s="3"/>
      <c r="S556" s="3"/>
      <c r="T556" s="3"/>
      <c r="U556" s="3"/>
      <c r="V556" s="3"/>
      <c r="W556" s="3"/>
      <c r="X556" s="3"/>
      <c r="Y556" s="3"/>
      <c r="Z556" s="3"/>
    </row>
    <row r="557" spans="1:26" ht="12.75" x14ac:dyDescent="0.2">
      <c r="A557" s="3"/>
      <c r="B557" s="3"/>
      <c r="C557" s="384">
        <v>-0.01</v>
      </c>
      <c r="D557" s="615">
        <v>4643.8413071003088</v>
      </c>
      <c r="E557" s="616">
        <v>35124539.841240041</v>
      </c>
      <c r="F557" s="616">
        <v>679.77514764883233</v>
      </c>
      <c r="G557" s="3"/>
      <c r="H557" s="384">
        <v>-0.01</v>
      </c>
      <c r="I557" s="615">
        <v>4585.438162327614</v>
      </c>
      <c r="J557" s="616">
        <v>33575450.486054644</v>
      </c>
      <c r="K557" s="616">
        <v>673.75924819155375</v>
      </c>
      <c r="L557" s="3"/>
      <c r="M557" s="3"/>
      <c r="N557" s="3"/>
      <c r="O557" s="3"/>
      <c r="P557" s="3"/>
      <c r="Q557" s="3"/>
      <c r="R557" s="3"/>
      <c r="S557" s="3"/>
      <c r="T557" s="3"/>
      <c r="U557" s="3"/>
      <c r="V557" s="3"/>
      <c r="W557" s="3"/>
      <c r="X557" s="3"/>
      <c r="Y557" s="3"/>
      <c r="Z557" s="3"/>
    </row>
    <row r="558" spans="1:26" ht="12.75" x14ac:dyDescent="0.2">
      <c r="A558" s="3"/>
      <c r="B558" s="3"/>
      <c r="C558" s="602">
        <v>0</v>
      </c>
      <c r="D558" s="617">
        <v>4562.9858732369848</v>
      </c>
      <c r="E558" s="618">
        <v>32839707.744934857</v>
      </c>
      <c r="F558" s="618">
        <v>669.6629132924794</v>
      </c>
      <c r="G558" s="3"/>
      <c r="H558" s="602">
        <v>0</v>
      </c>
      <c r="I558" s="617">
        <v>4562.9858732369848</v>
      </c>
      <c r="J558" s="618">
        <v>32839707.744934857</v>
      </c>
      <c r="K558" s="618">
        <v>669.6629132924794</v>
      </c>
      <c r="L558" s="3"/>
      <c r="M558" s="3"/>
      <c r="N558" s="3"/>
      <c r="O558" s="3"/>
      <c r="P558" s="3"/>
      <c r="Q558" s="3"/>
      <c r="R558" s="3"/>
      <c r="S558" s="3"/>
      <c r="T558" s="3"/>
      <c r="U558" s="3"/>
      <c r="V558" s="3"/>
      <c r="W558" s="3"/>
      <c r="X558" s="3"/>
      <c r="Y558" s="3"/>
      <c r="Z558" s="3"/>
    </row>
    <row r="559" spans="1:26" ht="12.75" x14ac:dyDescent="0.2">
      <c r="A559" s="3"/>
      <c r="B559" s="3"/>
      <c r="C559" s="383">
        <v>0.01</v>
      </c>
      <c r="D559" s="613">
        <v>4478.4682362864296</v>
      </c>
      <c r="E559" s="614">
        <v>30450864.280745286</v>
      </c>
      <c r="F559" s="614">
        <v>659.44904844008431</v>
      </c>
      <c r="G559" s="3"/>
      <c r="H559" s="383">
        <v>0.01</v>
      </c>
      <c r="I559" s="613">
        <v>4540.5335841463575</v>
      </c>
      <c r="J559" s="614">
        <v>32103965.003815081</v>
      </c>
      <c r="K559" s="614">
        <v>665.56657839340687</v>
      </c>
      <c r="L559" s="3"/>
      <c r="M559" s="3"/>
      <c r="N559" s="3"/>
      <c r="O559" s="3"/>
      <c r="P559" s="3"/>
      <c r="Q559" s="3"/>
      <c r="R559" s="3"/>
      <c r="S559" s="3"/>
      <c r="T559" s="3"/>
      <c r="U559" s="3"/>
      <c r="V559" s="3"/>
      <c r="W559" s="3"/>
      <c r="X559" s="3"/>
      <c r="Y559" s="3"/>
      <c r="Z559" s="3"/>
    </row>
    <row r="560" spans="1:26" ht="12.75" x14ac:dyDescent="0.2">
      <c r="A560" s="3"/>
      <c r="B560" s="3"/>
      <c r="C560" s="383">
        <v>0.02</v>
      </c>
      <c r="D560" s="613">
        <v>4390.1113783930095</v>
      </c>
      <c r="E560" s="614">
        <v>27952937.923925161</v>
      </c>
      <c r="F560" s="614">
        <v>649.13355309164194</v>
      </c>
      <c r="G560" s="3"/>
      <c r="H560" s="383">
        <v>0.02</v>
      </c>
      <c r="I560" s="613">
        <v>4518.0812950557311</v>
      </c>
      <c r="J560" s="614">
        <v>31368222.26269529</v>
      </c>
      <c r="K560" s="614">
        <v>661.47024349433354</v>
      </c>
      <c r="L560" s="3"/>
      <c r="M560" s="3"/>
      <c r="N560" s="3"/>
      <c r="O560" s="3"/>
      <c r="P560" s="3"/>
      <c r="Q560" s="3"/>
      <c r="R560" s="3"/>
      <c r="S560" s="3"/>
      <c r="T560" s="3"/>
      <c r="U560" s="3"/>
      <c r="V560" s="3"/>
      <c r="W560" s="3"/>
      <c r="X560" s="3"/>
      <c r="Y560" s="3"/>
      <c r="Z560" s="3"/>
    </row>
    <row r="561" spans="1:26" ht="12.75" x14ac:dyDescent="0.2">
      <c r="A561" s="3"/>
      <c r="B561" s="3"/>
      <c r="C561" s="383">
        <v>0.03</v>
      </c>
      <c r="D561" s="613">
        <v>4297.7301794907753</v>
      </c>
      <c r="E561" s="614">
        <v>25340622.178658321</v>
      </c>
      <c r="F561" s="614">
        <v>638.71642724715957</v>
      </c>
      <c r="G561" s="3"/>
      <c r="H561" s="383">
        <v>0.03</v>
      </c>
      <c r="I561" s="613">
        <v>4495.6290059651037</v>
      </c>
      <c r="J561" s="614">
        <v>30632479.521575492</v>
      </c>
      <c r="K561" s="614">
        <v>657.37390859526022</v>
      </c>
      <c r="L561" s="3"/>
      <c r="M561" s="3"/>
      <c r="N561" s="3"/>
      <c r="O561" s="3"/>
      <c r="P561" s="3"/>
      <c r="Q561" s="3"/>
      <c r="R561" s="3"/>
      <c r="S561" s="3"/>
      <c r="T561" s="3"/>
      <c r="U561" s="3"/>
      <c r="V561" s="3"/>
      <c r="W561" s="3"/>
      <c r="X561" s="3"/>
      <c r="Y561" s="3"/>
      <c r="Z561" s="3"/>
    </row>
    <row r="562" spans="1:26" ht="12.75" x14ac:dyDescent="0.2">
      <c r="A562" s="3"/>
      <c r="B562" s="3"/>
      <c r="C562" s="388">
        <v>0.04</v>
      </c>
      <c r="D562" s="619">
        <v>4201.1310914460946</v>
      </c>
      <c r="E562" s="620">
        <v>22608366.013651572</v>
      </c>
      <c r="F562" s="620">
        <v>628.19767090663152</v>
      </c>
      <c r="G562" s="3"/>
      <c r="H562" s="388">
        <v>0.04</v>
      </c>
      <c r="I562" s="619">
        <v>4473.1767168744764</v>
      </c>
      <c r="J562" s="620">
        <v>29896736.780455701</v>
      </c>
      <c r="K562" s="620">
        <v>653.27757369618689</v>
      </c>
      <c r="L562" s="3"/>
      <c r="M562" s="3"/>
      <c r="N562" s="3"/>
      <c r="O562" s="3"/>
      <c r="P562" s="3"/>
      <c r="Q562" s="3"/>
      <c r="R562" s="3"/>
      <c r="S562" s="3"/>
      <c r="T562" s="3"/>
      <c r="U562" s="3"/>
      <c r="V562" s="3"/>
      <c r="W562" s="3"/>
      <c r="X562" s="3"/>
      <c r="Y562" s="3"/>
      <c r="Z562" s="3"/>
    </row>
    <row r="563" spans="1:26" ht="12.75"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51" x14ac:dyDescent="0.2">
      <c r="A564" s="3"/>
      <c r="B564" s="3"/>
      <c r="C564" s="359" t="s">
        <v>952</v>
      </c>
      <c r="D564" s="360" t="s">
        <v>812</v>
      </c>
      <c r="E564" s="361" t="s">
        <v>813</v>
      </c>
      <c r="F564" s="361" t="s">
        <v>814</v>
      </c>
      <c r="G564" s="3"/>
      <c r="H564" s="359" t="s">
        <v>953</v>
      </c>
      <c r="I564" s="360" t="s">
        <v>812</v>
      </c>
      <c r="J564" s="361" t="s">
        <v>813</v>
      </c>
      <c r="K564" s="361" t="s">
        <v>814</v>
      </c>
      <c r="L564" s="3"/>
      <c r="M564" s="3"/>
      <c r="N564" s="3"/>
      <c r="O564" s="3"/>
      <c r="P564" s="3"/>
      <c r="Q564" s="3"/>
      <c r="R564" s="3"/>
      <c r="S564" s="3"/>
      <c r="T564" s="3"/>
      <c r="U564" s="3"/>
      <c r="V564" s="3"/>
      <c r="W564" s="3"/>
      <c r="X564" s="3"/>
      <c r="Y564" s="3"/>
      <c r="Z564" s="3"/>
    </row>
    <row r="565" spans="1:26" ht="12.75" x14ac:dyDescent="0.2">
      <c r="A565" s="3"/>
      <c r="B565" s="3"/>
      <c r="C565" s="362"/>
      <c r="D565" s="363">
        <f>$F$388</f>
        <v>4562.9858732369848</v>
      </c>
      <c r="E565" s="364">
        <f>$F$519</f>
        <v>32839707.744934857</v>
      </c>
      <c r="F565" s="364">
        <f>$H$385*1000/$F$10</f>
        <v>669.6629132924794</v>
      </c>
      <c r="G565" s="3"/>
      <c r="H565" s="362"/>
      <c r="I565" s="363">
        <f>$F$388</f>
        <v>4562.9858732369848</v>
      </c>
      <c r="J565" s="364">
        <f>$F$519</f>
        <v>32839707.744934857</v>
      </c>
      <c r="K565" s="364">
        <f>$H$385*1000/$F$10</f>
        <v>669.6629132924794</v>
      </c>
      <c r="L565" s="3"/>
      <c r="M565" s="3"/>
      <c r="N565" s="3"/>
      <c r="O565" s="3"/>
      <c r="P565" s="3"/>
      <c r="Q565" s="3"/>
      <c r="R565" s="3"/>
      <c r="S565" s="3"/>
      <c r="T565" s="3"/>
      <c r="U565" s="3"/>
      <c r="V565" s="3"/>
      <c r="W565" s="3"/>
      <c r="X565" s="3"/>
      <c r="Y565" s="3"/>
      <c r="Z565" s="3"/>
    </row>
    <row r="566" spans="1:26" ht="12.75" x14ac:dyDescent="0.2">
      <c r="A566" s="3"/>
      <c r="B566" s="3"/>
      <c r="C566" s="382">
        <v>-0.03</v>
      </c>
      <c r="D566" s="621">
        <f t="dataTable" ref="D566:F573" dt2D="0" dtr="0" r1="F95" ca="1"/>
        <v>4247.2465972382888</v>
      </c>
      <c r="E566" s="622">
        <v>26943667.383748554</v>
      </c>
      <c r="F566" s="622">
        <v>615.86853892638169</v>
      </c>
      <c r="G566" s="3"/>
      <c r="H566" s="382">
        <v>-0.03</v>
      </c>
      <c r="I566" s="621">
        <f t="dataTable" ref="I566:K573" dt2D="0" dtr="0" r1="F84" ca="1"/>
        <v>4634.7774280444673</v>
      </c>
      <c r="J566" s="622">
        <v>34867891.534776583</v>
      </c>
      <c r="K566" s="622">
        <v>678.10362676207512</v>
      </c>
      <c r="L566" s="3"/>
      <c r="M566" s="3"/>
      <c r="N566" s="3"/>
      <c r="O566" s="3"/>
      <c r="P566" s="3"/>
      <c r="Q566" s="3"/>
      <c r="R566" s="3"/>
      <c r="S566" s="3"/>
      <c r="T566" s="3"/>
      <c r="U566" s="3"/>
      <c r="V566" s="3"/>
      <c r="W566" s="3"/>
      <c r="X566" s="3"/>
      <c r="Y566" s="3"/>
      <c r="Z566" s="3"/>
    </row>
    <row r="567" spans="1:26" ht="12.75" x14ac:dyDescent="0.2">
      <c r="A567" s="3"/>
      <c r="B567" s="3"/>
      <c r="C567" s="383">
        <v>-0.02</v>
      </c>
      <c r="D567" s="613">
        <v>4352.4930225711878</v>
      </c>
      <c r="E567" s="614">
        <v>28909014.170810647</v>
      </c>
      <c r="F567" s="614">
        <v>633.79999704841521</v>
      </c>
      <c r="G567" s="3"/>
      <c r="H567" s="383">
        <v>-0.02</v>
      </c>
      <c r="I567" s="613">
        <v>4611.9136432886226</v>
      </c>
      <c r="J567" s="614">
        <v>34222107.357878096</v>
      </c>
      <c r="K567" s="614">
        <v>675.31861977972119</v>
      </c>
      <c r="L567" s="3"/>
      <c r="M567" s="3"/>
      <c r="N567" s="3"/>
      <c r="O567" s="3"/>
      <c r="P567" s="3"/>
      <c r="Q567" s="3"/>
      <c r="R567" s="3"/>
      <c r="S567" s="3"/>
      <c r="T567" s="3"/>
      <c r="U567" s="3"/>
      <c r="V567" s="3"/>
      <c r="W567" s="3"/>
      <c r="X567" s="3"/>
      <c r="Y567" s="3"/>
      <c r="Z567" s="3"/>
    </row>
    <row r="568" spans="1:26" ht="12.75" x14ac:dyDescent="0.2">
      <c r="A568" s="3"/>
      <c r="B568" s="3"/>
      <c r="C568" s="384">
        <v>-0.01</v>
      </c>
      <c r="D568" s="615">
        <v>4457.739447904085</v>
      </c>
      <c r="E568" s="616">
        <v>30874360.95787276</v>
      </c>
      <c r="F568" s="616">
        <v>651.73145517044725</v>
      </c>
      <c r="G568" s="3"/>
      <c r="H568" s="384">
        <v>-0.01</v>
      </c>
      <c r="I568" s="615">
        <v>4588.000210273125</v>
      </c>
      <c r="J568" s="616">
        <v>33546535.050495833</v>
      </c>
      <c r="K568" s="616">
        <v>672.5050486231894</v>
      </c>
      <c r="L568" s="3"/>
      <c r="M568" s="3"/>
      <c r="N568" s="3"/>
      <c r="O568" s="3"/>
      <c r="P568" s="3"/>
      <c r="Q568" s="3"/>
      <c r="R568" s="3"/>
      <c r="S568" s="3"/>
      <c r="T568" s="3"/>
      <c r="U568" s="3"/>
      <c r="V568" s="3"/>
      <c r="W568" s="3"/>
      <c r="X568" s="3"/>
      <c r="Y568" s="3"/>
      <c r="Z568" s="3"/>
    </row>
    <row r="569" spans="1:26" ht="12.75" x14ac:dyDescent="0.2">
      <c r="A569" s="3"/>
      <c r="B569" s="3"/>
      <c r="C569" s="602">
        <v>0</v>
      </c>
      <c r="D569" s="617">
        <v>4562.9858732369848</v>
      </c>
      <c r="E569" s="618">
        <v>32839707.744934857</v>
      </c>
      <c r="F569" s="618">
        <v>669.6629132924794</v>
      </c>
      <c r="G569" s="3"/>
      <c r="H569" s="602">
        <v>0</v>
      </c>
      <c r="I569" s="617">
        <v>4562.9858732369848</v>
      </c>
      <c r="J569" s="618">
        <v>32839707.744934857</v>
      </c>
      <c r="K569" s="618">
        <v>669.6629132924794</v>
      </c>
      <c r="L569" s="3"/>
      <c r="M569" s="3"/>
      <c r="N569" s="3"/>
      <c r="O569" s="3"/>
      <c r="P569" s="3"/>
      <c r="Q569" s="3"/>
      <c r="R569" s="3"/>
      <c r="S569" s="3"/>
      <c r="T569" s="3"/>
      <c r="U569" s="3"/>
      <c r="V569" s="3"/>
      <c r="W569" s="3"/>
      <c r="X569" s="3"/>
      <c r="Y569" s="3"/>
      <c r="Z569" s="3"/>
    </row>
    <row r="570" spans="1:26" ht="12.75" x14ac:dyDescent="0.2">
      <c r="A570" s="3"/>
      <c r="B570" s="3"/>
      <c r="C570" s="383">
        <v>0.01</v>
      </c>
      <c r="D570" s="613">
        <v>4668.2322985698829</v>
      </c>
      <c r="E570" s="614">
        <v>34805054.531996965</v>
      </c>
      <c r="F570" s="614">
        <v>687.59437141451258</v>
      </c>
      <c r="G570" s="3"/>
      <c r="H570" s="383">
        <v>0.01</v>
      </c>
      <c r="I570" s="613">
        <v>4536.8170077573723</v>
      </c>
      <c r="J570" s="614">
        <v>32100089.948867224</v>
      </c>
      <c r="K570" s="614">
        <v>666.79221378759212</v>
      </c>
      <c r="L570" s="3"/>
      <c r="M570" s="3"/>
      <c r="N570" s="3"/>
      <c r="O570" s="3"/>
      <c r="P570" s="3"/>
      <c r="Q570" s="3"/>
      <c r="R570" s="3"/>
      <c r="S570" s="3"/>
      <c r="T570" s="3"/>
      <c r="U570" s="3"/>
      <c r="V570" s="3"/>
      <c r="W570" s="3"/>
      <c r="X570" s="3"/>
      <c r="Y570" s="3"/>
      <c r="Z570" s="3"/>
    </row>
    <row r="571" spans="1:26" ht="12.75" x14ac:dyDescent="0.2">
      <c r="A571" s="3"/>
      <c r="B571" s="3"/>
      <c r="C571" s="383">
        <v>0.02</v>
      </c>
      <c r="D571" s="613">
        <v>4773.4787239027792</v>
      </c>
      <c r="E571" s="614">
        <v>36770401.319059044</v>
      </c>
      <c r="F571" s="614">
        <v>705.52582953654428</v>
      </c>
      <c r="G571" s="3"/>
      <c r="H571" s="383">
        <v>0.02</v>
      </c>
      <c r="I571" s="613">
        <v>4509.4375242856022</v>
      </c>
      <c r="J571" s="614">
        <v>31326074.715871286</v>
      </c>
      <c r="K571" s="614">
        <v>663.89295010852618</v>
      </c>
      <c r="L571" s="3"/>
      <c r="M571" s="3"/>
      <c r="N571" s="3"/>
      <c r="O571" s="3"/>
      <c r="P571" s="3"/>
      <c r="Q571" s="3"/>
      <c r="R571" s="3"/>
      <c r="S571" s="3"/>
      <c r="T571" s="3"/>
      <c r="U571" s="3"/>
      <c r="V571" s="3"/>
      <c r="W571" s="3"/>
      <c r="X571" s="3"/>
      <c r="Y571" s="3"/>
      <c r="Z571" s="3"/>
    </row>
    <row r="572" spans="1:26" ht="12.75" x14ac:dyDescent="0.2">
      <c r="A572" s="3"/>
      <c r="B572" s="3"/>
      <c r="C572" s="383">
        <v>0.03</v>
      </c>
      <c r="D572" s="613">
        <v>4878.7251492356791</v>
      </c>
      <c r="E572" s="614">
        <v>38735748.106121168</v>
      </c>
      <c r="F572" s="614">
        <v>723.45728765857723</v>
      </c>
      <c r="G572" s="3"/>
      <c r="H572" s="383">
        <v>0.03</v>
      </c>
      <c r="I572" s="613">
        <v>4480.7887684331627</v>
      </c>
      <c r="J572" s="614">
        <v>30515980.719676625</v>
      </c>
      <c r="K572" s="614">
        <v>660.96512225528295</v>
      </c>
      <c r="L572" s="3"/>
      <c r="M572" s="3"/>
      <c r="N572" s="3"/>
      <c r="O572" s="3"/>
      <c r="P572" s="3"/>
      <c r="Q572" s="3"/>
      <c r="R572" s="3"/>
      <c r="S572" s="3"/>
      <c r="T572" s="3"/>
      <c r="U572" s="3"/>
      <c r="V572" s="3"/>
      <c r="W572" s="3"/>
      <c r="X572" s="3"/>
      <c r="Y572" s="3"/>
      <c r="Z572" s="3"/>
    </row>
    <row r="573" spans="1:26" ht="12.75" x14ac:dyDescent="0.2">
      <c r="A573" s="3"/>
      <c r="B573" s="3"/>
      <c r="C573" s="388">
        <v>0.04</v>
      </c>
      <c r="D573" s="619">
        <v>4983.9715745685799</v>
      </c>
      <c r="E573" s="620">
        <v>40701094.893183306</v>
      </c>
      <c r="F573" s="620">
        <v>741.38874578060995</v>
      </c>
      <c r="G573" s="3"/>
      <c r="H573" s="388">
        <v>0.04</v>
      </c>
      <c r="I573" s="619">
        <v>4450.8094179239561</v>
      </c>
      <c r="J573" s="620">
        <v>29668049.229612138</v>
      </c>
      <c r="K573" s="620">
        <v>658.00873022786084</v>
      </c>
      <c r="L573" s="3"/>
      <c r="M573" s="3"/>
      <c r="N573" s="3"/>
      <c r="O573" s="3"/>
      <c r="P573" s="3"/>
      <c r="Q573" s="3"/>
      <c r="R573" s="3"/>
      <c r="S573" s="3"/>
      <c r="T573" s="3"/>
      <c r="U573" s="3"/>
      <c r="V573" s="3"/>
      <c r="W573" s="3"/>
      <c r="X573" s="3"/>
      <c r="Y573" s="3"/>
      <c r="Z573" s="3"/>
    </row>
    <row r="574" spans="1:26" ht="12.75"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63.75" x14ac:dyDescent="0.2">
      <c r="A575" s="3"/>
      <c r="B575" s="3"/>
      <c r="C575" s="359" t="s">
        <v>955</v>
      </c>
      <c r="D575" s="360" t="s">
        <v>812</v>
      </c>
      <c r="E575" s="361" t="s">
        <v>813</v>
      </c>
      <c r="F575" s="361" t="s">
        <v>814</v>
      </c>
      <c r="G575" s="3"/>
      <c r="H575" s="359" t="s">
        <v>956</v>
      </c>
      <c r="I575" s="360" t="s">
        <v>812</v>
      </c>
      <c r="J575" s="361" t="s">
        <v>813</v>
      </c>
      <c r="K575" s="361" t="s">
        <v>814</v>
      </c>
      <c r="L575" s="3"/>
      <c r="M575" s="3"/>
      <c r="N575" s="3"/>
      <c r="O575" s="3"/>
      <c r="P575" s="3"/>
      <c r="Q575" s="3"/>
      <c r="R575" s="3"/>
      <c r="S575" s="3"/>
      <c r="T575" s="3"/>
      <c r="U575" s="3"/>
      <c r="V575" s="3"/>
      <c r="W575" s="3"/>
      <c r="X575" s="3"/>
      <c r="Y575" s="3"/>
      <c r="Z575" s="3"/>
    </row>
    <row r="576" spans="1:26" ht="12.75" x14ac:dyDescent="0.2">
      <c r="A576" s="3"/>
      <c r="B576" s="3"/>
      <c r="C576" s="362"/>
      <c r="D576" s="363">
        <f>$F$388</f>
        <v>4562.9858732369848</v>
      </c>
      <c r="E576" s="364">
        <f>$F$519</f>
        <v>32839707.744934857</v>
      </c>
      <c r="F576" s="364">
        <f>$H$385*1000/$F$10</f>
        <v>669.6629132924794</v>
      </c>
      <c r="G576" s="3"/>
      <c r="H576" s="362"/>
      <c r="I576" s="363">
        <f>$F$388</f>
        <v>4562.9858732369848</v>
      </c>
      <c r="J576" s="364">
        <f>$F$519</f>
        <v>32839707.744934857</v>
      </c>
      <c r="K576" s="364">
        <f>$H$385*1000/$F$10</f>
        <v>669.6629132924794</v>
      </c>
      <c r="L576" s="3"/>
      <c r="M576" s="3"/>
      <c r="N576" s="3"/>
      <c r="O576" s="3"/>
      <c r="P576" s="3"/>
      <c r="Q576" s="3"/>
      <c r="R576" s="3"/>
      <c r="S576" s="3"/>
      <c r="T576" s="3"/>
      <c r="U576" s="3"/>
      <c r="V576" s="3"/>
      <c r="W576" s="3"/>
      <c r="X576" s="3"/>
      <c r="Y576" s="3"/>
      <c r="Z576" s="3"/>
    </row>
    <row r="577" spans="1:26" ht="12.75" x14ac:dyDescent="0.2">
      <c r="A577" s="3"/>
      <c r="B577" s="3"/>
      <c r="C577" s="382">
        <v>0.11</v>
      </c>
      <c r="D577" s="621">
        <f t="dataTable" ref="D577:F583" dt2D="0" dtr="0" r1="I36" ca="1"/>
        <v>5191.6460396240846</v>
      </c>
      <c r="E577" s="622">
        <v>44528308.572057702</v>
      </c>
      <c r="F577" s="622">
        <v>773.98975773041889</v>
      </c>
      <c r="G577" s="3"/>
      <c r="H577" s="603">
        <v>1</v>
      </c>
      <c r="I577" s="621">
        <f t="dataTable" ref="I577:K583" dt2D="0" dtr="0" r1="I37" ca="1"/>
        <v>4794.8603321608125</v>
      </c>
      <c r="J577" s="622">
        <v>37005675.115206882</v>
      </c>
      <c r="K577" s="622">
        <v>767.8660545944083</v>
      </c>
      <c r="L577" s="3"/>
      <c r="M577" s="3"/>
      <c r="N577" s="3"/>
      <c r="O577" s="3"/>
      <c r="P577" s="3"/>
      <c r="Q577" s="3"/>
      <c r="R577" s="3"/>
      <c r="S577" s="3"/>
      <c r="T577" s="3"/>
      <c r="U577" s="3"/>
      <c r="V577" s="3"/>
      <c r="W577" s="3"/>
      <c r="X577" s="3"/>
      <c r="Y577" s="3"/>
      <c r="Z577" s="3"/>
    </row>
    <row r="578" spans="1:26" ht="12.75" x14ac:dyDescent="0.2">
      <c r="A578" s="3"/>
      <c r="B578" s="3"/>
      <c r="C578" s="384">
        <v>0.13</v>
      </c>
      <c r="D578" s="615">
        <v>4876.544134575639</v>
      </c>
      <c r="E578" s="616">
        <v>38661640.811095834</v>
      </c>
      <c r="F578" s="616">
        <v>721.8263355114492</v>
      </c>
      <c r="G578" s="3"/>
      <c r="H578" s="605">
        <v>2</v>
      </c>
      <c r="I578" s="615">
        <v>4675.2146794623995</v>
      </c>
      <c r="J578" s="616">
        <v>34887368.510825366</v>
      </c>
      <c r="K578" s="616">
        <v>767.8660545944083</v>
      </c>
      <c r="L578" s="3"/>
      <c r="M578" s="3"/>
      <c r="N578" s="3"/>
      <c r="O578" s="3"/>
      <c r="P578" s="3"/>
      <c r="Q578" s="3"/>
      <c r="R578" s="3"/>
      <c r="S578" s="3"/>
      <c r="T578" s="3"/>
      <c r="U578" s="3"/>
      <c r="V578" s="3"/>
      <c r="W578" s="3"/>
      <c r="X578" s="3"/>
      <c r="Y578" s="3"/>
      <c r="Z578" s="3"/>
    </row>
    <row r="579" spans="1:26" ht="12.75" x14ac:dyDescent="0.2">
      <c r="A579" s="3"/>
      <c r="B579" s="3"/>
      <c r="C579" s="602">
        <v>0.15</v>
      </c>
      <c r="D579" s="617">
        <v>4562.9858732369848</v>
      </c>
      <c r="E579" s="618">
        <v>32839707.744934857</v>
      </c>
      <c r="F579" s="618">
        <v>669.6629132924794</v>
      </c>
      <c r="G579" s="3"/>
      <c r="H579" s="606">
        <v>3</v>
      </c>
      <c r="I579" s="617">
        <v>4562.9858732369848</v>
      </c>
      <c r="J579" s="618">
        <v>32839707.744934857</v>
      </c>
      <c r="K579" s="618">
        <v>669.6629132924794</v>
      </c>
      <c r="L579" s="3"/>
      <c r="M579" s="3"/>
      <c r="N579" s="3"/>
      <c r="O579" s="3"/>
      <c r="P579" s="3"/>
      <c r="Q579" s="3"/>
      <c r="R579" s="3"/>
      <c r="S579" s="3"/>
      <c r="T579" s="3"/>
      <c r="U579" s="3"/>
      <c r="V579" s="3"/>
      <c r="W579" s="3"/>
      <c r="X579" s="3"/>
      <c r="Y579" s="3"/>
      <c r="Z579" s="3"/>
    </row>
    <row r="580" spans="1:26" ht="12.75" x14ac:dyDescent="0.2">
      <c r="A580" s="3"/>
      <c r="B580" s="3"/>
      <c r="C580" s="383">
        <v>0.17</v>
      </c>
      <c r="D580" s="613">
        <v>4249.2806976790289</v>
      </c>
      <c r="E580" s="614">
        <v>27013296.99408298</v>
      </c>
      <c r="F580" s="614">
        <v>617.4994910735104</v>
      </c>
      <c r="G580" s="3"/>
      <c r="H580" s="604">
        <v>4</v>
      </c>
      <c r="I580" s="613">
        <v>4459.1383227259093</v>
      </c>
      <c r="J580" s="614">
        <v>30901384.652702786</v>
      </c>
      <c r="K580" s="614">
        <v>620.87872235460384</v>
      </c>
      <c r="L580" s="3"/>
      <c r="M580" s="3"/>
      <c r="N580" s="3"/>
      <c r="O580" s="3"/>
      <c r="P580" s="3"/>
      <c r="Q580" s="3"/>
      <c r="R580" s="3"/>
      <c r="S580" s="3"/>
      <c r="T580" s="3"/>
      <c r="U580" s="3"/>
      <c r="V580" s="3"/>
      <c r="W580" s="3"/>
      <c r="X580" s="3"/>
      <c r="Y580" s="3"/>
      <c r="Z580" s="3"/>
    </row>
    <row r="581" spans="1:26" ht="12.75" x14ac:dyDescent="0.2">
      <c r="A581" s="3"/>
      <c r="B581" s="3"/>
      <c r="C581" s="383">
        <v>0.19</v>
      </c>
      <c r="D581" s="613">
        <v>3935.7224363403739</v>
      </c>
      <c r="E581" s="614">
        <v>21191363.927922007</v>
      </c>
      <c r="F581" s="614">
        <v>565.3360688545406</v>
      </c>
      <c r="G581" s="3"/>
      <c r="H581" s="604">
        <v>5</v>
      </c>
      <c r="I581" s="613">
        <v>4360.9775567798224</v>
      </c>
      <c r="J581" s="614">
        <v>29010581.547246076</v>
      </c>
      <c r="K581" s="614">
        <v>591.10040025093701</v>
      </c>
      <c r="L581" s="3"/>
      <c r="M581" s="3"/>
      <c r="N581" s="3"/>
      <c r="O581" s="3"/>
      <c r="P581" s="3"/>
      <c r="Q581" s="3"/>
      <c r="R581" s="3"/>
      <c r="S581" s="3"/>
      <c r="T581" s="3"/>
      <c r="U581" s="3"/>
      <c r="V581" s="3"/>
      <c r="W581" s="3"/>
      <c r="X581" s="3"/>
      <c r="Y581" s="3"/>
      <c r="Z581" s="3"/>
    </row>
    <row r="582" spans="1:26" ht="12.75" x14ac:dyDescent="0.2">
      <c r="A582" s="3"/>
      <c r="B582" s="3"/>
      <c r="C582" s="383">
        <v>0.21</v>
      </c>
      <c r="D582" s="613">
        <v>3621.4247450035459</v>
      </c>
      <c r="E582" s="614">
        <v>15347321.810895607</v>
      </c>
      <c r="F582" s="614">
        <v>513.1726466355716</v>
      </c>
      <c r="G582" s="3"/>
      <c r="H582" s="604">
        <v>6</v>
      </c>
      <c r="I582" s="613">
        <v>4270.4649100072611</v>
      </c>
      <c r="J582" s="614">
        <v>27337005.449463144</v>
      </c>
      <c r="K582" s="614">
        <v>571.45977199055062</v>
      </c>
      <c r="L582" s="3"/>
      <c r="M582" s="3"/>
      <c r="N582" s="3"/>
      <c r="O582" s="3"/>
      <c r="P582" s="3"/>
      <c r="Q582" s="3"/>
      <c r="R582" s="3"/>
      <c r="S582" s="3"/>
      <c r="T582" s="3"/>
      <c r="U582" s="3"/>
      <c r="V582" s="3"/>
      <c r="W582" s="3"/>
      <c r="X582" s="3"/>
      <c r="Y582" s="3"/>
      <c r="Z582" s="3"/>
    </row>
    <row r="583" spans="1:26" ht="12.75" x14ac:dyDescent="0.2">
      <c r="A583" s="3"/>
      <c r="B583" s="3"/>
      <c r="C583" s="388">
        <v>0.23</v>
      </c>
      <c r="D583" s="619">
        <v>3307.9446523407064</v>
      </c>
      <c r="E583" s="620">
        <v>9526958.5707764328</v>
      </c>
      <c r="F583" s="620">
        <v>460.37446499042352</v>
      </c>
      <c r="G583" s="3"/>
      <c r="H583" s="607">
        <v>7</v>
      </c>
      <c r="I583" s="619">
        <v>4186.5025822210673</v>
      </c>
      <c r="J583" s="620">
        <v>25802670.98194183</v>
      </c>
      <c r="K583" s="620">
        <v>557.61211164061149</v>
      </c>
      <c r="L583" s="3"/>
      <c r="M583" s="3"/>
      <c r="N583" s="3"/>
      <c r="O583" s="3"/>
      <c r="P583" s="3"/>
      <c r="Q583" s="3"/>
      <c r="R583" s="3"/>
      <c r="S583" s="3"/>
      <c r="T583" s="3"/>
      <c r="U583" s="3"/>
      <c r="V583" s="3"/>
      <c r="W583" s="3"/>
      <c r="X583" s="3"/>
      <c r="Y583" s="3"/>
      <c r="Z583" s="3"/>
    </row>
    <row r="584" spans="1:26" ht="12.75" x14ac:dyDescent="0.2">
      <c r="A584" s="3"/>
      <c r="B584" s="3"/>
      <c r="C584" s="3"/>
      <c r="D584" s="3"/>
      <c r="E584" s="3"/>
      <c r="F584" s="3"/>
      <c r="G584" s="3"/>
      <c r="H584" s="3"/>
      <c r="I584" s="3"/>
      <c r="J584" s="3"/>
      <c r="K584" s="3"/>
      <c r="L584" s="3"/>
      <c r="M584" s="3"/>
      <c r="N584" s="447"/>
      <c r="O584" s="447"/>
      <c r="P584" s="447"/>
      <c r="Q584" s="447"/>
      <c r="R584" s="3"/>
      <c r="S584" s="3"/>
      <c r="T584" s="3"/>
      <c r="U584" s="3"/>
      <c r="V584" s="3"/>
      <c r="W584" s="3"/>
      <c r="X584" s="3"/>
      <c r="Y584" s="3"/>
      <c r="Z584" s="3"/>
    </row>
    <row r="585" spans="1:26" ht="25.5" x14ac:dyDescent="0.2">
      <c r="A585" s="3"/>
      <c r="B585" s="3"/>
      <c r="C585" s="359" t="s">
        <v>961</v>
      </c>
      <c r="D585" s="360" t="s">
        <v>812</v>
      </c>
      <c r="E585" s="361" t="s">
        <v>813</v>
      </c>
      <c r="F585" s="361" t="s">
        <v>814</v>
      </c>
      <c r="G585" s="3"/>
      <c r="H585" s="3"/>
      <c r="I585" s="3"/>
      <c r="J585" s="3"/>
      <c r="K585" s="28"/>
      <c r="L585" s="679"/>
      <c r="M585" s="3"/>
      <c r="N585" s="3"/>
      <c r="O585" s="3"/>
      <c r="P585" s="679"/>
      <c r="Q585" s="28"/>
      <c r="R585" s="3"/>
      <c r="S585" s="3"/>
      <c r="T585" s="3"/>
      <c r="U585" s="3"/>
      <c r="V585" s="3"/>
      <c r="W585" s="3"/>
      <c r="X585" s="3"/>
      <c r="Y585" s="3"/>
      <c r="Z585" s="3"/>
    </row>
    <row r="586" spans="1:26" ht="12.75" x14ac:dyDescent="0.2">
      <c r="A586" s="3"/>
      <c r="B586" s="3"/>
      <c r="C586" s="362"/>
      <c r="D586" s="363">
        <f>$F$388</f>
        <v>4562.9858732369848</v>
      </c>
      <c r="E586" s="364">
        <f>$F$519</f>
        <v>32839707.744934857</v>
      </c>
      <c r="F586" s="364">
        <f>$H$385*1000/$F$10</f>
        <v>669.6629132924794</v>
      </c>
      <c r="G586" s="3"/>
      <c r="H586" s="3"/>
      <c r="I586" s="3"/>
      <c r="J586" s="3"/>
      <c r="K586" s="3"/>
      <c r="L586" s="3"/>
      <c r="M586" s="3"/>
      <c r="N586" s="3"/>
      <c r="O586" s="3"/>
      <c r="P586" s="679"/>
      <c r="Q586" s="28"/>
      <c r="R586" s="3"/>
      <c r="S586" s="3"/>
      <c r="T586" s="3"/>
      <c r="U586" s="3"/>
      <c r="V586" s="3"/>
      <c r="W586" s="3"/>
      <c r="X586" s="3"/>
      <c r="Y586" s="3"/>
      <c r="Z586" s="3"/>
    </row>
    <row r="587" spans="1:26" ht="12.75" x14ac:dyDescent="0.2">
      <c r="A587" s="3"/>
      <c r="B587" s="3"/>
      <c r="C587" s="604">
        <v>3</v>
      </c>
      <c r="D587" s="613">
        <f t="dataTable" ref="D587:F592" dt2D="0" dtr="0" r1="I33" ca="1"/>
        <v>-5701.5128175674745</v>
      </c>
      <c r="E587" s="614">
        <v>-152150101.38387483</v>
      </c>
      <c r="F587" s="614">
        <v>-1136.0680074065233</v>
      </c>
      <c r="G587" s="3"/>
      <c r="H587" s="3"/>
      <c r="I587" s="3"/>
      <c r="J587" s="3"/>
      <c r="K587" s="3"/>
      <c r="L587" s="28"/>
      <c r="M587" s="3"/>
      <c r="N587" s="3"/>
      <c r="O587" s="3"/>
      <c r="P587" s="3"/>
      <c r="Q587" s="3"/>
      <c r="R587" s="3"/>
      <c r="S587" s="3"/>
      <c r="T587" s="3"/>
      <c r="U587" s="3"/>
      <c r="V587" s="3"/>
      <c r="W587" s="3"/>
      <c r="X587" s="3"/>
      <c r="Y587" s="3"/>
      <c r="Z587" s="3"/>
    </row>
    <row r="588" spans="1:26" ht="12.75" x14ac:dyDescent="0.2">
      <c r="A588" s="3"/>
      <c r="B588" s="3"/>
      <c r="C588" s="604">
        <v>4</v>
      </c>
      <c r="D588" s="613">
        <v>-2794.7556354300036</v>
      </c>
      <c r="E588" s="614">
        <v>-99005211.747734085</v>
      </c>
      <c r="F588" s="614">
        <v>-633.09762218969718</v>
      </c>
      <c r="G588" s="3"/>
      <c r="H588" s="3"/>
      <c r="I588" s="3"/>
      <c r="J588" s="3"/>
      <c r="K588" s="3"/>
      <c r="L588" s="28"/>
      <c r="M588" s="3"/>
      <c r="N588" s="3"/>
      <c r="O588" s="3"/>
      <c r="P588" s="3"/>
      <c r="Q588" s="3"/>
      <c r="R588" s="3"/>
      <c r="S588" s="3"/>
      <c r="T588" s="3"/>
      <c r="U588" s="3"/>
      <c r="V588" s="3"/>
      <c r="W588" s="3"/>
      <c r="X588" s="3"/>
      <c r="Y588" s="3"/>
      <c r="Z588" s="3"/>
    </row>
    <row r="589" spans="1:26" ht="12.75" x14ac:dyDescent="0.2">
      <c r="A589" s="3"/>
      <c r="B589" s="3"/>
      <c r="C589" s="605">
        <v>5</v>
      </c>
      <c r="D589" s="615">
        <v>113.44142564889957</v>
      </c>
      <c r="E589" s="616">
        <v>-45820893.970561773</v>
      </c>
      <c r="F589" s="616">
        <v>-130.12723697286981</v>
      </c>
      <c r="G589" s="3"/>
      <c r="H589" s="3"/>
      <c r="I589" s="3"/>
      <c r="J589" s="3"/>
      <c r="K589" s="3"/>
      <c r="L589" s="595"/>
      <c r="M589" s="3"/>
      <c r="N589" s="3"/>
      <c r="O589" s="3"/>
      <c r="P589" s="3"/>
      <c r="Q589" s="3"/>
      <c r="R589" s="3"/>
      <c r="S589" s="3"/>
      <c r="T589" s="3"/>
      <c r="U589" s="3"/>
      <c r="V589" s="3"/>
      <c r="W589" s="3"/>
      <c r="X589" s="3"/>
      <c r="Y589" s="3"/>
      <c r="Z589" s="3"/>
    </row>
    <row r="590" spans="1:26" ht="12.75" x14ac:dyDescent="0.2">
      <c r="A590" s="3"/>
      <c r="B590" s="3"/>
      <c r="C590" s="605">
        <v>6</v>
      </c>
      <c r="D590" s="615">
        <v>2877.9470874312678</v>
      </c>
      <c r="E590" s="616">
        <v>3677549.3729104539</v>
      </c>
      <c r="F590" s="616">
        <v>352.50323340139636</v>
      </c>
      <c r="G590" s="3"/>
      <c r="H590" s="3"/>
      <c r="I590" s="3"/>
      <c r="J590" s="3"/>
      <c r="K590" s="3"/>
      <c r="L590" s="3"/>
      <c r="M590" s="3"/>
      <c r="N590" s="3"/>
      <c r="O590" s="447"/>
      <c r="P590" s="3"/>
      <c r="Q590" s="3"/>
      <c r="R590" s="3"/>
      <c r="S590" s="3"/>
      <c r="T590" s="3"/>
      <c r="U590" s="3"/>
      <c r="V590" s="3"/>
      <c r="W590" s="3"/>
      <c r="X590" s="3"/>
      <c r="Y590" s="3"/>
      <c r="Z590" s="3"/>
    </row>
    <row r="591" spans="1:26" ht="12.75" x14ac:dyDescent="0.2">
      <c r="A591" s="3"/>
      <c r="B591" s="3"/>
      <c r="C591" s="606">
        <v>6.7</v>
      </c>
      <c r="D591" s="617">
        <v>4562.9858732369848</v>
      </c>
      <c r="E591" s="618">
        <v>32839707.744934857</v>
      </c>
      <c r="F591" s="618">
        <v>669.6629132924794</v>
      </c>
      <c r="G591" s="3"/>
      <c r="H591" s="3"/>
      <c r="I591" s="3"/>
      <c r="J591" s="3"/>
      <c r="K591" s="3"/>
      <c r="L591" s="3"/>
      <c r="M591" s="3"/>
      <c r="N591" s="3"/>
      <c r="O591" s="3"/>
      <c r="P591" s="3"/>
      <c r="Q591" s="3"/>
      <c r="R591" s="3"/>
      <c r="S591" s="3"/>
      <c r="T591" s="3"/>
      <c r="U591" s="3"/>
      <c r="V591" s="3"/>
      <c r="W591" s="3"/>
      <c r="X591" s="3"/>
      <c r="Y591" s="3"/>
      <c r="Z591" s="3"/>
    </row>
    <row r="592" spans="1:26" ht="12.75" x14ac:dyDescent="0.2">
      <c r="A592" s="3"/>
      <c r="B592" s="3"/>
      <c r="C592" s="607">
        <v>7</v>
      </c>
      <c r="D592" s="619">
        <v>5248.5240235932524</v>
      </c>
      <c r="E592" s="620">
        <v>44844850.269211486</v>
      </c>
      <c r="F592" s="620">
        <v>806.59918979226529</v>
      </c>
      <c r="G592" s="3"/>
      <c r="H592" s="3"/>
      <c r="I592" s="3"/>
      <c r="J592" s="3"/>
      <c r="K592" s="3"/>
      <c r="L592" s="3"/>
      <c r="M592" s="3"/>
      <c r="N592" s="3"/>
      <c r="O592" s="3"/>
      <c r="P592" s="3"/>
      <c r="Q592" s="3"/>
      <c r="R592" s="3"/>
      <c r="S592" s="3"/>
      <c r="T592" s="3"/>
      <c r="U592" s="3"/>
      <c r="V592" s="3"/>
      <c r="W592" s="3"/>
      <c r="X592" s="3"/>
      <c r="Y592" s="3"/>
      <c r="Z592" s="3"/>
    </row>
    <row r="593" spans="1:26" ht="12.75"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51" x14ac:dyDescent="0.2">
      <c r="A594" s="3"/>
      <c r="B594" s="3"/>
      <c r="C594" s="359" t="s">
        <v>948</v>
      </c>
      <c r="D594" s="662" t="s">
        <v>812</v>
      </c>
      <c r="E594" s="361" t="s">
        <v>813</v>
      </c>
      <c r="F594" s="657" t="s">
        <v>814</v>
      </c>
      <c r="G594" s="3"/>
      <c r="H594" s="359" t="s">
        <v>171</v>
      </c>
      <c r="I594" s="662" t="s">
        <v>812</v>
      </c>
      <c r="J594" s="361" t="s">
        <v>813</v>
      </c>
      <c r="K594" s="657" t="s">
        <v>814</v>
      </c>
      <c r="L594" s="3"/>
      <c r="M594" s="3"/>
      <c r="N594" s="3"/>
      <c r="O594" s="3"/>
      <c r="P594" s="3"/>
      <c r="Q594" s="3"/>
      <c r="R594" s="3"/>
      <c r="S594" s="3"/>
      <c r="T594" s="3"/>
      <c r="U594" s="3"/>
      <c r="V594" s="3"/>
      <c r="W594" s="3"/>
      <c r="X594" s="3"/>
      <c r="Y594" s="3"/>
      <c r="Z594" s="3"/>
    </row>
    <row r="595" spans="1:26" ht="12.75" x14ac:dyDescent="0.2">
      <c r="A595" s="3"/>
      <c r="B595" s="3"/>
      <c r="C595" s="362"/>
      <c r="D595" s="363">
        <f>$F$388</f>
        <v>4562.9858732369848</v>
      </c>
      <c r="E595" s="364">
        <f>$F$519</f>
        <v>32839707.744934857</v>
      </c>
      <c r="F595" s="364">
        <f>$H$385*1000/$F$10</f>
        <v>669.6629132924794</v>
      </c>
      <c r="G595" s="3"/>
      <c r="H595" s="362"/>
      <c r="I595" s="363">
        <f>$F$388</f>
        <v>4562.9858732369848</v>
      </c>
      <c r="J595" s="364">
        <f>$F$519</f>
        <v>32839707.744934857</v>
      </c>
      <c r="K595" s="364">
        <f>$H$385*1000/$F$10</f>
        <v>669.6629132924794</v>
      </c>
      <c r="L595" s="3"/>
      <c r="M595" s="3"/>
      <c r="N595" s="3"/>
      <c r="O595" s="3"/>
      <c r="P595" s="3"/>
      <c r="Q595" s="3"/>
      <c r="R595" s="3"/>
      <c r="S595" s="3"/>
      <c r="T595" s="3"/>
      <c r="U595" s="3"/>
      <c r="V595" s="3"/>
      <c r="W595" s="3"/>
      <c r="X595" s="3"/>
      <c r="Y595" s="3"/>
      <c r="Z595" s="3"/>
    </row>
    <row r="596" spans="1:26" ht="12.75" x14ac:dyDescent="0.2">
      <c r="A596" s="3"/>
      <c r="B596" s="3"/>
      <c r="C596" s="383">
        <v>-0.3</v>
      </c>
      <c r="D596" s="663">
        <f t="dataTable" ref="D596:F601" dt2D="0" dtr="0" r1="I118" ca="1"/>
        <v>4562.9858732369848</v>
      </c>
      <c r="E596" s="614">
        <v>22239645.096030086</v>
      </c>
      <c r="F596" s="658">
        <v>669.6629132924794</v>
      </c>
      <c r="G596" s="3"/>
      <c r="H596" s="383">
        <v>0.5</v>
      </c>
      <c r="I596" s="663">
        <f t="dataTable" ref="I596:K601" dt2D="0" dtr="0" r1="I111" ca="1"/>
        <v>4562.9858732369848</v>
      </c>
      <c r="J596" s="614">
        <v>17135911.228038903</v>
      </c>
      <c r="K596" s="658">
        <v>669.6629132924794</v>
      </c>
      <c r="L596" s="3"/>
      <c r="M596" s="3"/>
      <c r="N596" s="3"/>
      <c r="O596" s="3"/>
      <c r="P596" s="3"/>
      <c r="Q596" s="3"/>
      <c r="R596" s="3"/>
      <c r="S596" s="3"/>
      <c r="T596" s="3"/>
      <c r="U596" s="3"/>
      <c r="V596" s="3"/>
      <c r="W596" s="3"/>
      <c r="X596" s="3"/>
      <c r="Y596" s="3"/>
      <c r="Z596" s="3"/>
    </row>
    <row r="597" spans="1:26" ht="12.75" x14ac:dyDescent="0.2">
      <c r="A597" s="3"/>
      <c r="B597" s="3"/>
      <c r="C597" s="383">
        <v>-0.2</v>
      </c>
      <c r="D597" s="663">
        <v>4562.9858732369848</v>
      </c>
      <c r="E597" s="614">
        <v>25772999.312331676</v>
      </c>
      <c r="F597" s="658">
        <v>669.6629132924794</v>
      </c>
      <c r="G597" s="3"/>
      <c r="H597" s="383">
        <v>0.6</v>
      </c>
      <c r="I597" s="663">
        <v>4562.9858732369848</v>
      </c>
      <c r="J597" s="614">
        <v>21061860.357262895</v>
      </c>
      <c r="K597" s="658">
        <v>669.6629132924794</v>
      </c>
      <c r="L597" s="3"/>
      <c r="M597" s="3"/>
      <c r="N597" s="3"/>
      <c r="O597" s="3"/>
      <c r="P597" s="3"/>
      <c r="Q597" s="3"/>
      <c r="R597" s="3"/>
      <c r="S597" s="3"/>
      <c r="T597" s="3"/>
      <c r="U597" s="3"/>
      <c r="V597" s="3"/>
      <c r="W597" s="3"/>
      <c r="X597" s="3"/>
      <c r="Y597" s="3"/>
      <c r="Z597" s="3"/>
    </row>
    <row r="598" spans="1:26" ht="12.75" x14ac:dyDescent="0.2">
      <c r="A598" s="3"/>
      <c r="B598" s="3"/>
      <c r="C598" s="384">
        <v>-0.1</v>
      </c>
      <c r="D598" s="664">
        <v>4562.9858732369848</v>
      </c>
      <c r="E598" s="616">
        <v>29306353.528633267</v>
      </c>
      <c r="F598" s="659">
        <v>669.6629132924794</v>
      </c>
      <c r="G598" s="3"/>
      <c r="H598" s="383">
        <v>0.7</v>
      </c>
      <c r="I598" s="664">
        <v>4562.9858732369848</v>
      </c>
      <c r="J598" s="616">
        <v>24987809.486486875</v>
      </c>
      <c r="K598" s="659">
        <v>669.6629132924794</v>
      </c>
      <c r="L598" s="3"/>
      <c r="M598" s="3"/>
      <c r="N598" s="3"/>
      <c r="O598" s="3"/>
      <c r="P598" s="3"/>
      <c r="Q598" s="3"/>
      <c r="R598" s="3"/>
      <c r="S598" s="3"/>
      <c r="T598" s="3"/>
      <c r="U598" s="3"/>
      <c r="V598" s="3"/>
      <c r="W598" s="3"/>
      <c r="X598" s="3"/>
      <c r="Y598" s="3"/>
      <c r="Z598" s="3"/>
    </row>
    <row r="599" spans="1:26" ht="12.75" x14ac:dyDescent="0.2">
      <c r="A599" s="3"/>
      <c r="B599" s="3"/>
      <c r="C599" s="608">
        <v>0</v>
      </c>
      <c r="D599" s="665">
        <v>4562.9858732369848</v>
      </c>
      <c r="E599" s="618">
        <v>32839707.744934857</v>
      </c>
      <c r="F599" s="660">
        <v>669.6629132924794</v>
      </c>
      <c r="G599" s="3"/>
      <c r="H599" s="384">
        <v>0.8</v>
      </c>
      <c r="I599" s="664">
        <v>4562.9858732369848</v>
      </c>
      <c r="J599" s="616">
        <v>28913758.615710869</v>
      </c>
      <c r="K599" s="659">
        <v>669.6629132924794</v>
      </c>
      <c r="L599" s="3"/>
      <c r="M599" s="3"/>
      <c r="N599" s="3"/>
      <c r="O599" s="3"/>
      <c r="P599" s="3"/>
      <c r="Q599" s="3"/>
      <c r="R599" s="3"/>
      <c r="S599" s="3"/>
      <c r="T599" s="3"/>
      <c r="U599" s="3"/>
      <c r="V599" s="3"/>
      <c r="W599" s="3"/>
      <c r="X599" s="3"/>
      <c r="Y599" s="3"/>
      <c r="Z599" s="3"/>
    </row>
    <row r="600" spans="1:26" ht="12.75" x14ac:dyDescent="0.2">
      <c r="A600" s="3"/>
      <c r="B600" s="3"/>
      <c r="C600" s="383">
        <v>0.05</v>
      </c>
      <c r="D600" s="663">
        <v>4562.9858732369848</v>
      </c>
      <c r="E600" s="614">
        <v>34606384.853085659</v>
      </c>
      <c r="F600" s="658">
        <v>669.6629132924794</v>
      </c>
      <c r="G600" s="3"/>
      <c r="H600" s="608">
        <v>0.9</v>
      </c>
      <c r="I600" s="665">
        <v>4562.9858732369848</v>
      </c>
      <c r="J600" s="618">
        <v>32839707.744934857</v>
      </c>
      <c r="K600" s="660">
        <v>669.6629132924794</v>
      </c>
      <c r="L600" s="3"/>
      <c r="M600" s="3"/>
      <c r="N600" s="3"/>
      <c r="O600" s="3"/>
      <c r="P600" s="3"/>
      <c r="Q600" s="3"/>
      <c r="R600" s="3"/>
      <c r="S600" s="3"/>
      <c r="T600" s="3"/>
      <c r="U600" s="3"/>
      <c r="V600" s="3"/>
      <c r="W600" s="3"/>
      <c r="X600" s="3"/>
      <c r="Y600" s="3"/>
      <c r="Z600" s="3"/>
    </row>
    <row r="601" spans="1:26" ht="12.75" x14ac:dyDescent="0.2">
      <c r="A601" s="3"/>
      <c r="B601" s="3"/>
      <c r="C601" s="388">
        <v>0.1</v>
      </c>
      <c r="D601" s="666">
        <v>4562.9858732369848</v>
      </c>
      <c r="E601" s="620">
        <v>36373061.96123644</v>
      </c>
      <c r="F601" s="661">
        <v>669.6629132924794</v>
      </c>
      <c r="G601" s="3"/>
      <c r="H601" s="609">
        <v>0.95</v>
      </c>
      <c r="I601" s="666">
        <v>4562.9858732369848</v>
      </c>
      <c r="J601" s="620">
        <v>34802682.309546851</v>
      </c>
      <c r="K601" s="661">
        <v>669.6629132924794</v>
      </c>
      <c r="L601" s="3"/>
      <c r="M601" s="3"/>
      <c r="N601" s="3"/>
      <c r="O601" s="3"/>
      <c r="P601" s="3"/>
      <c r="Q601" s="3"/>
      <c r="R601" s="3"/>
      <c r="S601" s="3"/>
      <c r="T601" s="3"/>
      <c r="U601" s="3"/>
      <c r="V601" s="3"/>
      <c r="W601" s="3"/>
      <c r="X601" s="3"/>
      <c r="Y601" s="3"/>
      <c r="Z601" s="3"/>
    </row>
    <row r="602" spans="1:26" ht="12.75"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38.25" x14ac:dyDescent="0.2">
      <c r="A603" s="3"/>
      <c r="B603" s="3"/>
      <c r="C603" s="359" t="s">
        <v>939</v>
      </c>
      <c r="D603" s="662" t="s">
        <v>812</v>
      </c>
      <c r="E603" s="361" t="s">
        <v>813</v>
      </c>
      <c r="F603" s="657" t="s">
        <v>814</v>
      </c>
      <c r="G603" s="3"/>
      <c r="H603" s="3"/>
      <c r="I603" s="3"/>
      <c r="J603" s="3"/>
      <c r="K603" s="3"/>
      <c r="L603" s="3"/>
      <c r="M603" s="3"/>
      <c r="N603" s="3"/>
      <c r="O603" s="3"/>
      <c r="P603" s="3"/>
      <c r="Q603" s="3"/>
      <c r="R603" s="3"/>
      <c r="S603" s="3"/>
      <c r="T603" s="3"/>
      <c r="U603" s="3"/>
      <c r="V603" s="3"/>
      <c r="W603" s="3"/>
      <c r="X603" s="3"/>
      <c r="Y603" s="3"/>
      <c r="Z603" s="3"/>
    </row>
    <row r="604" spans="1:26" ht="12.75" x14ac:dyDescent="0.2">
      <c r="A604" s="3"/>
      <c r="B604" s="3"/>
      <c r="C604" s="362"/>
      <c r="D604" s="363">
        <f>$F$388</f>
        <v>4562.9858732369848</v>
      </c>
      <c r="E604" s="364">
        <f>$F$519</f>
        <v>32839707.744934857</v>
      </c>
      <c r="F604" s="364">
        <f>$H$385*1000/$F$10</f>
        <v>669.6629132924794</v>
      </c>
      <c r="G604" s="3"/>
      <c r="H604" s="3"/>
      <c r="I604" s="3"/>
      <c r="J604" s="3"/>
      <c r="K604" s="3"/>
      <c r="L604" s="3"/>
      <c r="M604" s="3"/>
      <c r="N604" s="3"/>
      <c r="O604" s="3"/>
      <c r="P604" s="3"/>
      <c r="Q604" s="3"/>
      <c r="R604" s="3"/>
      <c r="S604" s="3"/>
      <c r="T604" s="3"/>
      <c r="U604" s="3"/>
      <c r="V604" s="3"/>
      <c r="W604" s="3"/>
      <c r="X604" s="3"/>
      <c r="Y604" s="3"/>
      <c r="Z604" s="3"/>
    </row>
    <row r="605" spans="1:26" ht="12.75" x14ac:dyDescent="0.2">
      <c r="A605" s="3"/>
      <c r="B605" s="3"/>
      <c r="C605" s="383">
        <v>-0.3</v>
      </c>
      <c r="D605" s="663">
        <f t="dataTable" ref="D605:F611" dt2D="0" dtr="0" r1="I115" ca="1"/>
        <v>4562.9858732369848</v>
      </c>
      <c r="E605" s="614">
        <v>33587858.070359163</v>
      </c>
      <c r="F605" s="658">
        <v>669.6629132924794</v>
      </c>
      <c r="G605" s="3"/>
      <c r="H605" s="3"/>
      <c r="I605" s="3"/>
      <c r="J605" s="3"/>
      <c r="K605" s="3"/>
      <c r="L605" s="3"/>
      <c r="M605" s="3"/>
      <c r="N605" s="3"/>
      <c r="O605" s="3"/>
      <c r="P605" s="3"/>
      <c r="Q605" s="3"/>
      <c r="R605" s="3"/>
      <c r="S605" s="3"/>
      <c r="T605" s="3"/>
      <c r="U605" s="3"/>
      <c r="V605" s="3"/>
      <c r="W605" s="3"/>
      <c r="X605" s="3"/>
      <c r="Y605" s="3"/>
      <c r="Z605" s="3"/>
    </row>
    <row r="606" spans="1:26" ht="12.75" x14ac:dyDescent="0.2">
      <c r="A606" s="3"/>
      <c r="B606" s="3"/>
      <c r="C606" s="383">
        <v>-0.2</v>
      </c>
      <c r="D606" s="663">
        <v>4562.9858732369848</v>
      </c>
      <c r="E606" s="614">
        <v>33338474.628551062</v>
      </c>
      <c r="F606" s="658">
        <v>669.6629132924794</v>
      </c>
      <c r="G606" s="3"/>
      <c r="H606" s="3"/>
      <c r="I606" s="3"/>
      <c r="J606" s="3"/>
      <c r="K606" s="3"/>
      <c r="L606" s="3"/>
      <c r="M606" s="3"/>
      <c r="N606" s="3"/>
      <c r="O606" s="3"/>
      <c r="P606" s="3"/>
      <c r="Q606" s="3"/>
      <c r="R606" s="3"/>
      <c r="S606" s="3"/>
      <c r="T606" s="3"/>
      <c r="U606" s="3"/>
      <c r="V606" s="3"/>
      <c r="W606" s="3"/>
      <c r="X606" s="3"/>
      <c r="Y606" s="3"/>
      <c r="Z606" s="3"/>
    </row>
    <row r="607" spans="1:26" ht="12.75" x14ac:dyDescent="0.2">
      <c r="A607" s="3"/>
      <c r="B607" s="3"/>
      <c r="C607" s="384">
        <v>-0.1</v>
      </c>
      <c r="D607" s="664">
        <v>4562.9858732369848</v>
      </c>
      <c r="E607" s="616">
        <v>33089091.186742961</v>
      </c>
      <c r="F607" s="659">
        <v>669.6629132924794</v>
      </c>
      <c r="G607" s="3"/>
      <c r="H607" s="3"/>
      <c r="I607" s="3"/>
      <c r="J607" s="3"/>
      <c r="K607" s="3"/>
      <c r="L607" s="3"/>
      <c r="M607" s="3"/>
      <c r="N607" s="3"/>
      <c r="O607" s="3"/>
      <c r="P607" s="3"/>
      <c r="Q607" s="3"/>
      <c r="R607" s="3"/>
      <c r="S607" s="3"/>
      <c r="T607" s="3"/>
      <c r="U607" s="3"/>
      <c r="V607" s="3"/>
      <c r="W607" s="3"/>
      <c r="X607" s="3"/>
      <c r="Y607" s="3"/>
      <c r="Z607" s="3"/>
    </row>
    <row r="608" spans="1:26" ht="12.75" x14ac:dyDescent="0.2">
      <c r="A608" s="3"/>
      <c r="B608" s="3"/>
      <c r="C608" s="608">
        <v>0</v>
      </c>
      <c r="D608" s="665">
        <v>4562.9858732369848</v>
      </c>
      <c r="E608" s="618">
        <v>32839707.744934857</v>
      </c>
      <c r="F608" s="660">
        <v>669.6629132924794</v>
      </c>
      <c r="G608" s="3"/>
      <c r="H608" s="3"/>
      <c r="I608" s="3"/>
      <c r="J608" s="3"/>
      <c r="K608" s="3"/>
      <c r="L608" s="3"/>
      <c r="M608" s="3"/>
      <c r="N608" s="3"/>
      <c r="O608" s="3"/>
      <c r="P608" s="3"/>
      <c r="Q608" s="3"/>
      <c r="R608" s="3"/>
      <c r="S608" s="3"/>
      <c r="T608" s="3"/>
      <c r="U608" s="3"/>
      <c r="V608" s="3"/>
      <c r="W608" s="3"/>
      <c r="X608" s="3"/>
      <c r="Y608" s="3"/>
      <c r="Z608" s="3"/>
    </row>
    <row r="609" spans="1:26" ht="12.75" x14ac:dyDescent="0.2">
      <c r="A609" s="3"/>
      <c r="B609" s="3"/>
      <c r="C609" s="383">
        <v>0.05</v>
      </c>
      <c r="D609" s="663">
        <v>4562.9858732369848</v>
      </c>
      <c r="E609" s="614">
        <v>32715016.024030805</v>
      </c>
      <c r="F609" s="658">
        <v>669.6629132924794</v>
      </c>
      <c r="G609" s="3"/>
      <c r="H609" s="3"/>
      <c r="I609" s="3"/>
      <c r="J609" s="3"/>
      <c r="K609" s="3"/>
      <c r="L609" s="3"/>
      <c r="M609" s="3"/>
      <c r="N609" s="3"/>
      <c r="O609" s="3"/>
      <c r="P609" s="3"/>
      <c r="Q609" s="3"/>
      <c r="R609" s="3"/>
      <c r="S609" s="3"/>
      <c r="T609" s="3"/>
      <c r="U609" s="3"/>
      <c r="V609" s="3"/>
      <c r="W609" s="3"/>
      <c r="X609" s="3"/>
      <c r="Y609" s="3"/>
      <c r="Z609" s="3"/>
    </row>
    <row r="610" spans="1:26" ht="12.75" x14ac:dyDescent="0.2">
      <c r="A610" s="3"/>
      <c r="B610" s="3"/>
      <c r="C610" s="383">
        <v>0.1</v>
      </c>
      <c r="D610" s="663">
        <v>4562.9858732369848</v>
      </c>
      <c r="E610" s="614">
        <v>32590324.303126752</v>
      </c>
      <c r="F610" s="658">
        <v>669.6629132924794</v>
      </c>
      <c r="G610" s="3"/>
      <c r="H610" s="3"/>
      <c r="I610" s="3"/>
      <c r="J610" s="3"/>
      <c r="K610" s="3"/>
      <c r="L610" s="3"/>
      <c r="M610" s="3"/>
      <c r="N610" s="3"/>
      <c r="O610" s="3"/>
      <c r="P610" s="3"/>
      <c r="Q610" s="3"/>
      <c r="R610" s="3"/>
      <c r="S610" s="3"/>
      <c r="T610" s="3"/>
      <c r="U610" s="3"/>
      <c r="V610" s="3"/>
      <c r="W610" s="3"/>
      <c r="X610" s="3"/>
      <c r="Y610" s="3"/>
      <c r="Z610" s="3"/>
    </row>
    <row r="611" spans="1:26" ht="12.75" x14ac:dyDescent="0.2">
      <c r="A611" s="3"/>
      <c r="B611" s="3"/>
      <c r="C611" s="388">
        <v>0.15</v>
      </c>
      <c r="D611" s="666">
        <v>4562.9858732369848</v>
      </c>
      <c r="E611" s="620">
        <v>32465632.5822227</v>
      </c>
      <c r="F611" s="661">
        <v>669.6629132924794</v>
      </c>
      <c r="G611" s="3"/>
      <c r="H611" s="3"/>
      <c r="I611" s="3"/>
      <c r="J611" s="3"/>
      <c r="K611" s="3"/>
      <c r="L611" s="3"/>
      <c r="M611" s="3"/>
      <c r="N611" s="3"/>
      <c r="O611" s="3"/>
      <c r="P611" s="3"/>
      <c r="Q611" s="3"/>
      <c r="R611" s="3"/>
      <c r="S611" s="3"/>
      <c r="T611" s="3"/>
      <c r="U611" s="3"/>
      <c r="V611" s="3"/>
      <c r="W611" s="3"/>
      <c r="X611" s="3"/>
      <c r="Y611" s="3"/>
      <c r="Z611" s="3"/>
    </row>
    <row r="612" spans="1:26" ht="12.75"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x14ac:dyDescent="0.2">
      <c r="A613" s="3"/>
      <c r="B613" s="611" t="s">
        <v>943</v>
      </c>
      <c r="C613" s="610"/>
      <c r="D613" s="610"/>
      <c r="E613" s="610"/>
      <c r="F613" s="610"/>
      <c r="G613" s="610"/>
      <c r="H613" s="610"/>
      <c r="I613" s="610"/>
      <c r="J613" s="610"/>
      <c r="K613" s="610"/>
      <c r="L613" s="610"/>
      <c r="M613" s="610"/>
      <c r="N613" s="3"/>
      <c r="O613" s="3"/>
      <c r="P613" s="3"/>
      <c r="Q613" s="3"/>
      <c r="R613" s="3"/>
      <c r="S613" s="3"/>
      <c r="T613" s="3"/>
      <c r="U613" s="3"/>
      <c r="V613" s="3"/>
      <c r="W613" s="3"/>
      <c r="X613" s="3"/>
      <c r="Y613" s="3"/>
      <c r="Z613" s="3"/>
    </row>
    <row r="614" spans="1:26" ht="12.75"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25.5" x14ac:dyDescent="0.2">
      <c r="A615" s="3"/>
      <c r="B615" s="3"/>
      <c r="C615" s="359"/>
      <c r="D615" s="359" t="s">
        <v>812</v>
      </c>
      <c r="E615" s="644" t="s">
        <v>947</v>
      </c>
      <c r="F615" s="639"/>
      <c r="G615" s="640"/>
      <c r="H615" s="643"/>
      <c r="I615" s="639"/>
      <c r="J615" s="639"/>
      <c r="K615" s="639"/>
      <c r="L615" s="639"/>
      <c r="M615" s="641"/>
      <c r="N615" s="3"/>
      <c r="O615" s="3"/>
      <c r="P615" s="3"/>
      <c r="Q615" s="3"/>
      <c r="R615" s="3"/>
      <c r="S615" s="3"/>
      <c r="T615" s="3"/>
      <c r="U615" s="3"/>
      <c r="V615" s="3"/>
      <c r="W615" s="3"/>
      <c r="X615" s="3"/>
      <c r="Y615" s="3"/>
      <c r="Z615" s="3"/>
    </row>
    <row r="616" spans="1:26" ht="12.75" x14ac:dyDescent="0.2">
      <c r="A616" s="3"/>
      <c r="B616" s="3"/>
      <c r="C616" s="364"/>
      <c r="D616" s="363">
        <f>$F$388</f>
        <v>4562.9858732369848</v>
      </c>
      <c r="E616" s="623">
        <v>-0.03</v>
      </c>
      <c r="F616" s="624">
        <v>-0.02</v>
      </c>
      <c r="G616" s="624">
        <v>-0.01</v>
      </c>
      <c r="H616" s="626">
        <v>0</v>
      </c>
      <c r="I616" s="624">
        <v>0.01</v>
      </c>
      <c r="J616" s="624">
        <v>0.02</v>
      </c>
      <c r="K616" s="624">
        <v>0.03</v>
      </c>
      <c r="L616" s="624">
        <v>0.04</v>
      </c>
      <c r="M616" s="625">
        <v>0.05</v>
      </c>
      <c r="N616" s="3"/>
      <c r="O616" s="3"/>
      <c r="P616" s="3"/>
      <c r="Q616" s="3"/>
      <c r="R616" s="3"/>
      <c r="S616" s="3"/>
      <c r="T616" s="3"/>
      <c r="U616" s="3"/>
      <c r="V616" s="3"/>
      <c r="W616" s="3"/>
      <c r="X616" s="3"/>
      <c r="Y616" s="3"/>
      <c r="Z616" s="3"/>
    </row>
    <row r="617" spans="1:26" ht="12.75" x14ac:dyDescent="0.2">
      <c r="A617" s="3"/>
      <c r="B617" s="3"/>
      <c r="C617" s="645"/>
      <c r="D617" s="382">
        <v>-0.03</v>
      </c>
      <c r="E617" s="627">
        <f t="dataTable" ref="E617:M625" dt2D="1" dtr="1" r1="F85" r2="F55" ca="1"/>
        <v>4862.5918748122276</v>
      </c>
      <c r="F617" s="628">
        <v>4840.1395857216003</v>
      </c>
      <c r="G617" s="628">
        <v>4817.6872966309729</v>
      </c>
      <c r="H617" s="629">
        <v>4795.2350075403447</v>
      </c>
      <c r="I617" s="628">
        <v>4772.7827184497173</v>
      </c>
      <c r="J617" s="628">
        <v>4750.33042935909</v>
      </c>
      <c r="K617" s="628">
        <v>4727.8781402684635</v>
      </c>
      <c r="L617" s="628">
        <v>4705.4258511778344</v>
      </c>
      <c r="M617" s="621">
        <v>4682.9735620872079</v>
      </c>
      <c r="N617" s="3"/>
      <c r="O617" s="3"/>
      <c r="P617" s="3"/>
      <c r="Q617" s="3"/>
      <c r="R617" s="3"/>
      <c r="S617" s="3"/>
      <c r="T617" s="3"/>
      <c r="U617" s="3"/>
      <c r="V617" s="3"/>
      <c r="W617" s="3"/>
      <c r="X617" s="3"/>
      <c r="Y617" s="3"/>
      <c r="Z617" s="3"/>
    </row>
    <row r="618" spans="1:26" ht="12.75" x14ac:dyDescent="0.2">
      <c r="A618" s="3"/>
      <c r="B618" s="3"/>
      <c r="C618" s="646"/>
      <c r="D618" s="383">
        <v>-0.02</v>
      </c>
      <c r="E618" s="630">
        <v>4788.5606361073633</v>
      </c>
      <c r="F618" s="631">
        <v>4766.108347016735</v>
      </c>
      <c r="G618" s="631">
        <v>4743.6560579261077</v>
      </c>
      <c r="H618" s="632">
        <v>4721.2037688354803</v>
      </c>
      <c r="I618" s="631">
        <v>4698.751479744853</v>
      </c>
      <c r="J618" s="631">
        <v>4676.2991906542247</v>
      </c>
      <c r="K618" s="631">
        <v>4653.8469015635983</v>
      </c>
      <c r="L618" s="631">
        <v>4631.39461247297</v>
      </c>
      <c r="M618" s="613">
        <v>4608.9423233823427</v>
      </c>
      <c r="N618" s="3"/>
      <c r="O618" s="3"/>
      <c r="P618" s="3"/>
      <c r="Q618" s="3"/>
      <c r="R618" s="3"/>
      <c r="S618" s="3"/>
      <c r="T618" s="3"/>
      <c r="U618" s="3"/>
      <c r="V618" s="3"/>
      <c r="W618" s="3"/>
      <c r="X618" s="3"/>
      <c r="Y618" s="3"/>
      <c r="Z618" s="3"/>
    </row>
    <row r="619" spans="1:26" ht="12.75" x14ac:dyDescent="0.2">
      <c r="A619" s="3"/>
      <c r="B619" s="3"/>
      <c r="C619" s="646"/>
      <c r="D619" s="384">
        <v>-0.01</v>
      </c>
      <c r="E619" s="633">
        <v>4711.1981743721917</v>
      </c>
      <c r="F619" s="634">
        <v>4688.7458852815653</v>
      </c>
      <c r="G619" s="634">
        <v>4666.2935961909379</v>
      </c>
      <c r="H619" s="632">
        <v>4643.8413071003088</v>
      </c>
      <c r="I619" s="634">
        <v>4621.3890180096823</v>
      </c>
      <c r="J619" s="634">
        <v>4598.9367289190541</v>
      </c>
      <c r="K619" s="634">
        <v>4576.4844398284285</v>
      </c>
      <c r="L619" s="634">
        <v>4554.0321507378012</v>
      </c>
      <c r="M619" s="615">
        <v>4531.5798616471729</v>
      </c>
      <c r="N619" s="3"/>
      <c r="O619" s="3"/>
      <c r="P619" s="3"/>
      <c r="Q619" s="3"/>
      <c r="R619" s="3"/>
      <c r="S619" s="3"/>
      <c r="T619" s="3"/>
      <c r="U619" s="3"/>
      <c r="V619" s="3"/>
      <c r="W619" s="3"/>
      <c r="X619" s="3"/>
      <c r="Y619" s="3"/>
      <c r="Z619" s="3"/>
    </row>
    <row r="620" spans="1:26" ht="12.75" x14ac:dyDescent="0.2">
      <c r="A620" s="3"/>
      <c r="B620" s="3"/>
      <c r="C620" s="646"/>
      <c r="D620" s="608">
        <v>0</v>
      </c>
      <c r="E620" s="635">
        <v>4630.3427405088687</v>
      </c>
      <c r="F620" s="632">
        <v>4607.8904514182404</v>
      </c>
      <c r="G620" s="632">
        <v>4585.438162327614</v>
      </c>
      <c r="H620" s="632">
        <v>4562.9858732369848</v>
      </c>
      <c r="I620" s="632">
        <v>4540.5335841463575</v>
      </c>
      <c r="J620" s="632">
        <v>4518.0812950557311</v>
      </c>
      <c r="K620" s="632">
        <v>4495.6290059651037</v>
      </c>
      <c r="L620" s="632">
        <v>4473.1767168744764</v>
      </c>
      <c r="M620" s="617">
        <v>4450.7244277838481</v>
      </c>
      <c r="N620" s="3"/>
      <c r="O620" s="3"/>
      <c r="P620" s="3"/>
      <c r="Q620" s="3"/>
      <c r="R620" s="3"/>
      <c r="S620" s="3"/>
      <c r="T620" s="3"/>
      <c r="U620" s="3"/>
      <c r="V620" s="3"/>
      <c r="W620" s="3"/>
      <c r="X620" s="3"/>
      <c r="Y620" s="3"/>
      <c r="Z620" s="3"/>
    </row>
    <row r="621" spans="1:26" ht="25.5" x14ac:dyDescent="0.2">
      <c r="A621" s="3"/>
      <c r="B621" s="3"/>
      <c r="C621" s="647" t="s">
        <v>945</v>
      </c>
      <c r="D621" s="383">
        <v>0.01</v>
      </c>
      <c r="E621" s="630">
        <v>4545.8251035583125</v>
      </c>
      <c r="F621" s="631">
        <v>4523.3728144676834</v>
      </c>
      <c r="G621" s="631">
        <v>4500.9205253770569</v>
      </c>
      <c r="H621" s="632">
        <v>4478.4682362864296</v>
      </c>
      <c r="I621" s="631">
        <v>4456.0159471958013</v>
      </c>
      <c r="J621" s="631">
        <v>4433.563658105174</v>
      </c>
      <c r="K621" s="631">
        <v>4411.1113690145476</v>
      </c>
      <c r="L621" s="631">
        <v>4388.6590799239202</v>
      </c>
      <c r="M621" s="613">
        <v>4366.206790833292</v>
      </c>
      <c r="N621" s="3"/>
      <c r="O621" s="3"/>
      <c r="P621" s="3"/>
      <c r="Q621" s="3"/>
      <c r="R621" s="3"/>
      <c r="S621" s="3"/>
      <c r="T621" s="3"/>
      <c r="U621" s="3"/>
      <c r="V621" s="3"/>
      <c r="W621" s="3"/>
      <c r="X621" s="3"/>
      <c r="Y621" s="3"/>
      <c r="Z621" s="3"/>
    </row>
    <row r="622" spans="1:26" ht="12.75" x14ac:dyDescent="0.2">
      <c r="A622" s="3"/>
      <c r="B622" s="3"/>
      <c r="C622" s="648" t="s">
        <v>944</v>
      </c>
      <c r="D622" s="383">
        <v>0.02</v>
      </c>
      <c r="E622" s="630">
        <v>4457.4682456648925</v>
      </c>
      <c r="F622" s="631">
        <v>4435.0159565742651</v>
      </c>
      <c r="G622" s="631">
        <v>4412.5636674836387</v>
      </c>
      <c r="H622" s="632">
        <v>4390.1113783930095</v>
      </c>
      <c r="I622" s="631">
        <v>4367.6590893023813</v>
      </c>
      <c r="J622" s="631">
        <v>4345.2068002117558</v>
      </c>
      <c r="K622" s="631">
        <v>4322.7545111211275</v>
      </c>
      <c r="L622" s="631">
        <v>4300.3022220305011</v>
      </c>
      <c r="M622" s="613">
        <v>4277.8499329398719</v>
      </c>
      <c r="N622" s="3"/>
      <c r="O622" s="3"/>
      <c r="P622" s="3"/>
      <c r="Q622" s="3"/>
      <c r="R622" s="3"/>
      <c r="S622" s="3"/>
      <c r="T622" s="3"/>
      <c r="U622" s="3"/>
      <c r="V622" s="3"/>
      <c r="W622" s="3"/>
      <c r="X622" s="3"/>
      <c r="Y622" s="3"/>
      <c r="Z622" s="3"/>
    </row>
    <row r="623" spans="1:26" ht="12.75" x14ac:dyDescent="0.2">
      <c r="A623" s="3"/>
      <c r="B623" s="3"/>
      <c r="C623" s="646"/>
      <c r="D623" s="383">
        <v>0.03</v>
      </c>
      <c r="E623" s="630">
        <v>4365.0870467626592</v>
      </c>
      <c r="F623" s="631">
        <v>4342.6347576720318</v>
      </c>
      <c r="G623" s="631">
        <v>4320.1824685814045</v>
      </c>
      <c r="H623" s="632">
        <v>4297.7301794907753</v>
      </c>
      <c r="I623" s="631">
        <v>4275.277890400147</v>
      </c>
      <c r="J623" s="631">
        <v>4252.8256013095197</v>
      </c>
      <c r="K623" s="631">
        <v>4230.3733122188933</v>
      </c>
      <c r="L623" s="631">
        <v>4207.921023128265</v>
      </c>
      <c r="M623" s="613">
        <v>4185.4687340376386</v>
      </c>
      <c r="N623" s="3"/>
      <c r="O623" s="3"/>
      <c r="P623" s="3"/>
      <c r="Q623" s="3"/>
      <c r="R623" s="3"/>
      <c r="S623" s="3"/>
      <c r="T623" s="3"/>
      <c r="U623" s="3"/>
      <c r="V623" s="3"/>
      <c r="W623" s="3"/>
      <c r="X623" s="3"/>
      <c r="Y623" s="3"/>
      <c r="Z623" s="3"/>
    </row>
    <row r="624" spans="1:26" ht="12.75" x14ac:dyDescent="0.2">
      <c r="A624" s="3"/>
      <c r="B624" s="3"/>
      <c r="C624" s="646"/>
      <c r="D624" s="383">
        <v>0.04</v>
      </c>
      <c r="E624" s="630">
        <v>4268.4879587179776</v>
      </c>
      <c r="F624" s="631">
        <v>4246.0356696273511</v>
      </c>
      <c r="G624" s="631">
        <v>4223.5833805367238</v>
      </c>
      <c r="H624" s="632">
        <v>4201.1310914460946</v>
      </c>
      <c r="I624" s="631">
        <v>4178.6788023554682</v>
      </c>
      <c r="J624" s="631">
        <v>4156.2265132648399</v>
      </c>
      <c r="K624" s="631">
        <v>4133.7742241742126</v>
      </c>
      <c r="L624" s="631">
        <v>4111.3219350835861</v>
      </c>
      <c r="M624" s="613">
        <v>4088.869645992957</v>
      </c>
      <c r="N624" s="3"/>
      <c r="O624" s="3"/>
      <c r="P624" s="3"/>
      <c r="Q624" s="3"/>
      <c r="R624" s="3"/>
      <c r="S624" s="3"/>
      <c r="T624" s="3"/>
      <c r="U624" s="3"/>
      <c r="V624" s="3"/>
      <c r="W624" s="3"/>
      <c r="X624" s="3"/>
      <c r="Y624" s="3"/>
      <c r="Z624" s="3"/>
    </row>
    <row r="625" spans="1:26" ht="12.75" x14ac:dyDescent="0.2">
      <c r="A625" s="3"/>
      <c r="B625" s="3"/>
      <c r="C625" s="649"/>
      <c r="D625" s="388">
        <v>0.05</v>
      </c>
      <c r="E625" s="636">
        <v>4167.4686686588475</v>
      </c>
      <c r="F625" s="637">
        <v>4145.016379568222</v>
      </c>
      <c r="G625" s="637">
        <v>4122.5640904775946</v>
      </c>
      <c r="H625" s="638">
        <v>4100.1118013869655</v>
      </c>
      <c r="I625" s="637">
        <v>4077.6595122963377</v>
      </c>
      <c r="J625" s="637">
        <v>4055.2072232057103</v>
      </c>
      <c r="K625" s="637">
        <v>4032.754934115083</v>
      </c>
      <c r="L625" s="637">
        <v>4010.3026450244565</v>
      </c>
      <c r="M625" s="619">
        <v>3987.8503559338278</v>
      </c>
      <c r="N625" s="3"/>
      <c r="O625" s="3"/>
      <c r="P625" s="3"/>
      <c r="Q625" s="3"/>
      <c r="R625" s="3"/>
      <c r="S625" s="3"/>
      <c r="T625" s="3"/>
      <c r="U625" s="3"/>
      <c r="V625" s="3"/>
      <c r="W625" s="3"/>
      <c r="X625" s="3"/>
      <c r="Y625" s="3"/>
      <c r="Z625" s="3"/>
    </row>
    <row r="626" spans="1:26" ht="12.75"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25.5" x14ac:dyDescent="0.2">
      <c r="A627" s="3"/>
      <c r="B627" s="3"/>
      <c r="C627" s="359"/>
      <c r="D627" s="359" t="s">
        <v>812</v>
      </c>
      <c r="E627" s="644" t="s">
        <v>947</v>
      </c>
      <c r="F627" s="639"/>
      <c r="G627" s="640"/>
      <c r="H627" s="643"/>
      <c r="I627" s="639"/>
      <c r="J627" s="639"/>
      <c r="K627" s="639"/>
      <c r="L627" s="639"/>
      <c r="M627" s="641"/>
      <c r="N627" s="3"/>
      <c r="O627" s="3"/>
      <c r="P627" s="3"/>
      <c r="Q627" s="3"/>
      <c r="R627" s="3"/>
      <c r="S627" s="3"/>
      <c r="T627" s="3"/>
      <c r="U627" s="3"/>
      <c r="V627" s="3"/>
      <c r="W627" s="3"/>
      <c r="X627" s="3"/>
      <c r="Y627" s="3"/>
      <c r="Z627" s="3"/>
    </row>
    <row r="628" spans="1:26" ht="12.75" x14ac:dyDescent="0.2">
      <c r="A628" s="3"/>
      <c r="B628" s="3"/>
      <c r="C628" s="364"/>
      <c r="D628" s="363">
        <f>$F$388</f>
        <v>4562.9858732369848</v>
      </c>
      <c r="E628" s="623">
        <v>-0.03</v>
      </c>
      <c r="F628" s="624">
        <v>-0.02</v>
      </c>
      <c r="G628" s="624">
        <v>-0.01</v>
      </c>
      <c r="H628" s="626">
        <v>0</v>
      </c>
      <c r="I628" s="624">
        <v>0.01</v>
      </c>
      <c r="J628" s="624">
        <v>0.02</v>
      </c>
      <c r="K628" s="624">
        <v>0.03</v>
      </c>
      <c r="L628" s="624">
        <v>0.04</v>
      </c>
      <c r="M628" s="625">
        <v>0.05</v>
      </c>
      <c r="N628" s="3"/>
      <c r="O628" s="3"/>
      <c r="P628" s="3"/>
      <c r="Q628" s="3"/>
      <c r="R628" s="3"/>
      <c r="S628" s="3"/>
      <c r="T628" s="3"/>
      <c r="U628" s="3"/>
      <c r="V628" s="3"/>
      <c r="W628" s="3"/>
      <c r="X628" s="3"/>
      <c r="Y628" s="3"/>
      <c r="Z628" s="3"/>
    </row>
    <row r="629" spans="1:26" ht="12.75" x14ac:dyDescent="0.2">
      <c r="A629" s="3"/>
      <c r="B629" s="3"/>
      <c r="C629" s="645"/>
      <c r="D629" s="382">
        <v>-0.03</v>
      </c>
      <c r="E629" s="627">
        <f t="dataTable" ref="E629:M637" dt2D="1" dtr="1" r1="F85" r2="F95" ca="1"/>
        <v>4314.887108200387</v>
      </c>
      <c r="F629" s="628">
        <v>4292.3402712130192</v>
      </c>
      <c r="G629" s="628">
        <v>4269.7934342256549</v>
      </c>
      <c r="H629" s="629">
        <v>4247.2465972382888</v>
      </c>
      <c r="I629" s="628">
        <v>4224.6997602509227</v>
      </c>
      <c r="J629" s="628">
        <v>4202.1529232635557</v>
      </c>
      <c r="K629" s="628">
        <v>4179.6060862761924</v>
      </c>
      <c r="L629" s="628">
        <v>4157.0592492888272</v>
      </c>
      <c r="M629" s="621">
        <v>4134.5124123014602</v>
      </c>
      <c r="N629" s="3"/>
      <c r="O629" s="3"/>
      <c r="P629" s="3"/>
      <c r="Q629" s="3"/>
      <c r="R629" s="3"/>
      <c r="S629" s="3"/>
      <c r="T629" s="3"/>
      <c r="U629" s="3"/>
      <c r="V629" s="3"/>
      <c r="W629" s="3"/>
      <c r="X629" s="3"/>
      <c r="Y629" s="3"/>
      <c r="Z629" s="3"/>
    </row>
    <row r="630" spans="1:26" ht="12.75" x14ac:dyDescent="0.2">
      <c r="A630" s="3"/>
      <c r="B630" s="3"/>
      <c r="C630" s="646"/>
      <c r="D630" s="383">
        <v>-0.02</v>
      </c>
      <c r="E630" s="630">
        <v>4420.0389856365464</v>
      </c>
      <c r="F630" s="631">
        <v>4397.5236646147614</v>
      </c>
      <c r="G630" s="631">
        <v>4375.0083435929746</v>
      </c>
      <c r="H630" s="632">
        <v>4352.4930225711878</v>
      </c>
      <c r="I630" s="631">
        <v>4329.9777015494019</v>
      </c>
      <c r="J630" s="631">
        <v>4307.462380527616</v>
      </c>
      <c r="K630" s="631">
        <v>4284.9470595058301</v>
      </c>
      <c r="L630" s="631">
        <v>4262.4317384840433</v>
      </c>
      <c r="M630" s="613">
        <v>4239.9164174622565</v>
      </c>
      <c r="N630" s="3"/>
      <c r="O630" s="3"/>
      <c r="P630" s="3"/>
      <c r="Q630" s="3"/>
      <c r="R630" s="3"/>
      <c r="S630" s="3"/>
      <c r="T630" s="3"/>
      <c r="U630" s="3"/>
      <c r="V630" s="3"/>
      <c r="W630" s="3"/>
      <c r="X630" s="3"/>
      <c r="Y630" s="3"/>
      <c r="Z630" s="3"/>
    </row>
    <row r="631" spans="1:26" ht="12.75" x14ac:dyDescent="0.2">
      <c r="A631" s="3"/>
      <c r="B631" s="3"/>
      <c r="C631" s="646"/>
      <c r="D631" s="384">
        <v>-0.01</v>
      </c>
      <c r="E631" s="633">
        <v>4525.1908630727048</v>
      </c>
      <c r="F631" s="634">
        <v>4502.7070580164982</v>
      </c>
      <c r="G631" s="634">
        <v>4480.2232529602916</v>
      </c>
      <c r="H631" s="632">
        <v>4457.739447904085</v>
      </c>
      <c r="I631" s="634">
        <v>4435.2556428478783</v>
      </c>
      <c r="J631" s="634">
        <v>4412.7718377916708</v>
      </c>
      <c r="K631" s="634">
        <v>4390.2880327354642</v>
      </c>
      <c r="L631" s="634">
        <v>4367.8042276792594</v>
      </c>
      <c r="M631" s="615">
        <v>4345.3204226230509</v>
      </c>
      <c r="N631" s="3"/>
      <c r="O631" s="3"/>
      <c r="P631" s="3"/>
      <c r="Q631" s="3"/>
      <c r="R631" s="3"/>
      <c r="S631" s="3"/>
      <c r="T631" s="3"/>
      <c r="U631" s="3"/>
      <c r="V631" s="3"/>
      <c r="W631" s="3"/>
      <c r="X631" s="3"/>
      <c r="Y631" s="3"/>
      <c r="Z631" s="3"/>
    </row>
    <row r="632" spans="1:26" ht="12.75" x14ac:dyDescent="0.2">
      <c r="A632" s="3"/>
      <c r="B632" s="3"/>
      <c r="C632" s="646"/>
      <c r="D632" s="608">
        <v>0</v>
      </c>
      <c r="E632" s="635">
        <v>4630.3427405088687</v>
      </c>
      <c r="F632" s="632">
        <v>4607.8904514182404</v>
      </c>
      <c r="G632" s="632">
        <v>4585.438162327614</v>
      </c>
      <c r="H632" s="632">
        <v>4562.9858732369848</v>
      </c>
      <c r="I632" s="632">
        <v>4540.5335841463575</v>
      </c>
      <c r="J632" s="632">
        <v>4518.0812950557311</v>
      </c>
      <c r="K632" s="632">
        <v>4495.6290059651037</v>
      </c>
      <c r="L632" s="632">
        <v>4473.1767168744764</v>
      </c>
      <c r="M632" s="617">
        <v>4450.7244277838481</v>
      </c>
      <c r="N632" s="3"/>
      <c r="O632" s="3"/>
      <c r="P632" s="3"/>
      <c r="Q632" s="3"/>
      <c r="R632" s="3"/>
      <c r="S632" s="3"/>
      <c r="T632" s="3"/>
      <c r="U632" s="3"/>
      <c r="V632" s="3"/>
      <c r="W632" s="3"/>
      <c r="X632" s="3"/>
      <c r="Y632" s="3"/>
      <c r="Z632" s="3"/>
    </row>
    <row r="633" spans="1:26" ht="12.75" x14ac:dyDescent="0.2">
      <c r="A633" s="3"/>
      <c r="B633" s="3"/>
      <c r="C633" s="647" t="s">
        <v>954</v>
      </c>
      <c r="D633" s="383">
        <v>0.01</v>
      </c>
      <c r="E633" s="630">
        <v>4735.4946179450271</v>
      </c>
      <c r="F633" s="631">
        <v>4713.07384481998</v>
      </c>
      <c r="G633" s="631">
        <v>4690.653071694931</v>
      </c>
      <c r="H633" s="632">
        <v>4668.2322985698829</v>
      </c>
      <c r="I633" s="631">
        <v>4645.8115254448339</v>
      </c>
      <c r="J633" s="631">
        <v>4623.3907523197868</v>
      </c>
      <c r="K633" s="631">
        <v>4600.9699791947396</v>
      </c>
      <c r="L633" s="631">
        <v>4578.5492060696915</v>
      </c>
      <c r="M633" s="613">
        <v>4556.1284329446426</v>
      </c>
      <c r="N633" s="3"/>
      <c r="O633" s="3"/>
      <c r="P633" s="3"/>
      <c r="Q633" s="3"/>
      <c r="R633" s="3"/>
      <c r="S633" s="3"/>
      <c r="T633" s="3"/>
      <c r="U633" s="3"/>
      <c r="V633" s="3"/>
      <c r="W633" s="3"/>
      <c r="X633" s="3"/>
      <c r="Y633" s="3"/>
      <c r="Z633" s="3"/>
    </row>
    <row r="634" spans="1:26" ht="12.75" x14ac:dyDescent="0.2">
      <c r="A634" s="3"/>
      <c r="B634" s="3"/>
      <c r="C634" s="648" t="s">
        <v>944</v>
      </c>
      <c r="D634" s="383">
        <v>0.02</v>
      </c>
      <c r="E634" s="630">
        <v>4840.6464953811865</v>
      </c>
      <c r="F634" s="631">
        <v>4818.2572382217177</v>
      </c>
      <c r="G634" s="631">
        <v>4795.8679810622489</v>
      </c>
      <c r="H634" s="632">
        <v>4773.4787239027792</v>
      </c>
      <c r="I634" s="631">
        <v>4751.0894667433113</v>
      </c>
      <c r="J634" s="631">
        <v>4728.7002095838425</v>
      </c>
      <c r="K634" s="631">
        <v>4706.3109524243764</v>
      </c>
      <c r="L634" s="631">
        <v>4683.9216952649067</v>
      </c>
      <c r="M634" s="613">
        <v>4661.532438105437</v>
      </c>
      <c r="N634" s="3"/>
      <c r="O634" s="3"/>
      <c r="P634" s="3"/>
      <c r="Q634" s="3"/>
      <c r="R634" s="3"/>
      <c r="S634" s="3"/>
      <c r="T634" s="3"/>
      <c r="U634" s="3"/>
      <c r="V634" s="3"/>
      <c r="W634" s="3"/>
      <c r="X634" s="3"/>
      <c r="Y634" s="3"/>
      <c r="Z634" s="3"/>
    </row>
    <row r="635" spans="1:26" ht="12.75" x14ac:dyDescent="0.2">
      <c r="A635" s="3"/>
      <c r="B635" s="3"/>
      <c r="C635" s="646"/>
      <c r="D635" s="383">
        <v>0.03</v>
      </c>
      <c r="E635" s="630">
        <v>4945.7983728173476</v>
      </c>
      <c r="F635" s="631">
        <v>4923.4406316234581</v>
      </c>
      <c r="G635" s="631">
        <v>4901.0828904295686</v>
      </c>
      <c r="H635" s="632">
        <v>4878.7251492356791</v>
      </c>
      <c r="I635" s="631">
        <v>4856.3674080417904</v>
      </c>
      <c r="J635" s="631">
        <v>4834.0096668479</v>
      </c>
      <c r="K635" s="631">
        <v>4811.6519256540132</v>
      </c>
      <c r="L635" s="631">
        <v>4789.2941844601246</v>
      </c>
      <c r="M635" s="613">
        <v>4766.9364432662351</v>
      </c>
      <c r="N635" s="3"/>
      <c r="O635" s="3"/>
      <c r="P635" s="3"/>
      <c r="Q635" s="3"/>
      <c r="R635" s="3"/>
      <c r="S635" s="3"/>
      <c r="T635" s="3"/>
      <c r="U635" s="3"/>
      <c r="V635" s="3"/>
      <c r="W635" s="3"/>
      <c r="X635" s="3"/>
      <c r="Y635" s="3"/>
      <c r="Z635" s="3"/>
    </row>
    <row r="636" spans="1:26" ht="12.75" x14ac:dyDescent="0.2">
      <c r="A636" s="3"/>
      <c r="B636" s="3"/>
      <c r="C636" s="646"/>
      <c r="D636" s="383">
        <v>0.04</v>
      </c>
      <c r="E636" s="630">
        <v>5050.9502502535097</v>
      </c>
      <c r="F636" s="631">
        <v>5028.6240250251994</v>
      </c>
      <c r="G636" s="631">
        <v>5006.2977997968892</v>
      </c>
      <c r="H636" s="632">
        <v>4983.9715745685799</v>
      </c>
      <c r="I636" s="631">
        <v>4961.6453493402696</v>
      </c>
      <c r="J636" s="631">
        <v>4939.3191241119594</v>
      </c>
      <c r="K636" s="631">
        <v>4916.99289888365</v>
      </c>
      <c r="L636" s="631">
        <v>4894.6666736553416</v>
      </c>
      <c r="M636" s="613">
        <v>4872.3404484270313</v>
      </c>
      <c r="N636" s="3"/>
      <c r="O636" s="3"/>
      <c r="P636" s="3"/>
      <c r="Q636" s="3"/>
      <c r="R636" s="3"/>
      <c r="S636" s="3"/>
      <c r="T636" s="3"/>
      <c r="U636" s="3"/>
      <c r="V636" s="3"/>
      <c r="W636" s="3"/>
      <c r="X636" s="3"/>
      <c r="Y636" s="3"/>
      <c r="Z636" s="3"/>
    </row>
    <row r="637" spans="1:26" ht="12.75" x14ac:dyDescent="0.2">
      <c r="A637" s="3"/>
      <c r="B637" s="3"/>
      <c r="C637" s="649"/>
      <c r="D637" s="388">
        <v>0.05</v>
      </c>
      <c r="E637" s="636">
        <v>5156.1021276896699</v>
      </c>
      <c r="F637" s="637">
        <v>5133.8074184269371</v>
      </c>
      <c r="G637" s="637">
        <v>5111.512709164208</v>
      </c>
      <c r="H637" s="638">
        <v>5089.217999901477</v>
      </c>
      <c r="I637" s="637">
        <v>5066.9232906387469</v>
      </c>
      <c r="J637" s="637">
        <v>5044.628581376016</v>
      </c>
      <c r="K637" s="637">
        <v>5022.3338721132868</v>
      </c>
      <c r="L637" s="637">
        <v>5000.0391628505567</v>
      </c>
      <c r="M637" s="619">
        <v>4977.7444535878267</v>
      </c>
      <c r="N637" s="3"/>
      <c r="O637" s="3"/>
      <c r="P637" s="3"/>
      <c r="Q637" s="3"/>
      <c r="R637" s="3"/>
      <c r="S637" s="3"/>
      <c r="T637" s="3"/>
      <c r="U637" s="3"/>
      <c r="V637" s="3"/>
      <c r="W637" s="3"/>
      <c r="X637" s="3"/>
      <c r="Y637" s="3"/>
      <c r="Z637" s="3"/>
    </row>
    <row r="638" spans="1:26" ht="12.75"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25.5" x14ac:dyDescent="0.2">
      <c r="A639" s="3"/>
      <c r="B639" s="3"/>
      <c r="C639" s="359"/>
      <c r="D639" s="359" t="s">
        <v>812</v>
      </c>
      <c r="E639" s="673" t="s">
        <v>960</v>
      </c>
      <c r="F639" s="639"/>
      <c r="G639" s="640"/>
      <c r="H639" s="643"/>
      <c r="I639" s="639"/>
      <c r="J639" s="639"/>
      <c r="K639" s="674"/>
      <c r="L639" s="675"/>
      <c r="M639" s="675"/>
      <c r="N639" s="3"/>
      <c r="O639" s="3"/>
      <c r="P639" s="3"/>
      <c r="Q639" s="3"/>
      <c r="R639" s="3"/>
      <c r="S639" s="3"/>
      <c r="T639" s="3"/>
      <c r="U639" s="3"/>
      <c r="V639" s="3"/>
      <c r="W639" s="3"/>
      <c r="X639" s="3"/>
      <c r="Y639" s="3"/>
      <c r="Z639" s="3"/>
    </row>
    <row r="640" spans="1:26" ht="12.75" x14ac:dyDescent="0.2">
      <c r="A640" s="3"/>
      <c r="B640" s="3"/>
      <c r="C640" s="364"/>
      <c r="D640" s="363">
        <f>$F$388</f>
        <v>4562.9858732369848</v>
      </c>
      <c r="E640" s="652">
        <v>3</v>
      </c>
      <c r="F640" s="653">
        <v>4</v>
      </c>
      <c r="G640" s="851">
        <v>5</v>
      </c>
      <c r="H640" s="652">
        <v>6</v>
      </c>
      <c r="I640" s="654">
        <v>6.7</v>
      </c>
      <c r="J640" s="652">
        <v>7</v>
      </c>
      <c r="K640" s="671"/>
      <c r="L640" s="672"/>
      <c r="M640" s="672"/>
      <c r="N640" s="3"/>
      <c r="O640" s="3"/>
      <c r="P640" s="3"/>
      <c r="Q640" s="3"/>
      <c r="R640" s="3"/>
      <c r="S640" s="3"/>
      <c r="T640" s="3"/>
      <c r="U640" s="3"/>
      <c r="V640" s="3"/>
      <c r="W640" s="3"/>
      <c r="X640" s="3"/>
      <c r="Y640" s="3"/>
      <c r="Z640" s="3"/>
    </row>
    <row r="641" spans="1:26" ht="12.75" x14ac:dyDescent="0.2">
      <c r="A641" s="3"/>
      <c r="B641" s="3"/>
      <c r="C641" s="645"/>
      <c r="D641" s="382">
        <v>-0.03</v>
      </c>
      <c r="E641" s="627">
        <f t="dataTable" ref="E641:J649" dt2D="1" dtr="1" r1="I33" r2="F95"/>
        <v>-5688.9750248893106</v>
      </c>
      <c r="F641" s="628">
        <v>-2872.7974594408447</v>
      </c>
      <c r="G641" s="628">
        <v>-55.180015050943723</v>
      </c>
      <c r="H641" s="628">
        <v>2619.857762511544</v>
      </c>
      <c r="I641" s="629">
        <v>4247.2465972382888</v>
      </c>
      <c r="J641" s="628">
        <v>4909.6947938911453</v>
      </c>
      <c r="K641" s="630"/>
      <c r="L641" s="631"/>
      <c r="M641" s="631"/>
      <c r="N641" s="3"/>
      <c r="O641" s="3"/>
      <c r="P641" s="3"/>
      <c r="Q641" s="3"/>
      <c r="R641" s="3"/>
      <c r="S641" s="3"/>
      <c r="T641" s="3"/>
      <c r="U641" s="3"/>
      <c r="V641" s="3"/>
      <c r="W641" s="3"/>
      <c r="X641" s="3"/>
      <c r="Y641" s="3"/>
      <c r="Z641" s="3"/>
    </row>
    <row r="642" spans="1:26" ht="12.75" x14ac:dyDescent="0.2">
      <c r="A642" s="3"/>
      <c r="B642" s="3"/>
      <c r="C642" s="646"/>
      <c r="D642" s="383">
        <v>-0.02</v>
      </c>
      <c r="E642" s="630">
        <v>-5693.1542891153649</v>
      </c>
      <c r="F642" s="631">
        <v>-2846.7835181038981</v>
      </c>
      <c r="G642" s="631">
        <v>1.027131849004677</v>
      </c>
      <c r="H642" s="631">
        <v>2705.8875374847867</v>
      </c>
      <c r="I642" s="632">
        <v>4352.4930225711878</v>
      </c>
      <c r="J642" s="631">
        <v>5022.6378704585168</v>
      </c>
      <c r="K642" s="630"/>
      <c r="L642" s="631"/>
      <c r="M642" s="631"/>
      <c r="N642" s="3"/>
      <c r="O642" s="3"/>
      <c r="P642" s="3"/>
      <c r="Q642" s="3"/>
      <c r="R642" s="3"/>
      <c r="S642" s="3"/>
      <c r="T642" s="3"/>
      <c r="U642" s="3"/>
      <c r="V642" s="3"/>
      <c r="W642" s="3"/>
      <c r="X642" s="3"/>
      <c r="Y642" s="3"/>
      <c r="Z642" s="3"/>
    </row>
    <row r="643" spans="1:26" ht="12.75" x14ac:dyDescent="0.2">
      <c r="A643" s="3"/>
      <c r="B643" s="3"/>
      <c r="C643" s="646"/>
      <c r="D643" s="384">
        <v>-0.01</v>
      </c>
      <c r="E643" s="633">
        <v>-5697.3335533414202</v>
      </c>
      <c r="F643" s="634">
        <v>-2820.7695767669511</v>
      </c>
      <c r="G643" s="634">
        <v>57.234278748951901</v>
      </c>
      <c r="H643" s="631">
        <v>2791.9173124580266</v>
      </c>
      <c r="I643" s="632">
        <v>4457.739447904085</v>
      </c>
      <c r="J643" s="634">
        <v>5135.5809470258846</v>
      </c>
      <c r="K643" s="630"/>
      <c r="L643" s="631"/>
      <c r="M643" s="631"/>
      <c r="N643" s="3"/>
      <c r="O643" s="3"/>
      <c r="P643" s="3"/>
      <c r="Q643" s="3"/>
      <c r="R643" s="3"/>
      <c r="S643" s="3"/>
      <c r="T643" s="3"/>
      <c r="U643" s="3"/>
      <c r="V643" s="3"/>
      <c r="W643" s="3"/>
      <c r="X643" s="3"/>
      <c r="Y643" s="3"/>
      <c r="Z643" s="3"/>
    </row>
    <row r="644" spans="1:26" ht="12.75" x14ac:dyDescent="0.2">
      <c r="A644" s="3"/>
      <c r="B644" s="3"/>
      <c r="C644" s="646"/>
      <c r="D644" s="608">
        <v>0</v>
      </c>
      <c r="E644" s="635">
        <v>-5701.5128175674745</v>
      </c>
      <c r="F644" s="632">
        <v>-2794.7556354300036</v>
      </c>
      <c r="G644" s="632">
        <v>113.44142564889957</v>
      </c>
      <c r="H644" s="632">
        <v>2877.9470874312678</v>
      </c>
      <c r="I644" s="632">
        <v>4562.9858732369848</v>
      </c>
      <c r="J644" s="632">
        <v>5248.5240235932524</v>
      </c>
      <c r="K644" s="630"/>
      <c r="L644" s="631"/>
      <c r="M644" s="631"/>
      <c r="N644" s="3"/>
      <c r="O644" s="3"/>
      <c r="P644" s="3"/>
      <c r="Q644" s="3"/>
      <c r="R644" s="3"/>
      <c r="S644" s="3"/>
      <c r="T644" s="3"/>
      <c r="U644" s="3"/>
      <c r="V644" s="3"/>
      <c r="W644" s="3"/>
      <c r="X644" s="3"/>
      <c r="Y644" s="3"/>
      <c r="Z644" s="3"/>
    </row>
    <row r="645" spans="1:26" ht="12.75" x14ac:dyDescent="0.2">
      <c r="A645" s="3"/>
      <c r="B645" s="3"/>
      <c r="C645" s="647" t="s">
        <v>954</v>
      </c>
      <c r="D645" s="383">
        <v>0.01</v>
      </c>
      <c r="E645" s="630">
        <v>-5705.6920817935279</v>
      </c>
      <c r="F645" s="631">
        <v>-2768.7416940930566</v>
      </c>
      <c r="G645" s="631">
        <v>169.64857254884842</v>
      </c>
      <c r="H645" s="631">
        <v>2963.9768624045087</v>
      </c>
      <c r="I645" s="632">
        <v>4668.2322985698829</v>
      </c>
      <c r="J645" s="631">
        <v>5361.4671001606221</v>
      </c>
      <c r="K645" s="630"/>
      <c r="L645" s="631"/>
      <c r="M645" s="631"/>
      <c r="N645" s="3"/>
      <c r="O645" s="3"/>
      <c r="P645" s="3"/>
      <c r="Q645" s="3"/>
      <c r="R645" s="3"/>
      <c r="S645" s="3"/>
      <c r="T645" s="3"/>
      <c r="U645" s="3"/>
      <c r="V645" s="3"/>
      <c r="W645" s="3"/>
      <c r="X645" s="3"/>
      <c r="Y645" s="3"/>
      <c r="Z645" s="3"/>
    </row>
    <row r="646" spans="1:26" ht="12.75" x14ac:dyDescent="0.2">
      <c r="A646" s="3"/>
      <c r="B646" s="3"/>
      <c r="C646" s="648" t="s">
        <v>944</v>
      </c>
      <c r="D646" s="383">
        <v>0.02</v>
      </c>
      <c r="E646" s="630">
        <v>-5709.8713460195841</v>
      </c>
      <c r="F646" s="631">
        <v>-2742.7277527561096</v>
      </c>
      <c r="G646" s="631">
        <v>225.85571944879746</v>
      </c>
      <c r="H646" s="631">
        <v>3050.0066373777495</v>
      </c>
      <c r="I646" s="632">
        <v>4773.4787239027792</v>
      </c>
      <c r="J646" s="631">
        <v>5474.4101767279926</v>
      </c>
      <c r="K646" s="630"/>
      <c r="L646" s="631"/>
      <c r="M646" s="631"/>
      <c r="N646" s="3"/>
      <c r="O646" s="3"/>
      <c r="P646" s="3"/>
      <c r="Q646" s="3"/>
      <c r="R646" s="3"/>
      <c r="S646" s="3"/>
      <c r="T646" s="3"/>
      <c r="U646" s="3"/>
      <c r="V646" s="3"/>
      <c r="W646" s="3"/>
      <c r="X646" s="3"/>
      <c r="Y646" s="3"/>
      <c r="Z646" s="3"/>
    </row>
    <row r="647" spans="1:26" ht="12.75" x14ac:dyDescent="0.2">
      <c r="A647" s="3"/>
      <c r="B647" s="3"/>
      <c r="C647" s="646"/>
      <c r="D647" s="383">
        <v>0.03</v>
      </c>
      <c r="E647" s="630">
        <v>-5714.0506102456375</v>
      </c>
      <c r="F647" s="631">
        <v>-2716.7138114191639</v>
      </c>
      <c r="G647" s="631">
        <v>282.06286634874476</v>
      </c>
      <c r="H647" s="631">
        <v>3136.0364123509908</v>
      </c>
      <c r="I647" s="632">
        <v>4878.7251492356791</v>
      </c>
      <c r="J647" s="631">
        <v>5587.3532532953614</v>
      </c>
      <c r="K647" s="630"/>
      <c r="L647" s="631"/>
      <c r="M647" s="631"/>
      <c r="N647" s="3"/>
      <c r="O647" s="3"/>
      <c r="P647" s="3"/>
      <c r="Q647" s="3"/>
      <c r="R647" s="3"/>
      <c r="S647" s="3"/>
      <c r="T647" s="3"/>
      <c r="U647" s="3"/>
      <c r="V647" s="3"/>
      <c r="W647" s="3"/>
      <c r="X647" s="3"/>
      <c r="Y647" s="3"/>
      <c r="Z647" s="3"/>
    </row>
    <row r="648" spans="1:26" ht="12.75" x14ac:dyDescent="0.2">
      <c r="A648" s="3"/>
      <c r="B648" s="3"/>
      <c r="C648" s="646"/>
      <c r="D648" s="383">
        <v>0.04</v>
      </c>
      <c r="E648" s="630">
        <v>-5718.2298744716918</v>
      </c>
      <c r="F648" s="631">
        <v>-2690.6998700822164</v>
      </c>
      <c r="G648" s="631">
        <v>338.27001324869218</v>
      </c>
      <c r="H648" s="631">
        <v>3222.0661873242311</v>
      </c>
      <c r="I648" s="632">
        <v>4983.9715745685799</v>
      </c>
      <c r="J648" s="631">
        <v>5700.296329862731</v>
      </c>
      <c r="K648" s="630"/>
      <c r="L648" s="631"/>
      <c r="M648" s="631"/>
      <c r="N648" s="3"/>
      <c r="O648" s="3"/>
      <c r="P648" s="3"/>
      <c r="Q648" s="3"/>
      <c r="R648" s="3"/>
      <c r="S648" s="3"/>
      <c r="T648" s="3"/>
      <c r="U648" s="3"/>
      <c r="V648" s="3"/>
      <c r="W648" s="3"/>
      <c r="X648" s="3"/>
      <c r="Y648" s="3"/>
      <c r="Z648" s="3"/>
    </row>
    <row r="649" spans="1:26" ht="12.75" x14ac:dyDescent="0.2">
      <c r="A649" s="3"/>
      <c r="B649" s="3"/>
      <c r="C649" s="649"/>
      <c r="D649" s="388">
        <v>0.05</v>
      </c>
      <c r="E649" s="636">
        <v>-5722.409138697747</v>
      </c>
      <c r="F649" s="637">
        <v>-2664.6859287452708</v>
      </c>
      <c r="G649" s="637">
        <v>394.47716014864022</v>
      </c>
      <c r="H649" s="637">
        <v>3308.0959622974715</v>
      </c>
      <c r="I649" s="638">
        <v>5089.217999901477</v>
      </c>
      <c r="J649" s="637">
        <v>5813.2394064300988</v>
      </c>
      <c r="K649" s="630"/>
      <c r="L649" s="631"/>
      <c r="M649" s="631"/>
      <c r="N649" s="3"/>
      <c r="O649" s="3"/>
      <c r="P649" s="3"/>
      <c r="Q649" s="3"/>
      <c r="R649" s="3"/>
      <c r="S649" s="3"/>
      <c r="T649" s="3"/>
      <c r="U649" s="3"/>
      <c r="V649" s="3"/>
      <c r="W649" s="3"/>
      <c r="X649" s="3"/>
      <c r="Y649" s="3"/>
      <c r="Z649" s="3"/>
    </row>
    <row r="650" spans="1:26" s="241" customFormat="1" ht="12.75" x14ac:dyDescent="0.2">
      <c r="A650" s="246"/>
      <c r="B650" s="246"/>
      <c r="C650" s="677"/>
      <c r="D650" s="678"/>
      <c r="E650" s="676"/>
      <c r="F650" s="676"/>
      <c r="G650" s="676"/>
      <c r="H650" s="676"/>
      <c r="I650" s="676"/>
      <c r="J650" s="676"/>
      <c r="K650" s="676"/>
      <c r="L650" s="676"/>
      <c r="M650" s="676"/>
      <c r="N650" s="246"/>
      <c r="O650" s="246"/>
      <c r="P650" s="246"/>
      <c r="Q650" s="246"/>
      <c r="R650" s="246"/>
      <c r="S650" s="246"/>
      <c r="T650" s="246"/>
      <c r="U650" s="246"/>
      <c r="V650" s="246"/>
      <c r="W650" s="246"/>
      <c r="X650" s="246"/>
      <c r="Y650" s="246"/>
      <c r="Z650" s="246"/>
    </row>
    <row r="651" spans="1:26" s="226" customFormat="1" ht="12.75" x14ac:dyDescent="0.2">
      <c r="A651" s="355" t="s">
        <v>919</v>
      </c>
      <c r="B651" s="353"/>
      <c r="C651" s="353"/>
      <c r="D651" s="356"/>
      <c r="E651" s="356"/>
      <c r="F651" s="357"/>
      <c r="G651" s="357"/>
      <c r="H651" s="357"/>
      <c r="I651" s="357"/>
      <c r="J651" s="357"/>
      <c r="K651" s="357"/>
      <c r="L651" s="357"/>
      <c r="M651" s="357"/>
      <c r="N651" s="357"/>
      <c r="O651" s="357"/>
      <c r="P651" s="357"/>
      <c r="Q651" s="357"/>
      <c r="R651" s="357"/>
      <c r="S651" s="357"/>
      <c r="T651" s="353"/>
      <c r="U651" s="353"/>
      <c r="V651" s="353"/>
      <c r="W651" s="353"/>
      <c r="X651" s="353"/>
      <c r="Y651" s="353"/>
      <c r="Z651" s="353"/>
    </row>
    <row r="652" spans="1:26" ht="12.75"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x14ac:dyDescent="0.2">
      <c r="A653" s="3"/>
      <c r="B653" s="479" t="s">
        <v>920</v>
      </c>
      <c r="C653" s="43"/>
      <c r="D653" s="43"/>
      <c r="E653" s="43"/>
      <c r="F653" s="51">
        <v>0</v>
      </c>
      <c r="G653" s="51">
        <v>1</v>
      </c>
      <c r="H653" s="51">
        <v>2</v>
      </c>
      <c r="I653" s="51">
        <v>3</v>
      </c>
      <c r="J653" s="51">
        <v>4</v>
      </c>
      <c r="K653" s="51">
        <v>5</v>
      </c>
      <c r="L653" s="51">
        <v>6</v>
      </c>
      <c r="M653" s="51">
        <v>7</v>
      </c>
      <c r="N653" s="51">
        <v>8</v>
      </c>
      <c r="O653" s="51">
        <v>9</v>
      </c>
      <c r="P653" s="51">
        <v>10</v>
      </c>
      <c r="Q653" s="51">
        <v>11</v>
      </c>
      <c r="R653" s="51">
        <v>12</v>
      </c>
      <c r="S653" s="51">
        <v>13</v>
      </c>
      <c r="T653" s="3"/>
      <c r="U653" s="3"/>
      <c r="V653" s="3"/>
      <c r="W653" s="3"/>
      <c r="X653" s="3"/>
      <c r="Y653" s="3"/>
      <c r="Z653" s="3"/>
    </row>
    <row r="654" spans="1:26" ht="12.75" x14ac:dyDescent="0.2">
      <c r="A654" s="3"/>
      <c r="B654" s="43"/>
      <c r="C654" s="480" t="s">
        <v>916</v>
      </c>
      <c r="D654" s="43"/>
      <c r="E654" s="43"/>
      <c r="F654" s="593">
        <f>(($I64*$I$25*$F$29*(F$501*F$500))/1000+E654)*IF(F$653=$I$113,(1-$I$112),1)</f>
        <v>0</v>
      </c>
      <c r="G654" s="593">
        <f>(($I64*$I$25*$F$29*(G$501*G$500))/1000+F654)*IF(G$653=$I$113,(1-$I$112),1)</f>
        <v>270</v>
      </c>
      <c r="H654" s="593">
        <f>(($I64*$I$25*$F$29*(H$501*H$500))/1000+G654)*IF(H$653=$I$113,(1-$I$112),1)</f>
        <v>1170</v>
      </c>
      <c r="I654" s="593">
        <f>(($I64*$I$25*$F$29*(I$501*I$500))/1000+H654)*IF(I$653=$I$113,(1-$I$112),1)</f>
        <v>2250</v>
      </c>
      <c r="J654" s="593">
        <f>(($I64*$I$25*$F$29*(J$501*J$500))/1000+I654)*IF(J$653=$I$113,(1-$I$112),1)</f>
        <v>3600</v>
      </c>
      <c r="K654" s="593">
        <f>(($I64*$I$25*$F$29*(K$501*K$500))/1000+J654)*IF(K$653=$I$113,(1-$I$112),1)</f>
        <v>2880</v>
      </c>
      <c r="L654" s="593">
        <f>(($I64*$I$25*$F$29*(L$501*L$500))/1000+K654)*IF(L$653=$I$113,(1-$I$112),1)</f>
        <v>2880</v>
      </c>
      <c r="M654" s="593">
        <f>(($I64*$I$25*$F$29*(M$501*M$500))/1000+L654)*IF(M$653=$I$113,(1-$I$112),1)</f>
        <v>2880</v>
      </c>
      <c r="N654" s="593">
        <f>(($I64*$I$25*$F$29*(N$501*N$500))/1000+M654)*IF(N$653=$I$113,(1-$I$112),1)</f>
        <v>2880</v>
      </c>
      <c r="O654" s="593">
        <f>(($I64*$I$25*$F$29*(O$501*O$500))/1000+N654)*IF(O$653=$I$113,(1-$I$112),1)</f>
        <v>2880</v>
      </c>
      <c r="P654" s="593">
        <f>(($I64*$I$25*$F$29*(P$501*P$500))/1000+O654)*IF(P$653=$I$113,(1-$I$112),1)</f>
        <v>2880</v>
      </c>
      <c r="Q654" s="593">
        <f>(($I64*$I$25*$F$29*(Q$501*Q$500))/1000+P654)*IF(Q$653=$I$113,(1-$I$112),1)</f>
        <v>2880</v>
      </c>
      <c r="R654" s="593">
        <f>(($I64*$I$25*$F$29*(R$501*R$500))/1000+Q654)*IF(R$653=$I$113,(1-$I$112),1)</f>
        <v>2880</v>
      </c>
      <c r="S654" s="593">
        <f>(($I64*$I$25*$F$29*(S$501*S$500))/1000+R654)*IF(S$653=$I$113,(1-$I$112),1)</f>
        <v>2880</v>
      </c>
      <c r="T654" s="3"/>
      <c r="U654" s="3"/>
      <c r="V654" s="3"/>
      <c r="W654" s="3"/>
      <c r="X654" s="3"/>
      <c r="Y654" s="3"/>
      <c r="Z654" s="3"/>
    </row>
    <row r="655" spans="1:26" ht="12.75" x14ac:dyDescent="0.2">
      <c r="A655" s="3"/>
      <c r="B655" s="43"/>
      <c r="C655" s="480" t="s">
        <v>917</v>
      </c>
      <c r="D655" s="43"/>
      <c r="E655" s="43"/>
      <c r="F655" s="593">
        <f>(($I65*$I$25*$F$29*(F$501*F$500))/1000+E655)*IF(F$653=$I$113,(1-$I$112),1)</f>
        <v>0</v>
      </c>
      <c r="G655" s="593">
        <f>(($I65*$I$25*$F$29*(G$501*G$500))/1000+F655)*IF(G$653=$I$113,(1-$I$112),1)</f>
        <v>540</v>
      </c>
      <c r="H655" s="593">
        <f>(($I65*$I$25*$F$29*(H$501*H$500))/1000+G655)*IF(H$653=$I$113,(1-$I$112),1)</f>
        <v>2340</v>
      </c>
      <c r="I655" s="593">
        <f>(($I65*$I$25*$F$29*(I$501*I$500))/1000+H655)*IF(I$653=$I$113,(1-$I$112),1)</f>
        <v>4500</v>
      </c>
      <c r="J655" s="593">
        <f>(($I65*$I$25*$F$29*(J$501*J$500))/1000+I655)*IF(J$653=$I$113,(1-$I$112),1)</f>
        <v>7200</v>
      </c>
      <c r="K655" s="593">
        <f>(($I65*$I$25*$F$29*(K$501*K$500))/1000+J655)*IF(K$653=$I$113,(1-$I$112),1)</f>
        <v>5760</v>
      </c>
      <c r="L655" s="593">
        <f>(($I65*$I$25*$F$29*(L$501*L$500))/1000+K655)*IF(L$653=$I$113,(1-$I$112),1)</f>
        <v>5760</v>
      </c>
      <c r="M655" s="593">
        <f>(($I65*$I$25*$F$29*(M$501*M$500))/1000+L655)*IF(M$653=$I$113,(1-$I$112),1)</f>
        <v>5760</v>
      </c>
      <c r="N655" s="593">
        <f>(($I65*$I$25*$F$29*(N$501*N$500))/1000+M655)*IF(N$653=$I$113,(1-$I$112),1)</f>
        <v>5760</v>
      </c>
      <c r="O655" s="593">
        <f>(($I65*$I$25*$F$29*(O$501*O$500))/1000+N655)*IF(O$653=$I$113,(1-$I$112),1)</f>
        <v>5760</v>
      </c>
      <c r="P655" s="593">
        <f>(($I65*$I$25*$F$29*(P$501*P$500))/1000+O655)*IF(P$653=$I$113,(1-$I$112),1)</f>
        <v>5760</v>
      </c>
      <c r="Q655" s="593">
        <f>(($I65*$I$25*$F$29*(Q$501*Q$500))/1000+P655)*IF(Q$653=$I$113,(1-$I$112),1)</f>
        <v>5760</v>
      </c>
      <c r="R655" s="593">
        <f>(($I65*$I$25*$F$29*(R$501*R$500))/1000+Q655)*IF(R$653=$I$113,(1-$I$112),1)</f>
        <v>5760</v>
      </c>
      <c r="S655" s="593">
        <f>(($I65*$I$25*$F$29*(S$501*S$500))/1000+R655)*IF(S$653=$I$113,(1-$I$112),1)</f>
        <v>5760</v>
      </c>
      <c r="T655" s="3"/>
      <c r="U655" s="3"/>
      <c r="V655" s="3"/>
      <c r="W655" s="3"/>
      <c r="X655" s="3"/>
      <c r="Y655" s="3"/>
      <c r="Z655" s="3"/>
    </row>
    <row r="656" spans="1:26" ht="12.75" x14ac:dyDescent="0.2">
      <c r="A656" s="3"/>
      <c r="B656" s="43"/>
      <c r="C656" s="480" t="s">
        <v>918</v>
      </c>
      <c r="D656" s="43"/>
      <c r="E656" s="43"/>
      <c r="F656" s="593">
        <f>(($I66*$I$25*$F$29*(F$501*F$500))/1000+E656)*IF(F$653=$I$113,(1-$I$112),1)</f>
        <v>0</v>
      </c>
      <c r="G656" s="593">
        <f>(($I66*$I$25*$F$29*(G$501*G$500))/1000+F656)*IF(G$653=$I$113,(1-$I$112),1)</f>
        <v>1080</v>
      </c>
      <c r="H656" s="593">
        <f>(($I66*$I$25*$F$29*(H$501*H$500))/1000+G656)*IF(H$653=$I$113,(1-$I$112),1)</f>
        <v>4680</v>
      </c>
      <c r="I656" s="593">
        <f>(($I66*$I$25*$F$29*(I$501*I$500))/1000+H656)*IF(I$653=$I$113,(1-$I$112),1)</f>
        <v>9000</v>
      </c>
      <c r="J656" s="593">
        <f>(($I66*$I$25*$F$29*(J$501*J$500))/1000+I656)*IF(J$653=$I$113,(1-$I$112),1)</f>
        <v>14400</v>
      </c>
      <c r="K656" s="593">
        <f>(($I66*$I$25*$F$29*(K$501*K$500))/1000+J656)*IF(K$653=$I$113,(1-$I$112),1)</f>
        <v>11520</v>
      </c>
      <c r="L656" s="593">
        <f>(($I66*$I$25*$F$29*(L$501*L$500))/1000+K656)*IF(L$653=$I$113,(1-$I$112),1)</f>
        <v>11520</v>
      </c>
      <c r="M656" s="593">
        <f>(($I66*$I$25*$F$29*(M$501*M$500))/1000+L656)*IF(M$653=$I$113,(1-$I$112),1)</f>
        <v>11520</v>
      </c>
      <c r="N656" s="593">
        <f>(($I66*$I$25*$F$29*(N$501*N$500))/1000+M656)*IF(N$653=$I$113,(1-$I$112),1)</f>
        <v>11520</v>
      </c>
      <c r="O656" s="593">
        <f>(($I66*$I$25*$F$29*(O$501*O$500))/1000+N656)*IF(O$653=$I$113,(1-$I$112),1)</f>
        <v>11520</v>
      </c>
      <c r="P656" s="593">
        <f>(($I66*$I$25*$F$29*(P$501*P$500))/1000+O656)*IF(P$653=$I$113,(1-$I$112),1)</f>
        <v>11520</v>
      </c>
      <c r="Q656" s="593">
        <f>(($I66*$I$25*$F$29*(Q$501*Q$500))/1000+P656)*IF(Q$653=$I$113,(1-$I$112),1)</f>
        <v>11520</v>
      </c>
      <c r="R656" s="593">
        <f>(($I66*$I$25*$F$29*(R$501*R$500))/1000+Q656)*IF(R$653=$I$113,(1-$I$112),1)</f>
        <v>11520</v>
      </c>
      <c r="S656" s="593">
        <f>(($I66*$I$25*$F$29*(S$501*S$500))/1000+R656)*IF(S$653=$I$113,(1-$I$112),1)</f>
        <v>11520</v>
      </c>
      <c r="T656" s="3"/>
      <c r="U656" s="3"/>
      <c r="V656" s="3"/>
      <c r="W656" s="3"/>
      <c r="X656" s="3"/>
      <c r="Y656" s="3"/>
      <c r="Z656" s="3"/>
    </row>
    <row r="657" spans="1:26" ht="12.75" x14ac:dyDescent="0.2">
      <c r="A657" s="3"/>
      <c r="B657" s="43"/>
      <c r="C657" s="480" t="s">
        <v>915</v>
      </c>
      <c r="D657" s="43"/>
      <c r="E657" s="43"/>
      <c r="F657" s="593">
        <f>(($I67*$I$25*$F$29*(F$501*F$500))+E657)*IF(F$653=$I$113,(1-$I$112),1)</f>
        <v>0</v>
      </c>
      <c r="G657" s="593">
        <f>(($I67*$I$25*$F$29*(G$501*G$500))+F657)*IF(G$653=$I$113,(1-$I$112),1)</f>
        <v>0</v>
      </c>
      <c r="H657" s="593">
        <f>(($I67*$I$25*$F$29*(H$501*H$500))+G657)*IF(H$653=$I$113,(1-$I$112),1)</f>
        <v>0</v>
      </c>
      <c r="I657" s="593">
        <f>(($I67*$I$25*$F$29*(I$501*I$500))+H657)*IF(I$653=$I$113,(1-$I$112),1)</f>
        <v>0</v>
      </c>
      <c r="J657" s="593">
        <f>(($I67*$I$25*$F$29*(J$501*J$500))+I657)*IF(J$653=$I$113,(1-$I$112),1)</f>
        <v>0</v>
      </c>
      <c r="K657" s="593">
        <f>(($I67*$I$25*$F$29*(K$501*K$500))+J657)*IF(K$653=$I$113,(1-$I$112),1)</f>
        <v>0</v>
      </c>
      <c r="L657" s="593">
        <f>(($I67*$I$25*$F$29*(L$501*L$500))+K657)*IF(L$653=$I$113,(1-$I$112),1)</f>
        <v>0</v>
      </c>
      <c r="M657" s="593">
        <f>(($I67*$I$25*$F$29*(M$501*M$500))+L657)*IF(M$653=$I$113,(1-$I$112),1)</f>
        <v>0</v>
      </c>
      <c r="N657" s="593">
        <f>(($I67*$I$25*$F$29*(N$501*N$500))+M657)*IF(N$653=$I$113,(1-$I$112),1)</f>
        <v>0</v>
      </c>
      <c r="O657" s="593">
        <f>(($I67*$I$25*$F$29*(O$501*O$500))+N657)*IF(O$653=$I$113,(1-$I$112),1)</f>
        <v>0</v>
      </c>
      <c r="P657" s="593">
        <f>(($I67*$I$25*$F$29*(P$501*P$500))+O657)*IF(P$653=$I$113,(1-$I$112),1)</f>
        <v>0</v>
      </c>
      <c r="Q657" s="593">
        <f>(($I67*$I$25*$F$29*(Q$501*Q$500))+P657)*IF(Q$653=$I$113,(1-$I$112),1)</f>
        <v>0</v>
      </c>
      <c r="R657" s="593">
        <f>(($I67*$I$25*$F$29*(R$501*R$500))+Q657)*IF(R$653=$I$113,(1-$I$112),1)</f>
        <v>0</v>
      </c>
      <c r="S657" s="593">
        <f>(($I67*$I$25*$F$29*(S$501*S$500))+R657)*IF(S$653=$I$113,(1-$I$112),1)</f>
        <v>0</v>
      </c>
      <c r="T657" s="3"/>
      <c r="U657" s="3"/>
      <c r="V657" s="3"/>
      <c r="W657" s="3"/>
      <c r="X657" s="3"/>
      <c r="Y657" s="3"/>
      <c r="Z657" s="3"/>
    </row>
    <row r="658" spans="1:26" ht="12.75"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x14ac:dyDescent="0.2">
      <c r="A659" s="3"/>
      <c r="B659" s="783" t="s">
        <v>1033</v>
      </c>
      <c r="C659" s="43"/>
      <c r="D659" s="43"/>
      <c r="E659" s="43"/>
      <c r="F659" s="43"/>
      <c r="G659" s="43"/>
      <c r="H659" s="43"/>
      <c r="I659" s="43"/>
      <c r="J659" s="43"/>
      <c r="K659" s="43"/>
      <c r="L659" s="43"/>
      <c r="M659" s="43"/>
      <c r="N659" s="43"/>
      <c r="O659" s="43"/>
      <c r="P659" s="43"/>
      <c r="Q659" s="43"/>
      <c r="R659" s="43"/>
      <c r="S659" s="43"/>
      <c r="T659" s="3"/>
      <c r="U659" s="3"/>
      <c r="V659" s="3"/>
      <c r="W659" s="3"/>
      <c r="X659" s="3"/>
      <c r="Y659" s="3"/>
      <c r="Z659" s="3"/>
    </row>
    <row r="660" spans="1:26" ht="12.75" x14ac:dyDescent="0.2">
      <c r="A660" s="3"/>
      <c r="B660" s="43"/>
      <c r="C660" s="480" t="s">
        <v>926</v>
      </c>
      <c r="D660" s="43"/>
      <c r="E660" s="43"/>
      <c r="F660" s="81">
        <f>(F169+F181)*(F501*$F500)*(1-F502)</f>
        <v>0</v>
      </c>
      <c r="G660" s="81">
        <f>(G169+G181)*(G501*$F500)*(1-G502)</f>
        <v>0</v>
      </c>
      <c r="H660" s="81">
        <f>(H169+H181)*(H501*$F500)*(1-H502)</f>
        <v>0</v>
      </c>
      <c r="I660" s="81">
        <f>(I169+I181)*(I501*$F500)*(1-I502)</f>
        <v>0</v>
      </c>
      <c r="J660" s="81">
        <f>(J169+J181)*(J501*$F500)*(1-J502)</f>
        <v>0</v>
      </c>
      <c r="K660" s="81">
        <f>(K169+K181)*(K501*$F500)*(1-K502)</f>
        <v>0</v>
      </c>
      <c r="L660" s="81">
        <f>(L169+L181)*(L501*$F500)*(1-L502)</f>
        <v>0</v>
      </c>
      <c r="M660" s="81">
        <f>(M169+M181)*(M501*$F500)*(1-M502)</f>
        <v>0</v>
      </c>
      <c r="N660" s="81">
        <f>(N169+N181)*(N501*$F500)*(1-N502)</f>
        <v>0</v>
      </c>
      <c r="O660" s="81">
        <f>(O169+O181)*(O501*$F500)*(1-O502)</f>
        <v>0</v>
      </c>
      <c r="P660" s="81">
        <f>(P169+P181)*(P501*$F500)*(1-P502)</f>
        <v>0</v>
      </c>
      <c r="Q660" s="81">
        <f>(Q169+Q181)*(Q501*$F500)*(1-Q502)</f>
        <v>0</v>
      </c>
      <c r="R660" s="81">
        <f>(R169+R181)*(R501*$F500)*(1-R502)</f>
        <v>0</v>
      </c>
      <c r="S660" s="81">
        <f>(S169+S181)*(S501*$F500)*(1-S502)</f>
        <v>0</v>
      </c>
      <c r="T660" s="3"/>
      <c r="U660" s="3"/>
      <c r="V660" s="3"/>
      <c r="W660" s="3"/>
      <c r="X660" s="3"/>
      <c r="Y660" s="3"/>
      <c r="Z660" s="3"/>
    </row>
    <row r="661" spans="1:26" ht="12.75" x14ac:dyDescent="0.2">
      <c r="A661" s="3"/>
      <c r="B661" s="43"/>
      <c r="C661" s="480" t="s">
        <v>927</v>
      </c>
      <c r="D661" s="43"/>
      <c r="E661" s="43"/>
      <c r="F661" s="81"/>
      <c r="G661" s="81">
        <f>(F169+F181)*(F501*$G500)*(1-F502)</f>
        <v>19783.440000000002</v>
      </c>
      <c r="H661" s="81">
        <f>(G169+G181)*(G501*$G500)*(1-G502)</f>
        <v>21476.664000000004</v>
      </c>
      <c r="I661" s="81">
        <f>(H169+H181)*(H501*$G500)*(1-H502)</f>
        <v>23288.739300000005</v>
      </c>
      <c r="J661" s="81">
        <f>(I169+I181)*(I501*$G500)*(1-I502)</f>
        <v>25227.317970000007</v>
      </c>
      <c r="K661" s="81">
        <f>(J169+J181)*(J501*$G500)*(1-J502)</f>
        <v>26508.933868500008</v>
      </c>
      <c r="L661" s="81">
        <f>(K169+K181)*(K501*$G500)*(1-K502)</f>
        <v>22025.068644240007</v>
      </c>
      <c r="M661" s="81">
        <f>(L169+L181)*(L501*$G500)*(1-L502)</f>
        <v>22258.800000000003</v>
      </c>
      <c r="N661" s="81">
        <f>(M169+M181)*(M501*$G500)*(1-M502)</f>
        <v>22258.800000000003</v>
      </c>
      <c r="O661" s="81">
        <f>(N169+N181)*(N501*$G500)*(1-N502)</f>
        <v>22258.800000000003</v>
      </c>
      <c r="P661" s="81">
        <f>(O169+O181)*(O501*$G500)*(1-O502)</f>
        <v>22258.800000000003</v>
      </c>
      <c r="Q661" s="81">
        <f>(P169+P181)*(P501*$G500)*(1-P502)</f>
        <v>0</v>
      </c>
      <c r="R661" s="81">
        <f>(Q169+Q181)*(Q501*$G500)*(1-Q502)</f>
        <v>0</v>
      </c>
      <c r="S661" s="81">
        <f>(R169+R181)*(R501*$G500)*(1-R502)</f>
        <v>0</v>
      </c>
      <c r="T661" s="3"/>
      <c r="U661" s="3"/>
      <c r="V661" s="3"/>
      <c r="W661" s="3"/>
      <c r="X661" s="3"/>
      <c r="Y661" s="3"/>
      <c r="Z661" s="3"/>
    </row>
    <row r="662" spans="1:26" ht="12.75" x14ac:dyDescent="0.2">
      <c r="A662" s="3"/>
      <c r="B662" s="43"/>
      <c r="C662" s="480" t="s">
        <v>928</v>
      </c>
      <c r="D662" s="43"/>
      <c r="E662" s="43"/>
      <c r="F662" s="81"/>
      <c r="G662" s="81"/>
      <c r="H662" s="81">
        <f>(F169+F181)*(F501*$H500)*(1-F502)</f>
        <v>65944.800000000003</v>
      </c>
      <c r="I662" s="81">
        <f>(G169+G181)*(G501*$H500)*(1-G502)</f>
        <v>71588.88</v>
      </c>
      <c r="J662" s="81">
        <f>(H169+H181)*(H501*$H500)*(1-H502)</f>
        <v>77629.131000000008</v>
      </c>
      <c r="K662" s="81">
        <f>(I169+I181)*(I501*$H500)*(1-I502)</f>
        <v>84091.059900000022</v>
      </c>
      <c r="L662" s="81">
        <f>(J169+J181)*(J501*$H500)*(1-J502)</f>
        <v>88363.112895000027</v>
      </c>
      <c r="M662" s="81">
        <f>(K169+K181)*(K501*$H500)*(1-K502)</f>
        <v>73416.895480800013</v>
      </c>
      <c r="N662" s="81">
        <f>(L169+L181)*(L501*$H500)*(1-L502)</f>
        <v>74196</v>
      </c>
      <c r="O662" s="81">
        <f>(M169+M181)*(M501*$H500)*(1-M502)</f>
        <v>74196</v>
      </c>
      <c r="P662" s="81">
        <f>(N169+N181)*(N501*$H500)*(1-N502)</f>
        <v>74196</v>
      </c>
      <c r="Q662" s="81">
        <f>(O169+O181)*(O501*$H500)*(1-O502)</f>
        <v>74196</v>
      </c>
      <c r="R662" s="81">
        <f>(P169+P181)*(P501*$H500)*(1-P502)</f>
        <v>0</v>
      </c>
      <c r="S662" s="81">
        <f>(Q169+Q181)*(Q501*$H500)*(1-Q502)</f>
        <v>0</v>
      </c>
      <c r="T662" s="3"/>
      <c r="U662" s="3"/>
      <c r="V662" s="3"/>
      <c r="W662" s="3"/>
      <c r="X662" s="3"/>
      <c r="Y662" s="3"/>
      <c r="Z662" s="3"/>
    </row>
    <row r="663" spans="1:26" ht="12.75" x14ac:dyDescent="0.2">
      <c r="A663" s="3"/>
      <c r="B663" s="43"/>
      <c r="C663" s="480" t="s">
        <v>929</v>
      </c>
      <c r="D663" s="43"/>
      <c r="E663" s="43"/>
      <c r="F663" s="81"/>
      <c r="G663" s="81"/>
      <c r="H663" s="81"/>
      <c r="I663" s="81">
        <f>(F169+F181)*(F501*$I500)*(1-F502)</f>
        <v>79133.760000000009</v>
      </c>
      <c r="J663" s="81">
        <f>(G169+G181)*(G501*$I500)*(1-G502)</f>
        <v>85906.656000000017</v>
      </c>
      <c r="K663" s="81">
        <f>(H169+H181)*(H501*$I500)*(1-H502)</f>
        <v>93154.957200000019</v>
      </c>
      <c r="L663" s="81">
        <f>(I169+I181)*(I501*$I500)*(1-I502)</f>
        <v>100909.27188000003</v>
      </c>
      <c r="M663" s="81">
        <f>(J169+J181)*(J501*$I500)*(1-J502)</f>
        <v>106035.73547400003</v>
      </c>
      <c r="N663" s="81">
        <f>(K169+K181)*(K501*$I500)*(1-K502)</f>
        <v>88100.27457696003</v>
      </c>
      <c r="O663" s="81">
        <f>(L169+L181)*(L501*$I500)*(1-L502)</f>
        <v>89035.200000000012</v>
      </c>
      <c r="P663" s="81">
        <f>(M169+M181)*(M501*$I500)*(1-M502)</f>
        <v>89035.200000000012</v>
      </c>
      <c r="Q663" s="81">
        <f>(N169+N181)*(N501*$I500)*(1-N502)</f>
        <v>89035.200000000012</v>
      </c>
      <c r="R663" s="81">
        <f>(O169+O181)*(O501*$I500)*(1-O502)</f>
        <v>89035.200000000012</v>
      </c>
      <c r="S663" s="81">
        <f>(P169+P181)*(P501*$I500)*(1-P502)</f>
        <v>0</v>
      </c>
      <c r="T663" s="3"/>
      <c r="U663" s="3"/>
      <c r="V663" s="3"/>
      <c r="W663" s="3"/>
      <c r="X663" s="3"/>
      <c r="Y663" s="3"/>
      <c r="Z663" s="3"/>
    </row>
    <row r="664" spans="1:26" ht="12.75" x14ac:dyDescent="0.2">
      <c r="A664" s="3"/>
      <c r="B664" s="43"/>
      <c r="C664" s="480" t="s">
        <v>930</v>
      </c>
      <c r="D664" s="43"/>
      <c r="E664" s="43"/>
      <c r="F664" s="81"/>
      <c r="G664" s="81"/>
      <c r="H664" s="81"/>
      <c r="I664" s="81"/>
      <c r="J664" s="81">
        <f>(F169+F181)*(F501*$J500)*(1-F502)</f>
        <v>98917.200000000012</v>
      </c>
      <c r="K664" s="81">
        <f>(G169+G181)*(G501*$J500)*(1-G502)</f>
        <v>107383.32</v>
      </c>
      <c r="L664" s="81">
        <f>(H169+H181)*(H501*$J500)*(1-H502)</f>
        <v>116443.69650000002</v>
      </c>
      <c r="M664" s="81">
        <f>(I169+I181)*(I501*$J500)*(1-I502)</f>
        <v>126136.58985000003</v>
      </c>
      <c r="N664" s="81">
        <f>(J169+J181)*(J501*$J500)*(1-J502)</f>
        <v>132544.66934250004</v>
      </c>
      <c r="O664" s="81">
        <f>(K169+K181)*(K501*$J500)*(1-K502)</f>
        <v>110125.34322120003</v>
      </c>
      <c r="P664" s="81">
        <f>(L169+L181)*(L501*$J500)*(1-L502)</f>
        <v>111294</v>
      </c>
      <c r="Q664" s="81">
        <f>(M169+M181)*(M501*$J500)*(1-M502)</f>
        <v>111294</v>
      </c>
      <c r="R664" s="81">
        <f>(N169+N181)*(N501*$J500)*(1-N502)</f>
        <v>111294</v>
      </c>
      <c r="S664" s="81">
        <f>(O169+O181)*(O501*$J500)*(1-O502)</f>
        <v>111294</v>
      </c>
      <c r="T664" s="3"/>
      <c r="U664" s="3"/>
      <c r="V664" s="3"/>
      <c r="W664" s="3"/>
      <c r="X664" s="3"/>
      <c r="Y664" s="3"/>
      <c r="Z664" s="3"/>
    </row>
    <row r="665" spans="1:26" ht="12.75" x14ac:dyDescent="0.2">
      <c r="A665" s="3"/>
      <c r="B665" s="43"/>
      <c r="C665" s="594" t="s">
        <v>925</v>
      </c>
      <c r="D665" s="68"/>
      <c r="E665" s="68"/>
      <c r="F665" s="82">
        <f>SUM(F660:F664)</f>
        <v>0</v>
      </c>
      <c r="G665" s="82">
        <f t="shared" ref="G665:S665" si="113">SUM(G660:G664)</f>
        <v>19783.440000000002</v>
      </c>
      <c r="H665" s="82">
        <f t="shared" si="113"/>
        <v>87421.464000000007</v>
      </c>
      <c r="I665" s="82">
        <f t="shared" si="113"/>
        <v>174011.37930000003</v>
      </c>
      <c r="J665" s="82">
        <f t="shared" si="113"/>
        <v>287680.30497000006</v>
      </c>
      <c r="K665" s="82">
        <f t="shared" si="113"/>
        <v>311138.27096850006</v>
      </c>
      <c r="L665" s="82">
        <f t="shared" si="113"/>
        <v>327741.1499192401</v>
      </c>
      <c r="M665" s="82">
        <f t="shared" si="113"/>
        <v>327848.02080480009</v>
      </c>
      <c r="N665" s="82">
        <f t="shared" si="113"/>
        <v>317099.7439194601</v>
      </c>
      <c r="O665" s="82">
        <f t="shared" si="113"/>
        <v>295615.34322120005</v>
      </c>
      <c r="P665" s="82">
        <f t="shared" si="113"/>
        <v>296784</v>
      </c>
      <c r="Q665" s="82">
        <f t="shared" si="113"/>
        <v>274525.2</v>
      </c>
      <c r="R665" s="82">
        <f t="shared" si="113"/>
        <v>200329.2</v>
      </c>
      <c r="S665" s="82">
        <f t="shared" si="113"/>
        <v>111294</v>
      </c>
      <c r="T665" s="3"/>
      <c r="U665" s="3"/>
      <c r="V665" s="3"/>
      <c r="W665" s="3"/>
      <c r="X665" s="3"/>
      <c r="Y665" s="3"/>
      <c r="Z665" s="3"/>
    </row>
    <row r="666" spans="1:26" ht="12.75"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x14ac:dyDescent="0.2">
      <c r="A667" s="3"/>
      <c r="B667" s="43"/>
      <c r="C667" s="782" t="s">
        <v>922</v>
      </c>
      <c r="D667" s="43"/>
      <c r="E667" s="43"/>
      <c r="F667" s="807">
        <v>4400000</v>
      </c>
      <c r="G667" s="3"/>
      <c r="H667" s="3"/>
      <c r="I667" s="3"/>
      <c r="J667" s="3"/>
      <c r="K667" s="3"/>
      <c r="L667" s="3"/>
      <c r="M667" s="3"/>
      <c r="N667" s="3"/>
      <c r="O667" s="3"/>
      <c r="P667" s="3"/>
      <c r="Q667" s="3"/>
      <c r="R667" s="3"/>
      <c r="S667" s="3"/>
      <c r="T667" s="3"/>
      <c r="U667" s="3"/>
      <c r="V667" s="3"/>
      <c r="W667" s="3"/>
      <c r="X667" s="3"/>
      <c r="Y667" s="3"/>
      <c r="Z667" s="3"/>
    </row>
    <row r="668" spans="1:26" ht="12.75" x14ac:dyDescent="0.2">
      <c r="A668" s="3"/>
      <c r="B668" s="3"/>
      <c r="C668" s="3"/>
      <c r="D668" s="3"/>
      <c r="E668" s="3"/>
      <c r="F668" s="3"/>
      <c r="G668" s="3"/>
      <c r="H668" s="3"/>
      <c r="I668" s="3"/>
      <c r="J668" s="3"/>
      <c r="K668" s="3"/>
      <c r="L668" s="3"/>
      <c r="M668" s="3"/>
      <c r="N668" s="3"/>
      <c r="O668" s="3"/>
      <c r="P668" s="28"/>
      <c r="Q668" s="3"/>
      <c r="R668" s="3"/>
      <c r="S668" s="3"/>
      <c r="T668" s="3"/>
      <c r="U668" s="3"/>
      <c r="V668" s="3"/>
      <c r="W668" s="3"/>
      <c r="X668" s="3"/>
      <c r="Y668" s="3"/>
      <c r="Z668" s="3"/>
    </row>
    <row r="669" spans="1:26" ht="12.75" x14ac:dyDescent="0.2">
      <c r="A669" s="3"/>
      <c r="B669" s="43"/>
      <c r="C669" s="782" t="s">
        <v>923</v>
      </c>
      <c r="D669" s="43"/>
      <c r="E669" s="43"/>
      <c r="F669" s="784"/>
      <c r="G669" s="43"/>
      <c r="H669" s="43"/>
      <c r="I669" s="43"/>
      <c r="J669" s="43"/>
      <c r="K669" s="43"/>
      <c r="L669" s="43"/>
      <c r="M669" s="43"/>
      <c r="N669" s="43"/>
      <c r="O669" s="43"/>
      <c r="P669" s="43"/>
      <c r="Q669" s="43"/>
      <c r="R669" s="43"/>
      <c r="S669" s="43"/>
      <c r="T669" s="3"/>
      <c r="U669" s="3"/>
      <c r="V669" s="3"/>
      <c r="W669" s="3"/>
      <c r="X669" s="3"/>
      <c r="Y669" s="3"/>
      <c r="Z669" s="3"/>
    </row>
    <row r="670" spans="1:26" ht="12.75" x14ac:dyDescent="0.2">
      <c r="A670" s="3"/>
      <c r="B670" s="43"/>
      <c r="C670" s="43"/>
      <c r="D670" s="43"/>
      <c r="E670" s="782" t="s">
        <v>921</v>
      </c>
      <c r="F670" s="80">
        <f t="shared" ref="F670:S670" si="114">(F665+$F$667)/$F$667-1</f>
        <v>0</v>
      </c>
      <c r="G670" s="80">
        <f t="shared" si="114"/>
        <v>4.4962363636364966E-3</v>
      </c>
      <c r="H670" s="80">
        <f t="shared" si="114"/>
        <v>1.9868514545454463E-2</v>
      </c>
      <c r="I670" s="80">
        <f t="shared" si="114"/>
        <v>3.9548040749999958E-2</v>
      </c>
      <c r="J670" s="80">
        <f t="shared" si="114"/>
        <v>6.5381887493181745E-2</v>
      </c>
      <c r="K670" s="80">
        <f t="shared" si="114"/>
        <v>7.0713243401931969E-2</v>
      </c>
      <c r="L670" s="80">
        <f t="shared" si="114"/>
        <v>7.4486624981645377E-2</v>
      </c>
      <c r="M670" s="80">
        <f t="shared" si="114"/>
        <v>7.4510913819272773E-2</v>
      </c>
      <c r="N670" s="80">
        <f t="shared" si="114"/>
        <v>7.2068123618059143E-2</v>
      </c>
      <c r="O670" s="80">
        <f t="shared" si="114"/>
        <v>6.7185305277545293E-2</v>
      </c>
      <c r="P670" s="80">
        <f t="shared" si="114"/>
        <v>6.7450909090909006E-2</v>
      </c>
      <c r="Q670" s="80">
        <f t="shared" si="114"/>
        <v>6.2392090909090925E-2</v>
      </c>
      <c r="R670" s="80">
        <f t="shared" si="114"/>
        <v>4.5529363636363618E-2</v>
      </c>
      <c r="S670" s="80">
        <f t="shared" si="114"/>
        <v>2.5294090909090849E-2</v>
      </c>
      <c r="T670" s="3"/>
      <c r="U670" s="3"/>
      <c r="V670" s="3"/>
      <c r="W670" s="3"/>
      <c r="X670" s="3"/>
      <c r="Y670" s="3"/>
      <c r="Z670" s="3"/>
    </row>
    <row r="671" spans="1:26" ht="12.75"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75"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75"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75"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75"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75"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75"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75"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75"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75"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75"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75"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75"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2.75"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2.75"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row r="1003" spans="1:26" ht="12.75" x14ac:dyDescent="0.2">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row>
    <row r="1004" spans="1:26" ht="12.75" x14ac:dyDescent="0.2">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row>
    <row r="1005" spans="1:26" ht="12.75" x14ac:dyDescent="0.2">
      <c r="A1005" s="3"/>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c r="Z1005" s="3"/>
    </row>
    <row r="1006" spans="1:26" ht="12.75" x14ac:dyDescent="0.2">
      <c r="A1006" s="3"/>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c r="Z1006" s="3"/>
    </row>
    <row r="1007" spans="1:26" ht="12.75" x14ac:dyDescent="0.2">
      <c r="A1007" s="3"/>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c r="Z1007" s="3"/>
    </row>
    <row r="1008" spans="1:26" ht="12.75" x14ac:dyDescent="0.2">
      <c r="A1008" s="3"/>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c r="Z1008" s="3"/>
    </row>
    <row r="1009" spans="1:26" ht="12.75" x14ac:dyDescent="0.2">
      <c r="A1009" s="3"/>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c r="Z1009" s="3"/>
    </row>
    <row r="1010" spans="1:26" ht="12.75" x14ac:dyDescent="0.2">
      <c r="A1010" s="3"/>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c r="Z1010" s="3"/>
    </row>
    <row r="1011" spans="1:26" ht="12.75" x14ac:dyDescent="0.2">
      <c r="A1011" s="3"/>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c r="Z1011" s="3"/>
    </row>
    <row r="1012" spans="1:26" ht="12.75" x14ac:dyDescent="0.2">
      <c r="A1012" s="3"/>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c r="Z1012" s="3"/>
    </row>
    <row r="1013" spans="1:26" ht="12.75" x14ac:dyDescent="0.2">
      <c r="A1013" s="3"/>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c r="Z1013" s="3"/>
    </row>
    <row r="1014" spans="1:26" ht="12.75" x14ac:dyDescent="0.2">
      <c r="A1014" s="3"/>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c r="Z1014" s="3"/>
    </row>
    <row r="1015" spans="1:26" ht="12.75" x14ac:dyDescent="0.2">
      <c r="A1015" s="3"/>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c r="Z1015" s="3"/>
    </row>
    <row r="1016" spans="1:26" ht="12.75" x14ac:dyDescent="0.2">
      <c r="A1016" s="3"/>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c r="Z1016" s="3"/>
    </row>
    <row r="1017" spans="1:26" ht="12.75" x14ac:dyDescent="0.2">
      <c r="A1017" s="3"/>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c r="Z1017" s="3"/>
    </row>
    <row r="1018" spans="1:26" ht="12.75" x14ac:dyDescent="0.2">
      <c r="A1018" s="3"/>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c r="Z1018" s="3"/>
    </row>
    <row r="1019" spans="1:26" ht="12.75" x14ac:dyDescent="0.2">
      <c r="A1019" s="3"/>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c r="Z1019" s="3"/>
    </row>
    <row r="1020" spans="1:26" ht="12.75" x14ac:dyDescent="0.2">
      <c r="A1020" s="3"/>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c r="Z1020" s="3"/>
    </row>
    <row r="1021" spans="1:26" ht="12.75" x14ac:dyDescent="0.2">
      <c r="A1021" s="3"/>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c r="Z1021" s="3"/>
    </row>
    <row r="1022" spans="1:26" ht="12.75" x14ac:dyDescent="0.2">
      <c r="A1022" s="3"/>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c r="Z1022" s="3"/>
    </row>
    <row r="1023" spans="1:26" ht="12.75" x14ac:dyDescent="0.2">
      <c r="A1023" s="3"/>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c r="Z1023" s="3"/>
    </row>
    <row r="1024" spans="1:26" ht="12.75" x14ac:dyDescent="0.2">
      <c r="A1024" s="3"/>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c r="Z1024" s="3"/>
    </row>
    <row r="1025" spans="1:26" ht="12.75" x14ac:dyDescent="0.2">
      <c r="A1025" s="3"/>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c r="Z1025" s="3"/>
    </row>
    <row r="1026" spans="1:26" ht="12.75" x14ac:dyDescent="0.2">
      <c r="A1026" s="3"/>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c r="Z1026" s="3"/>
    </row>
    <row r="1027" spans="1:26" ht="12.75" x14ac:dyDescent="0.2">
      <c r="A1027" s="3"/>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c r="Z1027" s="3"/>
    </row>
    <row r="1028" spans="1:26" ht="12.75" x14ac:dyDescent="0.2">
      <c r="A1028" s="3"/>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c r="Z1028" s="3"/>
    </row>
    <row r="1029" spans="1:26" ht="12.75" x14ac:dyDescent="0.2">
      <c r="A1029" s="3"/>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c r="Z1029" s="3"/>
    </row>
    <row r="1030" spans="1:26" ht="12.75" x14ac:dyDescent="0.2">
      <c r="A1030" s="3"/>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c r="Z1030" s="3"/>
    </row>
    <row r="1031" spans="1:26" ht="12.75" x14ac:dyDescent="0.2">
      <c r="A1031" s="3"/>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c r="Z1031" s="3"/>
    </row>
    <row r="1032" spans="1:26" ht="12.75" x14ac:dyDescent="0.2">
      <c r="A1032" s="3"/>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c r="Z1032" s="3"/>
    </row>
    <row r="1033" spans="1:26" ht="12.75" x14ac:dyDescent="0.2">
      <c r="A1033" s="3"/>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c r="Z1033" s="3"/>
    </row>
    <row r="1034" spans="1:26" ht="12.75" x14ac:dyDescent="0.2">
      <c r="A1034" s="3"/>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c r="Z1034" s="3"/>
    </row>
    <row r="1035" spans="1:26" ht="12.75" x14ac:dyDescent="0.2">
      <c r="A1035" s="3"/>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c r="Z1035" s="3"/>
    </row>
    <row r="1036" spans="1:26" ht="12.75" x14ac:dyDescent="0.2">
      <c r="A1036" s="3"/>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c r="Z1036" s="3"/>
    </row>
    <row r="1037" spans="1:26" ht="12.75" x14ac:dyDescent="0.2">
      <c r="A1037" s="3"/>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c r="Z1037" s="3"/>
    </row>
    <row r="1038" spans="1:26" ht="12.75" x14ac:dyDescent="0.2">
      <c r="A1038" s="3"/>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c r="Z1038" s="3"/>
    </row>
    <row r="1039" spans="1:26" ht="12.75" x14ac:dyDescent="0.2">
      <c r="A1039" s="3"/>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c r="Z1039" s="3"/>
    </row>
    <row r="1040" spans="1:26" ht="12.75" x14ac:dyDescent="0.2">
      <c r="A1040" s="3"/>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c r="Z1040" s="3"/>
    </row>
    <row r="1041" spans="1:26" ht="12.75" x14ac:dyDescent="0.2">
      <c r="A1041" s="3"/>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c r="Z1041" s="3"/>
    </row>
    <row r="1042" spans="1:26" ht="12.75" x14ac:dyDescent="0.2">
      <c r="A1042" s="3"/>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c r="Z1042" s="3"/>
    </row>
    <row r="1043" spans="1:26" ht="12.75" x14ac:dyDescent="0.2">
      <c r="A1043" s="3"/>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c r="Z1043" s="3"/>
    </row>
    <row r="1044" spans="1:26" ht="12.75" x14ac:dyDescent="0.2">
      <c r="A1044" s="3"/>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c r="Z1044" s="3"/>
    </row>
    <row r="1045" spans="1:26" ht="12.75" x14ac:dyDescent="0.2">
      <c r="A1045" s="3"/>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c r="Z1045" s="3"/>
    </row>
    <row r="1046" spans="1:26" ht="12.75" x14ac:dyDescent="0.2">
      <c r="A1046" s="3"/>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c r="Z1046" s="3"/>
    </row>
    <row r="1047" spans="1:26" ht="12.75" x14ac:dyDescent="0.2">
      <c r="A1047" s="3"/>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c r="Z1047" s="3"/>
    </row>
    <row r="1048" spans="1:26" ht="12.75" x14ac:dyDescent="0.2">
      <c r="A1048" s="3"/>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c r="Z1048" s="3"/>
    </row>
    <row r="1049" spans="1:26" ht="12.75" x14ac:dyDescent="0.2">
      <c r="A1049" s="3"/>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c r="Z1049" s="3"/>
    </row>
    <row r="1050" spans="1:26" ht="12.75" x14ac:dyDescent="0.2">
      <c r="A1050" s="3"/>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c r="Z1050" s="3"/>
    </row>
    <row r="1051" spans="1:26" ht="12.75" x14ac:dyDescent="0.2">
      <c r="A1051" s="3"/>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c r="Z1051" s="3"/>
    </row>
    <row r="1052" spans="1:26" ht="12.75" x14ac:dyDescent="0.2">
      <c r="A1052" s="3"/>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c r="Z1052" s="3"/>
    </row>
    <row r="1053" spans="1:26" ht="12.75" x14ac:dyDescent="0.2">
      <c r="A1053" s="3"/>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c r="Z1053" s="3"/>
    </row>
    <row r="1054" spans="1:26" ht="12.75" x14ac:dyDescent="0.2">
      <c r="A1054" s="3"/>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c r="Z1054" s="3"/>
    </row>
    <row r="1055" spans="1:26" ht="12.75" x14ac:dyDescent="0.2">
      <c r="A1055" s="3"/>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c r="Z1055" s="3"/>
    </row>
    <row r="1056" spans="1:26" ht="12.75" x14ac:dyDescent="0.2">
      <c r="A1056" s="3"/>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c r="Z1056" s="3"/>
    </row>
    <row r="1057" spans="1:26" ht="12.75" x14ac:dyDescent="0.2">
      <c r="A1057" s="3"/>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c r="Z1057" s="3"/>
    </row>
    <row r="1058" spans="1:26" ht="12.75" x14ac:dyDescent="0.2">
      <c r="A1058" s="3"/>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c r="Z1058" s="3"/>
    </row>
    <row r="1059" spans="1:26" ht="12.75" x14ac:dyDescent="0.2">
      <c r="A1059" s="3"/>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c r="Z1059" s="3"/>
    </row>
    <row r="1060" spans="1:26" ht="12.75" x14ac:dyDescent="0.2">
      <c r="A1060" s="3"/>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c r="Z1060" s="3"/>
    </row>
    <row r="1061" spans="1:26" ht="12.75" x14ac:dyDescent="0.2">
      <c r="A1061" s="3"/>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c r="Z1061" s="3"/>
    </row>
    <row r="1062" spans="1:26" ht="12.75" x14ac:dyDescent="0.2">
      <c r="A1062" s="3"/>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c r="Z1062" s="3"/>
    </row>
    <row r="1063" spans="1:26" ht="12.75" x14ac:dyDescent="0.2">
      <c r="A1063" s="3"/>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c r="Z1063" s="3"/>
    </row>
    <row r="1064" spans="1:26" ht="12.75" x14ac:dyDescent="0.2">
      <c r="A1064" s="3"/>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c r="Z1064" s="3"/>
    </row>
    <row r="1065" spans="1:26" ht="12.75" x14ac:dyDescent="0.2">
      <c r="A1065" s="3"/>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c r="Z1065" s="3"/>
    </row>
    <row r="1066" spans="1:26" ht="12.75" x14ac:dyDescent="0.2">
      <c r="A1066" s="3"/>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c r="Z1066" s="3"/>
    </row>
    <row r="1067" spans="1:26" ht="12.75" x14ac:dyDescent="0.2">
      <c r="A1067" s="3"/>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c r="Z1067" s="3"/>
    </row>
    <row r="1068" spans="1:26" ht="12.75" x14ac:dyDescent="0.2">
      <c r="A1068" s="3"/>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c r="Z1068" s="3"/>
    </row>
    <row r="1069" spans="1:26" ht="12.75" x14ac:dyDescent="0.2">
      <c r="A1069" s="3"/>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c r="Z1069" s="3"/>
    </row>
    <row r="1070" spans="1:26" ht="12.75" x14ac:dyDescent="0.2">
      <c r="A1070" s="3"/>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c r="Z1070" s="3"/>
    </row>
    <row r="1071" spans="1:26" ht="12.75" x14ac:dyDescent="0.2">
      <c r="A1071" s="3"/>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c r="Z1071" s="3"/>
    </row>
    <row r="1072" spans="1:26" ht="12.75" x14ac:dyDescent="0.2">
      <c r="A1072" s="3"/>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c r="Z1072" s="3"/>
    </row>
    <row r="1073" spans="1:26" ht="12.75" x14ac:dyDescent="0.2">
      <c r="A1073" s="3"/>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c r="Z1073" s="3"/>
    </row>
    <row r="1074" spans="1:26" ht="12.75" x14ac:dyDescent="0.2">
      <c r="A1074" s="3"/>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c r="Z1074" s="3"/>
    </row>
    <row r="1075" spans="1:26" ht="12.75" x14ac:dyDescent="0.2">
      <c r="A1075" s="3"/>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c r="Z1075" s="3"/>
    </row>
    <row r="1076" spans="1:26" ht="12.75" x14ac:dyDescent="0.2">
      <c r="A1076" s="3"/>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c r="Z1076" s="3"/>
    </row>
    <row r="1077" spans="1:26" ht="12.75" x14ac:dyDescent="0.2">
      <c r="A1077" s="3"/>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c r="Z1077" s="3"/>
    </row>
    <row r="1078" spans="1:26" ht="12.75" x14ac:dyDescent="0.2">
      <c r="A1078" s="3"/>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c r="Z1078" s="3"/>
    </row>
    <row r="1079" spans="1:26" ht="12.75" x14ac:dyDescent="0.2">
      <c r="A1079" s="3"/>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c r="Z1079" s="3"/>
    </row>
    <row r="1080" spans="1:26" ht="12.75" x14ac:dyDescent="0.2">
      <c r="A1080" s="3"/>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c r="Z1080" s="3"/>
    </row>
    <row r="1081" spans="1:26" ht="12.75" x14ac:dyDescent="0.2">
      <c r="A1081" s="3"/>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c r="Z1081" s="3"/>
    </row>
    <row r="1082" spans="1:26" ht="12.75" x14ac:dyDescent="0.2">
      <c r="A1082" s="3"/>
      <c r="B1082" s="3"/>
      <c r="C1082" s="3"/>
      <c r="D1082" s="3"/>
      <c r="E1082" s="3"/>
      <c r="F1082" s="3"/>
      <c r="G1082" s="3"/>
      <c r="H1082" s="3"/>
      <c r="I1082" s="3"/>
      <c r="J1082" s="3"/>
      <c r="K1082" s="3"/>
      <c r="L1082" s="3"/>
      <c r="M1082" s="3"/>
      <c r="N1082" s="3"/>
      <c r="O1082" s="3"/>
      <c r="P1082" s="3"/>
      <c r="Q1082" s="3"/>
      <c r="R1082" s="3"/>
      <c r="S1082" s="3"/>
      <c r="T1082" s="3"/>
      <c r="U1082" s="3"/>
      <c r="V1082" s="3"/>
      <c r="W1082" s="3"/>
      <c r="X1082" s="3"/>
      <c r="Y1082" s="3"/>
      <c r="Z1082" s="3"/>
    </row>
    <row r="1083" spans="1:26" ht="12.75" x14ac:dyDescent="0.2">
      <c r="A1083" s="3"/>
      <c r="B1083" s="3"/>
      <c r="C1083" s="3"/>
      <c r="D1083" s="3"/>
      <c r="E1083" s="3"/>
      <c r="F1083" s="3"/>
      <c r="G1083" s="3"/>
      <c r="H1083" s="3"/>
      <c r="I1083" s="3"/>
      <c r="J1083" s="3"/>
      <c r="K1083" s="3"/>
      <c r="L1083" s="3"/>
      <c r="M1083" s="3"/>
      <c r="N1083" s="3"/>
      <c r="O1083" s="3"/>
      <c r="P1083" s="3"/>
      <c r="Q1083" s="3"/>
      <c r="R1083" s="3"/>
      <c r="S1083" s="3"/>
      <c r="T1083" s="3"/>
      <c r="U1083" s="3"/>
      <c r="V1083" s="3"/>
      <c r="W1083" s="3"/>
      <c r="X1083" s="3"/>
      <c r="Y1083" s="3"/>
      <c r="Z1083" s="3"/>
    </row>
    <row r="1084" spans="1:26" ht="12.75" x14ac:dyDescent="0.2">
      <c r="A1084" s="3"/>
      <c r="B1084" s="3"/>
      <c r="C1084" s="3"/>
      <c r="D1084" s="3"/>
      <c r="E1084" s="3"/>
      <c r="F1084" s="3"/>
      <c r="G1084" s="3"/>
      <c r="H1084" s="3"/>
      <c r="I1084" s="3"/>
      <c r="J1084" s="3"/>
      <c r="K1084" s="3"/>
      <c r="L1084" s="3"/>
      <c r="M1084" s="3"/>
      <c r="N1084" s="3"/>
      <c r="O1084" s="3"/>
      <c r="P1084" s="3"/>
      <c r="Q1084" s="3"/>
      <c r="R1084" s="3"/>
      <c r="S1084" s="3"/>
      <c r="T1084" s="3"/>
      <c r="U1084" s="3"/>
      <c r="V1084" s="3"/>
      <c r="W1084" s="3"/>
      <c r="X1084" s="3"/>
      <c r="Y1084" s="3"/>
      <c r="Z1084" s="3"/>
    </row>
    <row r="1085" spans="1:26" ht="12.75" x14ac:dyDescent="0.2">
      <c r="A1085" s="3"/>
      <c r="B1085" s="3"/>
      <c r="C1085" s="3"/>
      <c r="D1085" s="3"/>
      <c r="E1085" s="3"/>
      <c r="F1085" s="3"/>
      <c r="G1085" s="3"/>
      <c r="H1085" s="3"/>
      <c r="I1085" s="3"/>
      <c r="J1085" s="3"/>
      <c r="K1085" s="3"/>
      <c r="L1085" s="3"/>
      <c r="M1085" s="3"/>
      <c r="N1085" s="3"/>
      <c r="O1085" s="3"/>
      <c r="P1085" s="3"/>
      <c r="Q1085" s="3"/>
      <c r="R1085" s="3"/>
      <c r="S1085" s="3"/>
      <c r="T1085" s="3"/>
      <c r="U1085" s="3"/>
      <c r="V1085" s="3"/>
      <c r="W1085" s="3"/>
      <c r="X1085" s="3"/>
      <c r="Y1085" s="3"/>
      <c r="Z1085" s="3"/>
    </row>
    <row r="1086" spans="1:26" ht="12.75" x14ac:dyDescent="0.2">
      <c r="A1086" s="3"/>
      <c r="B1086" s="3"/>
      <c r="C1086" s="3"/>
      <c r="D1086" s="3"/>
      <c r="E1086" s="3"/>
      <c r="F1086" s="3"/>
      <c r="G1086" s="3"/>
      <c r="H1086" s="3"/>
      <c r="I1086" s="3"/>
      <c r="J1086" s="3"/>
      <c r="K1086" s="3"/>
      <c r="L1086" s="3"/>
      <c r="M1086" s="3"/>
      <c r="N1086" s="3"/>
      <c r="O1086" s="3"/>
      <c r="P1086" s="3"/>
      <c r="Q1086" s="3"/>
      <c r="R1086" s="3"/>
      <c r="S1086" s="3"/>
      <c r="T1086" s="3"/>
      <c r="U1086" s="3"/>
      <c r="V1086" s="3"/>
      <c r="W1086" s="3"/>
      <c r="X1086" s="3"/>
      <c r="Y1086" s="3"/>
      <c r="Z1086" s="3"/>
    </row>
    <row r="1087" spans="1:26" ht="12.75" x14ac:dyDescent="0.2">
      <c r="A1087" s="3"/>
      <c r="B1087" s="3"/>
      <c r="C1087" s="3"/>
      <c r="D1087" s="3"/>
      <c r="E1087" s="3"/>
      <c r="F1087" s="3"/>
      <c r="G1087" s="3"/>
      <c r="H1087" s="3"/>
      <c r="I1087" s="3"/>
      <c r="J1087" s="3"/>
      <c r="K1087" s="3"/>
      <c r="L1087" s="3"/>
      <c r="M1087" s="3"/>
      <c r="N1087" s="3"/>
      <c r="O1087" s="3"/>
      <c r="P1087" s="3"/>
      <c r="Q1087" s="3"/>
      <c r="R1087" s="3"/>
      <c r="S1087" s="3"/>
      <c r="T1087" s="3"/>
      <c r="U1087" s="3"/>
      <c r="V1087" s="3"/>
      <c r="W1087" s="3"/>
      <c r="X1087" s="3"/>
      <c r="Y1087" s="3"/>
      <c r="Z1087" s="3"/>
    </row>
    <row r="1088" spans="1:26" ht="12.75" x14ac:dyDescent="0.2">
      <c r="A1088" s="3"/>
      <c r="B1088" s="3"/>
      <c r="C1088" s="3"/>
      <c r="D1088" s="3"/>
      <c r="E1088" s="3"/>
      <c r="F1088" s="3"/>
      <c r="G1088" s="3"/>
      <c r="H1088" s="3"/>
      <c r="I1088" s="3"/>
      <c r="J1088" s="3"/>
      <c r="K1088" s="3"/>
      <c r="L1088" s="3"/>
      <c r="M1088" s="3"/>
      <c r="N1088" s="3"/>
      <c r="O1088" s="3"/>
      <c r="P1088" s="3"/>
      <c r="Q1088" s="3"/>
      <c r="R1088" s="3"/>
      <c r="S1088" s="3"/>
      <c r="T1088" s="3"/>
      <c r="U1088" s="3"/>
      <c r="V1088" s="3"/>
      <c r="W1088" s="3"/>
      <c r="X1088" s="3"/>
      <c r="Y1088" s="3"/>
      <c r="Z1088" s="3"/>
    </row>
    <row r="1089" spans="1:26" ht="12.75" x14ac:dyDescent="0.2">
      <c r="A1089" s="3"/>
      <c r="B1089" s="3"/>
      <c r="C1089" s="3"/>
      <c r="D1089" s="3"/>
      <c r="E1089" s="3"/>
      <c r="F1089" s="3"/>
      <c r="G1089" s="3"/>
      <c r="H1089" s="3"/>
      <c r="I1089" s="3"/>
      <c r="J1089" s="3"/>
      <c r="K1089" s="3"/>
      <c r="L1089" s="3"/>
      <c r="M1089" s="3"/>
      <c r="N1089" s="3"/>
      <c r="O1089" s="3"/>
      <c r="P1089" s="3"/>
      <c r="Q1089" s="3"/>
      <c r="R1089" s="3"/>
      <c r="S1089" s="3"/>
      <c r="T1089" s="3"/>
      <c r="U1089" s="3"/>
      <c r="V1089" s="3"/>
      <c r="W1089" s="3"/>
      <c r="X1089" s="3"/>
      <c r="Y1089" s="3"/>
      <c r="Z1089" s="3"/>
    </row>
    <row r="1090" spans="1:26" ht="12.75" x14ac:dyDescent="0.2">
      <c r="A1090" s="3"/>
      <c r="B1090" s="3"/>
      <c r="C1090" s="3"/>
      <c r="D1090" s="3"/>
      <c r="E1090" s="3"/>
      <c r="F1090" s="3"/>
      <c r="G1090" s="3"/>
      <c r="H1090" s="3"/>
      <c r="I1090" s="3"/>
      <c r="J1090" s="3"/>
      <c r="K1090" s="3"/>
      <c r="L1090" s="3"/>
      <c r="M1090" s="3"/>
      <c r="N1090" s="3"/>
      <c r="O1090" s="3"/>
      <c r="P1090" s="3"/>
      <c r="Q1090" s="3"/>
      <c r="R1090" s="3"/>
      <c r="S1090" s="3"/>
      <c r="T1090" s="3"/>
      <c r="U1090" s="3"/>
      <c r="V1090" s="3"/>
      <c r="W1090" s="3"/>
      <c r="X1090" s="3"/>
      <c r="Y1090" s="3"/>
      <c r="Z1090" s="3"/>
    </row>
    <row r="1091" spans="1:26" ht="12.75" x14ac:dyDescent="0.2">
      <c r="A1091" s="3"/>
      <c r="B1091" s="3"/>
      <c r="C1091" s="3"/>
      <c r="D1091" s="3"/>
      <c r="E1091" s="3"/>
      <c r="F1091" s="3"/>
      <c r="G1091" s="3"/>
      <c r="H1091" s="3"/>
      <c r="I1091" s="3"/>
      <c r="J1091" s="3"/>
      <c r="K1091" s="3"/>
      <c r="L1091" s="3"/>
      <c r="M1091" s="3"/>
      <c r="N1091" s="3"/>
      <c r="O1091" s="3"/>
      <c r="P1091" s="3"/>
      <c r="Q1091" s="3"/>
      <c r="R1091" s="3"/>
      <c r="S1091" s="3"/>
      <c r="T1091" s="3"/>
      <c r="U1091" s="3"/>
      <c r="V1091" s="3"/>
      <c r="W1091" s="3"/>
      <c r="X1091" s="3"/>
      <c r="Y1091" s="3"/>
      <c r="Z1091" s="3"/>
    </row>
    <row r="1092" spans="1:26" ht="12.75" x14ac:dyDescent="0.2">
      <c r="A1092" s="3"/>
      <c r="B1092" s="3"/>
      <c r="C1092" s="3"/>
      <c r="D1092" s="3"/>
      <c r="E1092" s="3"/>
      <c r="F1092" s="3"/>
      <c r="G1092" s="3"/>
      <c r="H1092" s="3"/>
      <c r="I1092" s="3"/>
      <c r="J1092" s="3"/>
      <c r="K1092" s="3"/>
      <c r="L1092" s="3"/>
      <c r="M1092" s="3"/>
      <c r="N1092" s="3"/>
      <c r="O1092" s="3"/>
      <c r="P1092" s="3"/>
      <c r="Q1092" s="3"/>
      <c r="R1092" s="3"/>
      <c r="S1092" s="3"/>
      <c r="T1092" s="3"/>
      <c r="U1092" s="3"/>
      <c r="V1092" s="3"/>
      <c r="W1092" s="3"/>
      <c r="X1092" s="3"/>
      <c r="Y1092" s="3"/>
      <c r="Z1092" s="3"/>
    </row>
    <row r="1093" spans="1:26" ht="12.75" x14ac:dyDescent="0.2">
      <c r="A1093" s="3"/>
      <c r="B1093" s="3"/>
      <c r="C1093" s="3"/>
      <c r="D1093" s="3"/>
      <c r="E1093" s="3"/>
      <c r="F1093" s="3"/>
      <c r="G1093" s="3"/>
      <c r="H1093" s="3"/>
      <c r="I1093" s="3"/>
      <c r="J1093" s="3"/>
      <c r="K1093" s="3"/>
      <c r="L1093" s="3"/>
      <c r="M1093" s="3"/>
      <c r="N1093" s="3"/>
      <c r="O1093" s="3"/>
      <c r="P1093" s="3"/>
      <c r="Q1093" s="3"/>
      <c r="R1093" s="3"/>
      <c r="S1093" s="3"/>
      <c r="T1093" s="3"/>
      <c r="U1093" s="3"/>
      <c r="V1093" s="3"/>
      <c r="W1093" s="3"/>
      <c r="X1093" s="3"/>
      <c r="Y1093" s="3"/>
      <c r="Z1093" s="3"/>
    </row>
    <row r="1094" spans="1:26" ht="12.75" x14ac:dyDescent="0.2">
      <c r="A1094" s="3"/>
      <c r="B1094" s="3"/>
      <c r="C1094" s="3"/>
      <c r="D1094" s="3"/>
      <c r="E1094" s="3"/>
      <c r="F1094" s="3"/>
      <c r="G1094" s="3"/>
      <c r="H1094" s="3"/>
      <c r="I1094" s="3"/>
      <c r="J1094" s="3"/>
      <c r="K1094" s="3"/>
      <c r="L1094" s="3"/>
      <c r="M1094" s="3"/>
      <c r="N1094" s="3"/>
      <c r="O1094" s="3"/>
      <c r="P1094" s="3"/>
      <c r="Q1094" s="3"/>
      <c r="R1094" s="3"/>
      <c r="S1094" s="3"/>
      <c r="T1094" s="3"/>
      <c r="U1094" s="3"/>
      <c r="V1094" s="3"/>
      <c r="W1094" s="3"/>
      <c r="X1094" s="3"/>
      <c r="Y1094" s="3"/>
      <c r="Z1094" s="3"/>
    </row>
    <row r="1095" spans="1:26" ht="12.75" x14ac:dyDescent="0.2">
      <c r="A1095" s="3"/>
      <c r="B1095" s="3"/>
      <c r="C1095" s="3"/>
      <c r="D1095" s="3"/>
      <c r="E1095" s="3"/>
      <c r="F1095" s="3"/>
      <c r="G1095" s="3"/>
      <c r="H1095" s="3"/>
      <c r="I1095" s="3"/>
      <c r="J1095" s="3"/>
      <c r="K1095" s="3"/>
      <c r="L1095" s="3"/>
      <c r="M1095" s="3"/>
      <c r="N1095" s="3"/>
      <c r="O1095" s="3"/>
      <c r="P1095" s="3"/>
      <c r="Q1095" s="3"/>
      <c r="R1095" s="3"/>
      <c r="S1095" s="3"/>
      <c r="T1095" s="3"/>
      <c r="U1095" s="3"/>
      <c r="V1095" s="3"/>
      <c r="W1095" s="3"/>
      <c r="X1095" s="3"/>
      <c r="Y1095" s="3"/>
      <c r="Z1095" s="3"/>
    </row>
    <row r="1096" spans="1:26" ht="12.75" x14ac:dyDescent="0.2">
      <c r="A1096" s="3"/>
      <c r="B1096" s="3"/>
      <c r="C1096" s="3"/>
      <c r="D1096" s="3"/>
      <c r="E1096" s="3"/>
      <c r="F1096" s="3"/>
      <c r="G1096" s="3"/>
      <c r="H1096" s="3"/>
      <c r="I1096" s="3"/>
      <c r="J1096" s="3"/>
      <c r="K1096" s="3"/>
      <c r="L1096" s="3"/>
      <c r="M1096" s="3"/>
      <c r="N1096" s="3"/>
      <c r="O1096" s="3"/>
      <c r="P1096" s="3"/>
      <c r="Q1096" s="3"/>
      <c r="R1096" s="3"/>
      <c r="S1096" s="3"/>
      <c r="T1096" s="3"/>
      <c r="U1096" s="3"/>
      <c r="V1096" s="3"/>
      <c r="W1096" s="3"/>
      <c r="X1096" s="3"/>
      <c r="Y1096" s="3"/>
      <c r="Z1096" s="3"/>
    </row>
    <row r="1097" spans="1:26" ht="12.75" x14ac:dyDescent="0.2">
      <c r="A1097" s="3"/>
      <c r="B1097" s="3"/>
      <c r="C1097" s="3"/>
      <c r="D1097" s="3"/>
      <c r="E1097" s="3"/>
      <c r="F1097" s="3"/>
      <c r="G1097" s="3"/>
      <c r="H1097" s="3"/>
      <c r="I1097" s="3"/>
      <c r="J1097" s="3"/>
      <c r="K1097" s="3"/>
      <c r="L1097" s="3"/>
      <c r="M1097" s="3"/>
      <c r="N1097" s="3"/>
      <c r="O1097" s="3"/>
      <c r="P1097" s="3"/>
      <c r="Q1097" s="3"/>
      <c r="R1097" s="3"/>
      <c r="S1097" s="3"/>
      <c r="T1097" s="3"/>
      <c r="U1097" s="3"/>
      <c r="V1097" s="3"/>
      <c r="W1097" s="3"/>
      <c r="X1097" s="3"/>
      <c r="Y1097" s="3"/>
      <c r="Z1097" s="3"/>
    </row>
    <row r="1098" spans="1:26" ht="12.75" x14ac:dyDescent="0.2">
      <c r="A1098" s="3"/>
      <c r="B1098" s="3"/>
      <c r="C1098" s="3"/>
      <c r="D1098" s="3"/>
      <c r="E1098" s="3"/>
      <c r="F1098" s="3"/>
      <c r="G1098" s="3"/>
      <c r="H1098" s="3"/>
      <c r="I1098" s="3"/>
      <c r="J1098" s="3"/>
      <c r="K1098" s="3"/>
      <c r="L1098" s="3"/>
      <c r="M1098" s="3"/>
      <c r="N1098" s="3"/>
      <c r="O1098" s="3"/>
      <c r="P1098" s="3"/>
      <c r="Q1098" s="3"/>
      <c r="R1098" s="3"/>
      <c r="S1098" s="3"/>
      <c r="T1098" s="3"/>
      <c r="U1098" s="3"/>
      <c r="V1098" s="3"/>
      <c r="W1098" s="3"/>
      <c r="X1098" s="3"/>
      <c r="Y1098" s="3"/>
      <c r="Z1098" s="3"/>
    </row>
    <row r="1099" spans="1:26" ht="12.75" x14ac:dyDescent="0.2">
      <c r="A1099" s="3"/>
      <c r="B1099" s="3"/>
      <c r="C1099" s="3"/>
      <c r="D1099" s="3"/>
      <c r="E1099" s="3"/>
      <c r="F1099" s="3"/>
      <c r="G1099" s="3"/>
      <c r="H1099" s="3"/>
      <c r="I1099" s="3"/>
      <c r="J1099" s="3"/>
      <c r="K1099" s="3"/>
      <c r="L1099" s="3"/>
      <c r="M1099" s="3"/>
      <c r="N1099" s="3"/>
      <c r="O1099" s="3"/>
      <c r="P1099" s="3"/>
      <c r="Q1099" s="3"/>
      <c r="R1099" s="3"/>
      <c r="S1099" s="3"/>
      <c r="T1099" s="3"/>
      <c r="U1099" s="3"/>
      <c r="V1099" s="3"/>
      <c r="W1099" s="3"/>
      <c r="X1099" s="3"/>
      <c r="Y1099" s="3"/>
      <c r="Z1099" s="3"/>
    </row>
    <row r="1100" spans="1:26" ht="12.75" x14ac:dyDescent="0.2">
      <c r="A1100" s="3"/>
      <c r="B1100" s="3"/>
      <c r="C1100" s="3"/>
      <c r="D1100" s="3"/>
      <c r="E1100" s="3"/>
      <c r="F1100" s="3"/>
      <c r="G1100" s="3"/>
      <c r="H1100" s="3"/>
      <c r="I1100" s="3"/>
      <c r="J1100" s="3"/>
      <c r="K1100" s="3"/>
      <c r="L1100" s="3"/>
      <c r="M1100" s="3"/>
      <c r="N1100" s="3"/>
      <c r="O1100" s="3"/>
      <c r="P1100" s="3"/>
      <c r="Q1100" s="3"/>
      <c r="R1100" s="3"/>
      <c r="S1100" s="3"/>
      <c r="T1100" s="3"/>
      <c r="U1100" s="3"/>
      <c r="V1100" s="3"/>
      <c r="W1100" s="3"/>
      <c r="X1100" s="3"/>
      <c r="Y1100" s="3"/>
      <c r="Z1100" s="3"/>
    </row>
    <row r="1101" spans="1:26" ht="12.75" x14ac:dyDescent="0.2">
      <c r="A1101" s="3"/>
      <c r="B1101" s="3"/>
      <c r="C1101" s="3"/>
      <c r="D1101" s="3"/>
      <c r="E1101" s="3"/>
      <c r="F1101" s="3"/>
      <c r="G1101" s="3"/>
      <c r="H1101" s="3"/>
      <c r="I1101" s="3"/>
      <c r="J1101" s="3"/>
      <c r="K1101" s="3"/>
      <c r="L1101" s="3"/>
      <c r="M1101" s="3"/>
      <c r="N1101" s="3"/>
      <c r="O1101" s="3"/>
      <c r="P1101" s="3"/>
      <c r="Q1101" s="3"/>
      <c r="R1101" s="3"/>
      <c r="S1101" s="3"/>
      <c r="T1101" s="3"/>
      <c r="U1101" s="3"/>
      <c r="V1101" s="3"/>
      <c r="W1101" s="3"/>
      <c r="X1101" s="3"/>
      <c r="Y1101" s="3"/>
      <c r="Z1101" s="3"/>
    </row>
    <row r="1102" spans="1:26" ht="12.75" x14ac:dyDescent="0.2">
      <c r="A1102" s="3"/>
      <c r="B1102" s="3"/>
      <c r="C1102" s="3"/>
      <c r="D1102" s="3"/>
      <c r="E1102" s="3"/>
      <c r="F1102" s="3"/>
      <c r="G1102" s="3"/>
      <c r="H1102" s="3"/>
      <c r="I1102" s="3"/>
      <c r="J1102" s="3"/>
      <c r="K1102" s="3"/>
      <c r="L1102" s="3"/>
      <c r="M1102" s="3"/>
      <c r="N1102" s="3"/>
      <c r="O1102" s="3"/>
      <c r="P1102" s="3"/>
      <c r="Q1102" s="3"/>
      <c r="R1102" s="3"/>
      <c r="S1102" s="3"/>
      <c r="T1102" s="3"/>
      <c r="U1102" s="3"/>
      <c r="V1102" s="3"/>
      <c r="W1102" s="3"/>
      <c r="X1102" s="3"/>
      <c r="Y1102" s="3"/>
      <c r="Z1102" s="3"/>
    </row>
    <row r="1103" spans="1:26" ht="12.75" x14ac:dyDescent="0.2">
      <c r="A1103" s="3"/>
      <c r="B1103" s="3"/>
      <c r="C1103" s="3"/>
      <c r="D1103" s="3"/>
      <c r="E1103" s="3"/>
      <c r="F1103" s="3"/>
      <c r="G1103" s="3"/>
      <c r="H1103" s="3"/>
      <c r="I1103" s="3"/>
      <c r="J1103" s="3"/>
      <c r="K1103" s="3"/>
      <c r="L1103" s="3"/>
      <c r="M1103" s="3"/>
      <c r="N1103" s="3"/>
      <c r="O1103" s="3"/>
      <c r="P1103" s="3"/>
      <c r="Q1103" s="3"/>
      <c r="R1103" s="3"/>
      <c r="S1103" s="3"/>
      <c r="T1103" s="3"/>
      <c r="U1103" s="3"/>
      <c r="V1103" s="3"/>
      <c r="W1103" s="3"/>
      <c r="X1103" s="3"/>
      <c r="Y1103" s="3"/>
      <c r="Z1103" s="3"/>
    </row>
    <row r="1104" spans="1:26" ht="12.75" x14ac:dyDescent="0.2">
      <c r="A1104" s="3"/>
      <c r="B1104" s="3"/>
      <c r="C1104" s="3"/>
      <c r="D1104" s="3"/>
      <c r="E1104" s="3"/>
      <c r="F1104" s="3"/>
      <c r="G1104" s="3"/>
      <c r="H1104" s="3"/>
      <c r="I1104" s="3"/>
      <c r="J1104" s="3"/>
      <c r="K1104" s="3"/>
      <c r="L1104" s="3"/>
      <c r="M1104" s="3"/>
      <c r="N1104" s="3"/>
      <c r="O1104" s="3"/>
      <c r="P1104" s="3"/>
      <c r="Q1104" s="3"/>
      <c r="R1104" s="3"/>
      <c r="S1104" s="3"/>
      <c r="T1104" s="3"/>
      <c r="U1104" s="3"/>
      <c r="V1104" s="3"/>
      <c r="W1104" s="3"/>
      <c r="X1104" s="3"/>
      <c r="Y1104" s="3"/>
      <c r="Z1104" s="3"/>
    </row>
    <row r="1105" spans="1:26" ht="12.75" x14ac:dyDescent="0.2">
      <c r="A1105" s="3"/>
      <c r="B1105" s="3"/>
      <c r="C1105" s="3"/>
      <c r="D1105" s="3"/>
      <c r="E1105" s="3"/>
      <c r="F1105" s="3"/>
      <c r="G1105" s="3"/>
      <c r="H1105" s="3"/>
      <c r="I1105" s="3"/>
      <c r="J1105" s="3"/>
      <c r="K1105" s="3"/>
      <c r="L1105" s="3"/>
      <c r="M1105" s="3"/>
      <c r="N1105" s="3"/>
      <c r="O1105" s="3"/>
      <c r="P1105" s="3"/>
      <c r="Q1105" s="3"/>
      <c r="R1105" s="3"/>
      <c r="S1105" s="3"/>
      <c r="T1105" s="3"/>
      <c r="U1105" s="3"/>
      <c r="V1105" s="3"/>
      <c r="W1105" s="3"/>
      <c r="X1105" s="3"/>
      <c r="Y1105" s="3"/>
      <c r="Z1105" s="3"/>
    </row>
    <row r="1106" spans="1:26" ht="12.75" x14ac:dyDescent="0.2">
      <c r="A1106" s="3"/>
      <c r="B1106" s="3"/>
      <c r="C1106" s="3"/>
      <c r="D1106" s="3"/>
      <c r="E1106" s="3"/>
      <c r="F1106" s="3"/>
      <c r="G1106" s="3"/>
      <c r="H1106" s="3"/>
      <c r="I1106" s="3"/>
      <c r="J1106" s="3"/>
      <c r="K1106" s="3"/>
      <c r="L1106" s="3"/>
      <c r="M1106" s="3"/>
      <c r="N1106" s="3"/>
      <c r="O1106" s="3"/>
      <c r="P1106" s="3"/>
      <c r="Q1106" s="3"/>
      <c r="R1106" s="3"/>
      <c r="S1106" s="3"/>
      <c r="T1106" s="3"/>
      <c r="U1106" s="3"/>
      <c r="V1106" s="3"/>
      <c r="W1106" s="3"/>
      <c r="X1106" s="3"/>
      <c r="Y1106" s="3"/>
      <c r="Z1106" s="3"/>
    </row>
    <row r="1107" spans="1:26" ht="12.75" x14ac:dyDescent="0.2">
      <c r="A1107" s="3"/>
      <c r="B1107" s="3"/>
      <c r="C1107" s="3"/>
      <c r="D1107" s="3"/>
      <c r="E1107" s="3"/>
      <c r="F1107" s="3"/>
      <c r="G1107" s="3"/>
      <c r="H1107" s="3"/>
      <c r="I1107" s="3"/>
      <c r="J1107" s="3"/>
      <c r="K1107" s="3"/>
      <c r="L1107" s="3"/>
      <c r="M1107" s="3"/>
      <c r="N1107" s="3"/>
      <c r="O1107" s="3"/>
      <c r="P1107" s="3"/>
      <c r="Q1107" s="3"/>
      <c r="R1107" s="3"/>
      <c r="S1107" s="3"/>
      <c r="T1107" s="3"/>
      <c r="U1107" s="3"/>
      <c r="V1107" s="3"/>
      <c r="W1107" s="3"/>
      <c r="X1107" s="3"/>
      <c r="Y1107" s="3"/>
      <c r="Z1107" s="3"/>
    </row>
    <row r="1108" spans="1:26" ht="12.75" x14ac:dyDescent="0.2">
      <c r="A1108" s="3"/>
      <c r="B1108" s="3"/>
      <c r="C1108" s="3"/>
      <c r="D1108" s="3"/>
      <c r="E1108" s="3"/>
      <c r="F1108" s="3"/>
      <c r="G1108" s="3"/>
      <c r="H1108" s="3"/>
      <c r="I1108" s="3"/>
      <c r="J1108" s="3"/>
      <c r="K1108" s="3"/>
      <c r="L1108" s="3"/>
      <c r="M1108" s="3"/>
      <c r="N1108" s="3"/>
      <c r="O1108" s="3"/>
      <c r="P1108" s="3"/>
      <c r="Q1108" s="3"/>
      <c r="R1108" s="3"/>
      <c r="S1108" s="3"/>
      <c r="T1108" s="3"/>
      <c r="U1108" s="3"/>
      <c r="V1108" s="3"/>
      <c r="W1108" s="3"/>
      <c r="X1108" s="3"/>
      <c r="Y1108" s="3"/>
      <c r="Z1108" s="3"/>
    </row>
    <row r="1109" spans="1:26" ht="12.75" x14ac:dyDescent="0.2">
      <c r="A1109" s="3"/>
      <c r="B1109" s="3"/>
      <c r="C1109" s="3"/>
      <c r="D1109" s="3"/>
      <c r="E1109" s="3"/>
      <c r="F1109" s="3"/>
      <c r="G1109" s="3"/>
      <c r="H1109" s="3"/>
      <c r="I1109" s="3"/>
      <c r="J1109" s="3"/>
      <c r="K1109" s="3"/>
      <c r="L1109" s="3"/>
      <c r="M1109" s="3"/>
      <c r="N1109" s="3"/>
      <c r="O1109" s="3"/>
      <c r="P1109" s="3"/>
      <c r="Q1109" s="3"/>
      <c r="R1109" s="3"/>
      <c r="S1109" s="3"/>
      <c r="T1109" s="3"/>
      <c r="U1109" s="3"/>
      <c r="V1109" s="3"/>
      <c r="W1109" s="3"/>
      <c r="X1109" s="3"/>
      <c r="Y1109" s="3"/>
      <c r="Z1109" s="3"/>
    </row>
    <row r="1110" spans="1:26" ht="12.75" x14ac:dyDescent="0.2">
      <c r="A1110" s="3"/>
      <c r="B1110" s="3"/>
      <c r="C1110" s="3"/>
      <c r="D1110" s="3"/>
      <c r="E1110" s="3"/>
      <c r="F1110" s="3"/>
      <c r="G1110" s="3"/>
      <c r="H1110" s="3"/>
      <c r="I1110" s="3"/>
      <c r="J1110" s="3"/>
      <c r="K1110" s="3"/>
      <c r="L1110" s="3"/>
      <c r="M1110" s="3"/>
      <c r="N1110" s="3"/>
      <c r="O1110" s="3"/>
      <c r="P1110" s="3"/>
      <c r="Q1110" s="3"/>
      <c r="R1110" s="3"/>
      <c r="S1110" s="3"/>
      <c r="T1110" s="3"/>
      <c r="U1110" s="3"/>
      <c r="V1110" s="3"/>
      <c r="W1110" s="3"/>
      <c r="X1110" s="3"/>
      <c r="Y1110" s="3"/>
      <c r="Z1110" s="3"/>
    </row>
    <row r="1111" spans="1:26" ht="12.75" x14ac:dyDescent="0.2">
      <c r="A1111" s="3"/>
      <c r="B1111" s="3"/>
      <c r="C1111" s="3"/>
      <c r="D1111" s="3"/>
      <c r="E1111" s="3"/>
      <c r="F1111" s="3"/>
      <c r="G1111" s="3"/>
      <c r="H1111" s="3"/>
      <c r="I1111" s="3"/>
      <c r="J1111" s="3"/>
      <c r="K1111" s="3"/>
      <c r="L1111" s="3"/>
      <c r="M1111" s="3"/>
      <c r="N1111" s="3"/>
      <c r="O1111" s="3"/>
      <c r="P1111" s="3"/>
      <c r="Q1111" s="3"/>
      <c r="R1111" s="3"/>
      <c r="S1111" s="3"/>
      <c r="T1111" s="3"/>
      <c r="U1111" s="3"/>
      <c r="V1111" s="3"/>
      <c r="W1111" s="3"/>
      <c r="X1111" s="3"/>
      <c r="Y1111" s="3"/>
      <c r="Z1111" s="3"/>
    </row>
  </sheetData>
  <customSheetViews>
    <customSheetView guid="{1474D8E2-8801-474F-99A3-0D3DFA4B5FB3}" scale="85" fitToPage="1" hiddenRows="1" topLeftCell="A105">
      <selection activeCell="I105" sqref="I105:I106"/>
      <pageMargins left="0.7" right="0.7" top="0.75" bottom="0.75" header="0.3" footer="0.3"/>
      <pageSetup scale="62" fitToHeight="0" orientation="landscape" r:id="rId1"/>
    </customSheetView>
    <customSheetView guid="{0270675F-18D5-4C83-B813-43237B4A5065}" scale="85" fitToPage="1" hiddenRows="1">
      <selection activeCell="F618" sqref="F618"/>
      <pageMargins left="0.7" right="0.7" top="0.75" bottom="0.75" header="0.3" footer="0.3"/>
      <pageSetup scale="62" fitToHeight="0" orientation="landscape" r:id="rId2"/>
    </customSheetView>
    <customSheetView guid="{68E4D3DD-37C5-4451-9CB1-FD36A6953DAF}" scale="85" showPageBreaks="1" fitToPage="1" printArea="1" hiddenRows="1" topLeftCell="A12">
      <selection activeCell="F34" sqref="F34"/>
      <pageMargins left="0.7" right="0.7" top="0.75" bottom="0.75" header="0.3" footer="0.3"/>
      <pageSetup scale="62" fitToHeight="0" orientation="landscape" r:id="rId3"/>
    </customSheetView>
  </customSheetViews>
  <pageMargins left="0.7" right="0.7" top="0.75" bottom="0.75" header="0.3" footer="0.3"/>
  <pageSetup scale="62" fitToHeight="0" orientation="landscape" r:id="rId4"/>
  <drawing r:id="rId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73"/>
  <sheetViews>
    <sheetView zoomScale="85" zoomScaleNormal="85" workbookViewId="0">
      <selection activeCell="C24" sqref="C24:F24"/>
    </sheetView>
  </sheetViews>
  <sheetFormatPr defaultColWidth="14.42578125" defaultRowHeight="15.75" customHeight="1" x14ac:dyDescent="0.2"/>
  <cols>
    <col min="1" max="1" width="3.85546875" style="226" customWidth="1"/>
    <col min="2" max="2" width="4.7109375" style="226" customWidth="1"/>
    <col min="3" max="3" width="15.28515625" style="226" customWidth="1"/>
    <col min="4" max="5" width="14.42578125" style="226"/>
    <col min="6" max="6" width="16.7109375" style="226" bestFit="1" customWidth="1"/>
    <col min="7" max="16384" width="14.42578125" style="226"/>
  </cols>
  <sheetData>
    <row r="1" spans="1:26" ht="45" customHeight="1" x14ac:dyDescent="0.3">
      <c r="A1" s="142"/>
      <c r="B1" s="119"/>
      <c r="C1" s="119"/>
      <c r="D1" s="119"/>
      <c r="E1" s="119"/>
      <c r="F1" s="119"/>
      <c r="G1" s="119"/>
      <c r="H1" s="119"/>
      <c r="I1" s="119"/>
      <c r="J1" s="119"/>
      <c r="K1" s="119"/>
      <c r="L1" s="119"/>
      <c r="M1" s="119"/>
      <c r="N1" s="119"/>
      <c r="O1" s="119"/>
      <c r="P1" s="119"/>
      <c r="Q1" s="119"/>
      <c r="R1" s="119"/>
      <c r="S1" s="119"/>
      <c r="T1" s="119"/>
      <c r="U1" s="119"/>
      <c r="V1" s="119"/>
      <c r="W1" s="119"/>
      <c r="X1" s="119"/>
      <c r="Y1" s="119"/>
      <c r="Z1" s="119"/>
    </row>
    <row r="2" spans="1:26" ht="28.5" customHeight="1" x14ac:dyDescent="0.2">
      <c r="A2" s="144" t="s">
        <v>509</v>
      </c>
      <c r="B2" s="119"/>
      <c r="C2" s="119"/>
      <c r="D2" s="119"/>
      <c r="E2" s="119"/>
      <c r="F2" s="119"/>
      <c r="G2" s="119"/>
      <c r="H2" s="119"/>
      <c r="I2" s="119"/>
      <c r="J2" s="119"/>
      <c r="K2" s="119"/>
      <c r="L2" s="119"/>
      <c r="M2" s="119"/>
      <c r="N2" s="119"/>
      <c r="O2" s="119"/>
      <c r="P2" s="119"/>
      <c r="Q2" s="119"/>
      <c r="R2" s="119"/>
      <c r="S2" s="119"/>
      <c r="T2" s="119"/>
      <c r="U2" s="119"/>
      <c r="V2" s="119"/>
      <c r="W2" s="119"/>
      <c r="X2" s="119"/>
      <c r="Y2" s="119"/>
      <c r="Z2" s="119"/>
    </row>
    <row r="3" spans="1:26" ht="15.75" customHeight="1" x14ac:dyDescent="0.2">
      <c r="A3" s="122"/>
      <c r="B3" s="122"/>
      <c r="C3" s="122"/>
      <c r="D3" s="122"/>
      <c r="E3" s="122"/>
      <c r="F3" s="122"/>
      <c r="G3" s="122"/>
      <c r="H3" s="122"/>
      <c r="I3" s="122"/>
      <c r="J3" s="122"/>
      <c r="K3" s="122"/>
      <c r="L3" s="122"/>
      <c r="M3" s="122"/>
      <c r="N3" s="122"/>
      <c r="O3" s="122"/>
      <c r="P3" s="122"/>
      <c r="Q3" s="122"/>
      <c r="R3" s="122"/>
      <c r="S3" s="122"/>
      <c r="T3" s="122"/>
      <c r="U3" s="122"/>
      <c r="V3" s="122"/>
      <c r="W3" s="122"/>
      <c r="X3" s="122"/>
      <c r="Y3" s="122"/>
      <c r="Z3" s="122"/>
    </row>
    <row r="4" spans="1:26" ht="15.75" customHeight="1" x14ac:dyDescent="0.2">
      <c r="A4" s="145" t="s">
        <v>391</v>
      </c>
      <c r="B4" s="119"/>
      <c r="C4" s="119"/>
      <c r="D4" s="119"/>
      <c r="F4" s="152" t="s">
        <v>594</v>
      </c>
      <c r="G4" s="146"/>
      <c r="H4" s="146"/>
      <c r="I4" s="146"/>
      <c r="J4" s="146"/>
      <c r="K4" s="119"/>
      <c r="L4" s="119"/>
      <c r="M4" s="119"/>
      <c r="N4" s="119"/>
      <c r="O4" s="119"/>
      <c r="P4" s="119"/>
      <c r="Q4" s="119"/>
      <c r="R4" s="119"/>
      <c r="S4" s="119"/>
      <c r="T4" s="119"/>
      <c r="U4" s="119"/>
      <c r="V4" s="119"/>
      <c r="W4" s="119"/>
      <c r="X4" s="119"/>
      <c r="Y4" s="119"/>
      <c r="Z4" s="119"/>
    </row>
    <row r="5" spans="1:26" ht="15.75" customHeight="1" x14ac:dyDescent="0.2">
      <c r="A5" s="147"/>
      <c r="B5" s="122"/>
      <c r="C5" s="122"/>
      <c r="D5" s="122"/>
      <c r="E5" s="122"/>
      <c r="F5" s="148"/>
      <c r="G5" s="148"/>
      <c r="H5" s="148"/>
      <c r="I5" s="148"/>
      <c r="J5" s="148"/>
      <c r="K5" s="122"/>
      <c r="L5" s="122"/>
      <c r="M5" s="122"/>
      <c r="N5" s="122"/>
      <c r="O5" s="122"/>
      <c r="P5" s="122"/>
      <c r="Q5" s="122"/>
      <c r="R5" s="122"/>
      <c r="S5" s="122"/>
      <c r="T5" s="122"/>
      <c r="U5" s="122"/>
      <c r="V5" s="122"/>
      <c r="W5" s="122"/>
      <c r="X5" s="122"/>
      <c r="Y5" s="122"/>
      <c r="Z5" s="122"/>
    </row>
    <row r="6" spans="1:26" ht="15.75" customHeight="1" x14ac:dyDescent="0.2">
      <c r="A6" s="145" t="s">
        <v>25</v>
      </c>
      <c r="B6" s="119"/>
      <c r="C6" s="119"/>
      <c r="D6" s="119"/>
      <c r="E6" s="119"/>
      <c r="F6" s="146" t="s">
        <v>0</v>
      </c>
      <c r="G6" s="146" t="s">
        <v>1</v>
      </c>
      <c r="H6" s="146" t="s">
        <v>2</v>
      </c>
      <c r="I6" s="146"/>
      <c r="J6" s="146"/>
      <c r="L6" s="119"/>
      <c r="M6" s="119"/>
      <c r="N6" s="119"/>
      <c r="O6" s="119"/>
      <c r="P6" s="119"/>
      <c r="Q6" s="119"/>
      <c r="R6" s="119"/>
      <c r="S6" s="119"/>
      <c r="T6" s="119"/>
      <c r="U6" s="119"/>
      <c r="V6" s="119"/>
      <c r="W6" s="119"/>
      <c r="X6" s="119"/>
      <c r="Y6" s="119"/>
      <c r="Z6" s="119"/>
    </row>
    <row r="7" spans="1:26" ht="15.75" customHeight="1" x14ac:dyDescent="0.2">
      <c r="A7" s="122"/>
      <c r="B7" s="340" t="s">
        <v>3</v>
      </c>
      <c r="C7" s="405"/>
      <c r="D7" s="405"/>
      <c r="E7" s="405"/>
      <c r="F7" s="405"/>
      <c r="G7" s="405"/>
      <c r="H7" s="405"/>
      <c r="I7" s="412"/>
      <c r="J7" s="412"/>
      <c r="K7" s="412"/>
      <c r="L7" s="412"/>
      <c r="M7" s="412"/>
      <c r="N7" s="412"/>
      <c r="O7" s="412"/>
      <c r="P7" s="122"/>
      <c r="Q7" s="122"/>
      <c r="R7" s="122"/>
      <c r="S7" s="122"/>
      <c r="T7" s="122"/>
      <c r="U7" s="122"/>
      <c r="V7" s="122"/>
      <c r="W7" s="122"/>
      <c r="X7" s="122"/>
      <c r="Y7" s="122"/>
      <c r="Z7" s="122"/>
    </row>
    <row r="8" spans="1:26" ht="15.75" customHeight="1" x14ac:dyDescent="0.2">
      <c r="A8" s="122"/>
      <c r="B8" s="405"/>
      <c r="C8" s="395" t="s">
        <v>4</v>
      </c>
      <c r="D8" s="405"/>
      <c r="E8" s="405"/>
      <c r="F8" s="406">
        <v>7.9000000000000001E-2</v>
      </c>
      <c r="G8" s="405" t="s">
        <v>5</v>
      </c>
      <c r="H8" s="405" t="s">
        <v>6</v>
      </c>
      <c r="I8" s="412"/>
      <c r="J8" s="412"/>
      <c r="K8" s="412"/>
      <c r="L8" s="412"/>
      <c r="M8" s="412"/>
      <c r="N8" s="412"/>
      <c r="O8" s="412"/>
      <c r="P8" s="122"/>
      <c r="Q8" s="122"/>
      <c r="R8" s="122"/>
      <c r="S8" s="122"/>
      <c r="T8" s="122"/>
      <c r="U8" s="122"/>
      <c r="V8" s="122"/>
      <c r="W8" s="122"/>
      <c r="X8" s="122"/>
      <c r="Y8" s="122"/>
      <c r="Z8" s="122"/>
    </row>
    <row r="9" spans="1:26" ht="15.75" customHeight="1" x14ac:dyDescent="0.2">
      <c r="A9" s="122"/>
      <c r="B9" s="405"/>
      <c r="C9" s="395" t="s">
        <v>7</v>
      </c>
      <c r="D9" s="405"/>
      <c r="E9" s="405"/>
      <c r="F9" s="406">
        <v>2.5000000000000001E-2</v>
      </c>
      <c r="G9" s="405" t="s">
        <v>5</v>
      </c>
      <c r="H9" s="405"/>
      <c r="I9" s="412"/>
      <c r="J9" s="412"/>
      <c r="K9" s="412"/>
      <c r="L9" s="412"/>
      <c r="M9" s="412"/>
      <c r="N9" s="412"/>
      <c r="O9" s="412"/>
      <c r="P9" s="122"/>
      <c r="Q9" s="122"/>
      <c r="R9" s="122"/>
      <c r="S9" s="122"/>
      <c r="T9" s="122"/>
      <c r="U9" s="122"/>
      <c r="V9" s="122"/>
      <c r="W9" s="122"/>
      <c r="X9" s="122"/>
      <c r="Y9" s="122"/>
      <c r="Z9" s="122"/>
    </row>
    <row r="10" spans="1:26" ht="15.75" customHeight="1" x14ac:dyDescent="0.2">
      <c r="A10" s="122"/>
      <c r="B10" s="405"/>
      <c r="C10" s="395" t="s">
        <v>8</v>
      </c>
      <c r="D10" s="405"/>
      <c r="E10" s="405"/>
      <c r="F10" s="416">
        <v>157.54</v>
      </c>
      <c r="G10" s="405" t="s">
        <v>9</v>
      </c>
      <c r="H10" s="405" t="s">
        <v>10</v>
      </c>
      <c r="I10" s="412"/>
      <c r="J10" s="412"/>
      <c r="K10" s="412"/>
      <c r="L10" s="412"/>
      <c r="M10" s="412"/>
      <c r="N10" s="412"/>
      <c r="O10" s="412"/>
      <c r="P10" s="122"/>
      <c r="Q10" s="122"/>
      <c r="R10" s="122"/>
      <c r="S10" s="122"/>
      <c r="T10" s="122"/>
      <c r="U10" s="122"/>
      <c r="V10" s="122"/>
      <c r="W10" s="122"/>
      <c r="X10" s="122"/>
      <c r="Y10" s="122"/>
      <c r="Z10" s="122"/>
    </row>
    <row r="11" spans="1:26" ht="15.75" customHeight="1" x14ac:dyDescent="0.2">
      <c r="A11" s="122"/>
      <c r="B11" s="405"/>
      <c r="C11" s="395" t="s">
        <v>11</v>
      </c>
      <c r="D11" s="405"/>
      <c r="E11" s="405"/>
      <c r="F11" s="408">
        <v>0</v>
      </c>
      <c r="G11" s="405" t="s">
        <v>5</v>
      </c>
      <c r="H11" s="405" t="s">
        <v>12</v>
      </c>
      <c r="I11" s="412"/>
      <c r="J11" s="412"/>
      <c r="K11" s="412"/>
      <c r="L11" s="412"/>
      <c r="M11" s="412"/>
      <c r="N11" s="412"/>
      <c r="O11" s="412"/>
      <c r="P11" s="122"/>
      <c r="Q11" s="122"/>
      <c r="R11" s="122"/>
      <c r="S11" s="122"/>
      <c r="T11" s="122"/>
      <c r="U11" s="122"/>
      <c r="V11" s="122"/>
      <c r="W11" s="122"/>
      <c r="X11" s="122"/>
      <c r="Y11" s="122"/>
      <c r="Z11" s="122"/>
    </row>
    <row r="12" spans="1:26" ht="15.75" customHeight="1" x14ac:dyDescent="0.2">
      <c r="A12" s="122"/>
      <c r="B12" s="405"/>
      <c r="C12" s="395" t="s">
        <v>13</v>
      </c>
      <c r="D12" s="405"/>
      <c r="E12" s="405"/>
      <c r="F12" s="406">
        <v>0.10199999999999999</v>
      </c>
      <c r="G12" s="405" t="s">
        <v>5</v>
      </c>
      <c r="H12" s="405" t="s">
        <v>14</v>
      </c>
      <c r="I12" s="412"/>
      <c r="J12" s="412"/>
      <c r="K12" s="412"/>
      <c r="L12" s="412"/>
      <c r="M12" s="412"/>
      <c r="N12" s="412"/>
      <c r="O12" s="412"/>
      <c r="P12" s="122"/>
      <c r="Q12" s="122"/>
      <c r="R12" s="122"/>
      <c r="S12" s="122"/>
      <c r="T12" s="122"/>
      <c r="U12" s="122"/>
      <c r="V12" s="122"/>
      <c r="W12" s="122"/>
      <c r="X12" s="122"/>
      <c r="Y12" s="122"/>
      <c r="Z12" s="122"/>
    </row>
    <row r="13" spans="1:26" ht="15.75" customHeight="1" x14ac:dyDescent="0.2">
      <c r="A13" s="122"/>
      <c r="B13" s="405"/>
      <c r="C13" s="395" t="s">
        <v>15</v>
      </c>
      <c r="D13" s="405"/>
      <c r="E13" s="405"/>
      <c r="F13" s="409">
        <v>173.60908000000001</v>
      </c>
      <c r="G13" s="405" t="s">
        <v>9</v>
      </c>
      <c r="H13" s="405"/>
      <c r="I13" s="412"/>
      <c r="J13" s="412"/>
      <c r="K13" s="412"/>
      <c r="L13" s="412"/>
      <c r="M13" s="412"/>
      <c r="N13" s="412"/>
      <c r="O13" s="412"/>
      <c r="P13" s="122"/>
      <c r="Q13" s="122"/>
      <c r="R13" s="122"/>
      <c r="S13" s="122"/>
      <c r="T13" s="122"/>
      <c r="U13" s="122"/>
      <c r="V13" s="122"/>
      <c r="W13" s="122"/>
      <c r="X13" s="122"/>
      <c r="Y13" s="122"/>
      <c r="Z13" s="122"/>
    </row>
    <row r="14" spans="1:26" ht="15.75" customHeight="1" x14ac:dyDescent="0.2">
      <c r="A14" s="122"/>
      <c r="B14" s="405"/>
      <c r="C14" s="395" t="s">
        <v>16</v>
      </c>
      <c r="D14" s="405"/>
      <c r="E14" s="405"/>
      <c r="F14" s="406">
        <v>8.4000000000000005E-2</v>
      </c>
      <c r="G14" s="405" t="s">
        <v>5</v>
      </c>
      <c r="H14" s="405" t="s">
        <v>1073</v>
      </c>
      <c r="I14" s="412"/>
      <c r="J14" s="412"/>
      <c r="K14" s="412"/>
      <c r="L14" s="412"/>
      <c r="M14" s="412"/>
      <c r="N14" s="412"/>
      <c r="O14" s="412"/>
      <c r="P14" s="122"/>
      <c r="Q14" s="122"/>
      <c r="R14" s="122"/>
      <c r="S14" s="122"/>
      <c r="T14" s="122"/>
      <c r="U14" s="122"/>
      <c r="V14" s="122"/>
      <c r="W14" s="122"/>
      <c r="X14" s="122"/>
      <c r="Y14" s="122"/>
      <c r="Z14" s="122"/>
    </row>
    <row r="15" spans="1:26" ht="15.75" customHeight="1" x14ac:dyDescent="0.2">
      <c r="A15" s="122"/>
      <c r="B15" s="405"/>
      <c r="C15" s="395" t="s">
        <v>17</v>
      </c>
      <c r="D15" s="405"/>
      <c r="E15" s="405"/>
      <c r="F15" s="406">
        <v>0.23977099999999996</v>
      </c>
      <c r="G15" s="405" t="s">
        <v>5</v>
      </c>
      <c r="H15" s="405"/>
      <c r="I15" s="412"/>
      <c r="J15" s="412"/>
      <c r="K15" s="412"/>
      <c r="L15" s="412"/>
      <c r="M15" s="412"/>
      <c r="N15" s="412"/>
      <c r="O15" s="412"/>
      <c r="P15" s="122"/>
      <c r="Q15" s="122"/>
      <c r="R15" s="122"/>
      <c r="S15" s="122"/>
      <c r="T15" s="122"/>
      <c r="U15" s="122"/>
      <c r="V15" s="122"/>
      <c r="W15" s="122"/>
      <c r="X15" s="122"/>
      <c r="Y15" s="122"/>
      <c r="Z15" s="122"/>
    </row>
    <row r="16" spans="1:26" ht="15.75" customHeight="1" x14ac:dyDescent="0.2">
      <c r="A16" s="122"/>
      <c r="B16" s="405"/>
      <c r="C16" s="395" t="s">
        <v>18</v>
      </c>
      <c r="D16" s="405"/>
      <c r="E16" s="405"/>
      <c r="F16" s="406">
        <v>0.14899999999999999</v>
      </c>
      <c r="G16" s="405" t="s">
        <v>5</v>
      </c>
      <c r="H16" s="405" t="s">
        <v>19</v>
      </c>
      <c r="I16" s="412"/>
      <c r="J16" s="412"/>
      <c r="K16" s="412"/>
      <c r="L16" s="412"/>
      <c r="M16" s="412"/>
      <c r="N16" s="412"/>
      <c r="O16" s="412"/>
      <c r="P16" s="122"/>
      <c r="Q16" s="122"/>
      <c r="R16" s="122"/>
      <c r="S16" s="122"/>
      <c r="T16" s="122"/>
      <c r="U16" s="122"/>
      <c r="V16" s="122"/>
      <c r="W16" s="122"/>
      <c r="X16" s="122"/>
      <c r="Y16" s="122"/>
      <c r="Z16" s="122"/>
    </row>
    <row r="17" spans="1:26" ht="15.75" customHeight="1" x14ac:dyDescent="0.2">
      <c r="A17" s="122"/>
      <c r="B17" s="410"/>
      <c r="C17" s="411"/>
      <c r="D17" s="412"/>
      <c r="E17" s="412"/>
      <c r="F17" s="412"/>
      <c r="G17" s="412"/>
      <c r="H17" s="412"/>
      <c r="I17" s="412"/>
      <c r="J17" s="412"/>
      <c r="K17" s="412"/>
      <c r="L17" s="412"/>
      <c r="M17" s="412"/>
      <c r="N17" s="412"/>
      <c r="O17" s="412"/>
      <c r="P17" s="122"/>
      <c r="Q17" s="122"/>
      <c r="R17" s="122"/>
      <c r="S17" s="122"/>
      <c r="T17" s="122"/>
      <c r="U17" s="122"/>
      <c r="V17" s="122"/>
      <c r="W17" s="122"/>
      <c r="X17" s="122"/>
      <c r="Y17" s="122"/>
      <c r="Z17" s="122"/>
    </row>
    <row r="18" spans="1:26" ht="15.75" customHeight="1" x14ac:dyDescent="0.2">
      <c r="A18" s="122"/>
      <c r="B18" s="340" t="s">
        <v>20</v>
      </c>
      <c r="C18" s="395"/>
      <c r="D18" s="405"/>
      <c r="E18" s="405"/>
      <c r="F18" s="405"/>
      <c r="G18" s="405"/>
      <c r="H18" s="405"/>
      <c r="I18" s="412"/>
      <c r="J18" s="412"/>
      <c r="K18" s="412"/>
      <c r="L18" s="412"/>
      <c r="M18" s="412"/>
      <c r="N18" s="412"/>
      <c r="O18" s="412"/>
      <c r="P18" s="122"/>
      <c r="Q18" s="122"/>
      <c r="R18" s="122"/>
      <c r="S18" s="122"/>
      <c r="T18" s="122"/>
      <c r="U18" s="122"/>
      <c r="V18" s="122"/>
      <c r="W18" s="122"/>
      <c r="X18" s="122"/>
      <c r="Y18" s="122"/>
      <c r="Z18" s="122"/>
    </row>
    <row r="19" spans="1:26" ht="15.75" customHeight="1" x14ac:dyDescent="0.2">
      <c r="A19" s="122"/>
      <c r="B19" s="405"/>
      <c r="C19" s="395" t="s">
        <v>21</v>
      </c>
      <c r="D19" s="405"/>
      <c r="E19" s="405"/>
      <c r="F19" s="406">
        <v>0.16800000000000001</v>
      </c>
      <c r="G19" s="395" t="s">
        <v>5</v>
      </c>
      <c r="H19" s="405" t="s">
        <v>22</v>
      </c>
      <c r="I19" s="412"/>
      <c r="J19" s="412"/>
      <c r="K19" s="412"/>
      <c r="L19" s="412"/>
      <c r="M19" s="412"/>
      <c r="N19" s="412"/>
      <c r="O19" s="412"/>
      <c r="P19" s="122"/>
      <c r="Q19" s="122"/>
      <c r="R19" s="122"/>
      <c r="S19" s="122"/>
      <c r="T19" s="122"/>
      <c r="U19" s="122"/>
      <c r="V19" s="122"/>
      <c r="W19" s="122"/>
      <c r="X19" s="122"/>
      <c r="Y19" s="122"/>
      <c r="Z19" s="122"/>
    </row>
    <row r="20" spans="1:26" ht="15.75" customHeight="1" x14ac:dyDescent="0.2">
      <c r="A20" s="122"/>
      <c r="B20" s="405"/>
      <c r="C20" s="395" t="s">
        <v>23</v>
      </c>
      <c r="D20" s="405"/>
      <c r="E20" s="405"/>
      <c r="F20" s="413">
        <v>0.12</v>
      </c>
      <c r="G20" s="395" t="s">
        <v>5</v>
      </c>
      <c r="H20" s="405"/>
      <c r="I20" s="412"/>
      <c r="J20" s="412"/>
      <c r="K20" s="412"/>
      <c r="L20" s="412"/>
      <c r="M20" s="412"/>
      <c r="N20" s="412"/>
      <c r="O20" s="412"/>
      <c r="P20" s="122"/>
      <c r="Q20" s="122"/>
      <c r="R20" s="122"/>
      <c r="S20" s="122"/>
      <c r="T20" s="122"/>
      <c r="U20" s="122"/>
      <c r="V20" s="122"/>
      <c r="W20" s="122"/>
      <c r="X20" s="122"/>
      <c r="Y20" s="122"/>
      <c r="Z20" s="122"/>
    </row>
    <row r="21" spans="1:26" customFormat="1" ht="15.75" customHeight="1" x14ac:dyDescent="0.2">
      <c r="A21" s="3"/>
      <c r="B21" s="447"/>
      <c r="C21" s="447"/>
      <c r="D21" s="447"/>
      <c r="E21" s="447"/>
      <c r="F21" s="447"/>
      <c r="G21" s="447"/>
      <c r="H21" s="447"/>
      <c r="I21" s="447"/>
      <c r="J21" s="447"/>
      <c r="K21" s="447"/>
      <c r="L21" s="447"/>
      <c r="M21" s="447"/>
      <c r="N21" s="447"/>
      <c r="O21" s="3"/>
      <c r="P21" s="3"/>
      <c r="Q21" s="3"/>
      <c r="R21" s="3"/>
      <c r="S21" s="3"/>
      <c r="T21" s="3"/>
      <c r="U21" s="3"/>
      <c r="V21" s="3"/>
      <c r="W21" s="3"/>
      <c r="X21" s="3"/>
      <c r="Y21" s="3"/>
      <c r="Z21" s="3"/>
    </row>
    <row r="22" spans="1:26" customFormat="1" ht="15.75" customHeight="1" x14ac:dyDescent="0.2">
      <c r="A22" s="3"/>
      <c r="B22" s="447"/>
      <c r="C22" s="447"/>
      <c r="D22" s="447"/>
      <c r="E22" s="447"/>
      <c r="F22" s="578" t="s">
        <v>44</v>
      </c>
      <c r="G22" s="579"/>
      <c r="H22" s="480"/>
      <c r="I22" s="578" t="s">
        <v>351</v>
      </c>
      <c r="J22" s="579"/>
      <c r="K22" s="579"/>
      <c r="L22" s="3"/>
      <c r="M22" s="3"/>
      <c r="N22" s="3"/>
      <c r="O22" s="3"/>
      <c r="P22" s="3"/>
      <c r="Q22" s="3"/>
      <c r="R22" s="3"/>
      <c r="S22" s="3"/>
      <c r="T22" s="3"/>
      <c r="U22" s="3"/>
      <c r="V22" s="3"/>
      <c r="W22" s="3"/>
      <c r="X22" s="3"/>
      <c r="Y22" s="3"/>
      <c r="Z22" s="3"/>
    </row>
    <row r="23" spans="1:26" customFormat="1" ht="18" customHeight="1" x14ac:dyDescent="0.2">
      <c r="A23" s="3"/>
      <c r="B23" s="452"/>
      <c r="C23" s="447"/>
      <c r="D23" s="447"/>
      <c r="E23" s="447"/>
      <c r="F23" s="414" t="s">
        <v>0</v>
      </c>
      <c r="G23" s="5" t="s">
        <v>1</v>
      </c>
      <c r="H23" s="2"/>
      <c r="I23" s="414" t="s">
        <v>0</v>
      </c>
      <c r="J23" s="5" t="s">
        <v>1</v>
      </c>
      <c r="K23" s="5" t="s">
        <v>2</v>
      </c>
      <c r="L23" s="3"/>
      <c r="M23" s="3"/>
      <c r="N23" s="3"/>
      <c r="O23" s="3"/>
      <c r="P23" s="3"/>
      <c r="Q23" s="3"/>
      <c r="R23" s="3"/>
      <c r="S23" s="3"/>
      <c r="T23" s="3"/>
      <c r="U23" s="3"/>
      <c r="V23" s="3"/>
      <c r="W23" s="3"/>
      <c r="X23" s="3"/>
      <c r="Y23" s="3"/>
      <c r="Z23" s="3"/>
    </row>
    <row r="24" spans="1:26" customFormat="1" ht="18" customHeight="1" x14ac:dyDescent="0.2">
      <c r="A24" s="3"/>
      <c r="B24" s="340" t="s">
        <v>46</v>
      </c>
      <c r="C24" s="455"/>
      <c r="D24" s="455"/>
      <c r="E24" s="455"/>
      <c r="F24" s="455"/>
      <c r="G24" s="5"/>
      <c r="H24" s="2"/>
      <c r="I24" s="455"/>
      <c r="J24" s="5"/>
      <c r="K24" s="5"/>
      <c r="L24" s="3"/>
      <c r="M24" s="3"/>
      <c r="N24" s="3"/>
      <c r="O24" s="3"/>
      <c r="P24" s="3"/>
      <c r="Q24" s="3"/>
      <c r="R24" s="3"/>
      <c r="S24" s="3"/>
      <c r="T24" s="3"/>
      <c r="U24" s="3"/>
      <c r="V24" s="3"/>
      <c r="W24" s="3"/>
      <c r="X24" s="3"/>
      <c r="Y24" s="3"/>
      <c r="Z24" s="3"/>
    </row>
    <row r="25" spans="1:26" ht="15.75" customHeight="1" x14ac:dyDescent="0.2">
      <c r="A25" s="122"/>
      <c r="B25" s="405"/>
      <c r="C25" s="395" t="s">
        <v>47</v>
      </c>
      <c r="D25" s="405"/>
      <c r="E25" s="405"/>
      <c r="F25" s="417">
        <v>0.97</v>
      </c>
      <c r="G25" s="395" t="s">
        <v>48</v>
      </c>
      <c r="H25" s="405" t="s">
        <v>357</v>
      </c>
      <c r="I25" s="503">
        <f>F25</f>
        <v>0.97</v>
      </c>
      <c r="J25" s="395" t="s">
        <v>48</v>
      </c>
      <c r="K25" s="405" t="s">
        <v>12</v>
      </c>
      <c r="L25" s="122"/>
      <c r="M25" s="122"/>
      <c r="N25" s="122"/>
      <c r="O25" s="122"/>
      <c r="P25" s="122"/>
      <c r="Q25" s="122"/>
      <c r="R25" s="122"/>
      <c r="S25" s="122"/>
      <c r="T25" s="122"/>
      <c r="U25" s="122"/>
      <c r="V25" s="122"/>
      <c r="W25" s="122"/>
      <c r="X25" s="122"/>
      <c r="Y25" s="122"/>
      <c r="Z25" s="122"/>
    </row>
    <row r="26" spans="1:26" ht="15.75" customHeight="1" x14ac:dyDescent="0.2">
      <c r="A26" s="122"/>
      <c r="B26" s="405"/>
      <c r="C26" s="395" t="s">
        <v>51</v>
      </c>
      <c r="D26" s="405"/>
      <c r="E26" s="405"/>
      <c r="F26" s="395"/>
      <c r="G26" s="395"/>
      <c r="H26" s="405"/>
      <c r="I26" s="417">
        <v>1</v>
      </c>
      <c r="J26" s="395" t="s">
        <v>52</v>
      </c>
      <c r="K26" s="405" t="s">
        <v>12</v>
      </c>
      <c r="L26" s="122"/>
      <c r="M26" s="122"/>
      <c r="N26" s="122"/>
      <c r="O26" s="122"/>
      <c r="P26" s="122"/>
      <c r="Q26" s="122"/>
      <c r="R26" s="122"/>
      <c r="S26" s="122"/>
      <c r="T26" s="122"/>
      <c r="U26" s="122"/>
      <c r="V26" s="122"/>
      <c r="W26" s="122"/>
      <c r="X26" s="122"/>
      <c r="Y26" s="122"/>
      <c r="Z26" s="122"/>
    </row>
    <row r="27" spans="1:26" ht="15.75" customHeight="1" x14ac:dyDescent="0.2">
      <c r="A27" s="122"/>
      <c r="B27" s="405"/>
      <c r="C27" s="395" t="s">
        <v>53</v>
      </c>
      <c r="D27" s="405"/>
      <c r="E27" s="405"/>
      <c r="F27" s="417">
        <v>6.7</v>
      </c>
      <c r="G27" s="395" t="s">
        <v>54</v>
      </c>
      <c r="H27" s="405" t="s">
        <v>358</v>
      </c>
      <c r="I27" s="503">
        <f>F27</f>
        <v>6.7</v>
      </c>
      <c r="J27" s="395" t="s">
        <v>54</v>
      </c>
      <c r="K27" s="582"/>
      <c r="L27" s="122"/>
      <c r="M27" s="122"/>
      <c r="N27" s="122"/>
      <c r="O27" s="122"/>
      <c r="P27" s="122"/>
      <c r="Q27" s="122"/>
      <c r="R27" s="122"/>
      <c r="S27" s="122"/>
      <c r="T27" s="122"/>
      <c r="U27" s="122"/>
      <c r="V27" s="122"/>
      <c r="W27" s="122"/>
      <c r="X27" s="122"/>
      <c r="Y27" s="122"/>
      <c r="Z27" s="122"/>
    </row>
    <row r="28" spans="1:26" ht="15.75" customHeight="1" x14ac:dyDescent="0.2">
      <c r="A28" s="122"/>
      <c r="B28" s="405"/>
      <c r="C28" s="395" t="s">
        <v>392</v>
      </c>
      <c r="D28" s="405"/>
      <c r="E28" s="405"/>
      <c r="F28" s="504">
        <v>402</v>
      </c>
      <c r="G28" s="395" t="s">
        <v>57</v>
      </c>
      <c r="H28" s="405" t="s">
        <v>357</v>
      </c>
      <c r="I28" s="505">
        <f>F28*1.2</f>
        <v>482.4</v>
      </c>
      <c r="J28" s="395" t="s">
        <v>57</v>
      </c>
      <c r="K28" s="405" t="s">
        <v>360</v>
      </c>
      <c r="L28" s="122"/>
      <c r="M28" s="122"/>
      <c r="N28" s="122"/>
      <c r="O28" s="122"/>
      <c r="P28" s="122"/>
      <c r="Q28" s="122"/>
      <c r="R28" s="122"/>
      <c r="S28" s="122"/>
      <c r="T28" s="122"/>
      <c r="U28" s="122"/>
      <c r="V28" s="122"/>
      <c r="W28" s="122"/>
      <c r="X28" s="122"/>
      <c r="Y28" s="122"/>
      <c r="Z28" s="122"/>
    </row>
    <row r="29" spans="1:26" ht="15.75" customHeight="1" x14ac:dyDescent="0.2">
      <c r="A29" s="122"/>
      <c r="B29" s="412"/>
      <c r="C29" s="412"/>
      <c r="D29" s="412"/>
      <c r="E29" s="412"/>
      <c r="F29" s="412"/>
      <c r="G29" s="412"/>
      <c r="H29" s="412"/>
      <c r="I29" s="412"/>
      <c r="J29" s="412"/>
      <c r="K29" s="412"/>
      <c r="L29" s="122"/>
      <c r="M29" s="122"/>
      <c r="N29" s="122"/>
      <c r="O29" s="122"/>
      <c r="P29" s="122"/>
      <c r="Q29" s="122"/>
      <c r="R29" s="122"/>
      <c r="S29" s="122"/>
      <c r="T29" s="122"/>
      <c r="U29" s="122"/>
      <c r="V29" s="122"/>
      <c r="W29" s="122"/>
      <c r="X29" s="122"/>
      <c r="Y29" s="122"/>
      <c r="Z29" s="122"/>
    </row>
    <row r="30" spans="1:26" ht="15.75" customHeight="1" x14ac:dyDescent="0.2">
      <c r="A30" s="122"/>
      <c r="B30" s="340" t="s">
        <v>393</v>
      </c>
      <c r="C30" s="405"/>
      <c r="D30" s="405"/>
      <c r="E30" s="405"/>
      <c r="F30" s="405"/>
      <c r="G30" s="405"/>
      <c r="H30" s="405"/>
      <c r="I30" s="405"/>
      <c r="J30" s="405"/>
      <c r="K30" s="405"/>
      <c r="L30" s="122"/>
      <c r="M30" s="122"/>
      <c r="N30" s="122"/>
      <c r="O30" s="122"/>
      <c r="P30" s="122"/>
      <c r="Q30" s="122"/>
      <c r="R30" s="122"/>
      <c r="S30" s="122"/>
      <c r="T30" s="122"/>
      <c r="U30" s="122"/>
      <c r="V30" s="122"/>
      <c r="W30" s="122"/>
      <c r="X30" s="122"/>
      <c r="Y30" s="122"/>
      <c r="Z30" s="122"/>
    </row>
    <row r="31" spans="1:26" ht="15.75" customHeight="1" x14ac:dyDescent="0.2">
      <c r="A31" s="122"/>
      <c r="B31" s="405"/>
      <c r="C31" s="395" t="s">
        <v>60</v>
      </c>
      <c r="D31" s="405"/>
      <c r="E31" s="405"/>
      <c r="F31" s="417">
        <v>1.27</v>
      </c>
      <c r="G31" s="395" t="s">
        <v>61</v>
      </c>
      <c r="H31" s="405" t="s">
        <v>394</v>
      </c>
      <c r="I31" s="506">
        <f>0.8*I32</f>
        <v>2</v>
      </c>
      <c r="J31" s="395" t="s">
        <v>61</v>
      </c>
      <c r="K31" s="405" t="s">
        <v>362</v>
      </c>
      <c r="L31" s="122"/>
      <c r="M31" s="122"/>
      <c r="N31" s="122"/>
      <c r="O31" s="122"/>
      <c r="P31" s="122"/>
      <c r="Q31" s="122"/>
      <c r="R31" s="122"/>
      <c r="S31" s="122"/>
      <c r="T31" s="122"/>
      <c r="U31" s="122"/>
      <c r="V31" s="122"/>
      <c r="W31" s="122"/>
      <c r="X31" s="122"/>
      <c r="Y31" s="122"/>
      <c r="Z31" s="122"/>
    </row>
    <row r="32" spans="1:26" ht="15.75" customHeight="1" x14ac:dyDescent="0.2">
      <c r="A32" s="122"/>
      <c r="B32" s="405"/>
      <c r="C32" s="395" t="s">
        <v>63</v>
      </c>
      <c r="D32" s="405"/>
      <c r="E32" s="405"/>
      <c r="F32" s="395"/>
      <c r="G32" s="395"/>
      <c r="H32" s="405"/>
      <c r="I32" s="423">
        <v>2.5</v>
      </c>
      <c r="J32" s="395" t="s">
        <v>61</v>
      </c>
      <c r="K32" s="405" t="s">
        <v>362</v>
      </c>
      <c r="L32" s="122"/>
      <c r="M32" s="122"/>
      <c r="N32" s="122"/>
      <c r="O32" s="122"/>
      <c r="P32" s="122"/>
      <c r="Q32" s="122"/>
      <c r="R32" s="122"/>
      <c r="S32" s="122"/>
      <c r="T32" s="122"/>
      <c r="U32" s="122"/>
      <c r="V32" s="122"/>
      <c r="W32" s="122"/>
      <c r="X32" s="122"/>
      <c r="Y32" s="122"/>
      <c r="Z32" s="122"/>
    </row>
    <row r="33" spans="1:26" ht="15.75" customHeight="1" x14ac:dyDescent="0.2">
      <c r="A33" s="122"/>
      <c r="B33" s="405"/>
      <c r="C33" s="395" t="s">
        <v>65</v>
      </c>
      <c r="D33" s="405"/>
      <c r="E33" s="405"/>
      <c r="F33" s="417">
        <v>0</v>
      </c>
      <c r="G33" s="395" t="s">
        <v>66</v>
      </c>
      <c r="H33" s="405"/>
      <c r="I33" s="436">
        <v>1</v>
      </c>
      <c r="J33" s="395" t="s">
        <v>66</v>
      </c>
      <c r="K33" s="405"/>
      <c r="L33" s="122"/>
      <c r="M33" s="122"/>
      <c r="N33" s="122"/>
      <c r="O33" s="122"/>
      <c r="P33" s="122"/>
      <c r="Q33" s="122"/>
      <c r="R33" s="122"/>
      <c r="S33" s="122"/>
      <c r="T33" s="122"/>
      <c r="U33" s="122"/>
      <c r="V33" s="122"/>
      <c r="W33" s="122"/>
      <c r="X33" s="122"/>
      <c r="Y33" s="122"/>
      <c r="Z33" s="122"/>
    </row>
    <row r="34" spans="1:26" ht="15.75" customHeight="1" x14ac:dyDescent="0.2">
      <c r="A34" s="122"/>
      <c r="B34" s="405"/>
      <c r="C34" s="391" t="s">
        <v>67</v>
      </c>
      <c r="D34" s="422"/>
      <c r="E34" s="422"/>
      <c r="F34" s="391"/>
      <c r="G34" s="391" t="s">
        <v>66</v>
      </c>
      <c r="H34" s="422"/>
      <c r="I34" s="436">
        <v>1</v>
      </c>
      <c r="J34" s="391" t="s">
        <v>66</v>
      </c>
      <c r="K34" s="422"/>
      <c r="L34" s="122"/>
      <c r="M34" s="122"/>
      <c r="N34" s="122"/>
      <c r="O34" s="122"/>
      <c r="P34" s="122"/>
      <c r="Q34" s="122"/>
      <c r="R34" s="122"/>
      <c r="S34" s="122"/>
      <c r="T34" s="122"/>
      <c r="U34" s="122"/>
      <c r="V34" s="122"/>
      <c r="W34" s="122"/>
      <c r="X34" s="122"/>
      <c r="Y34" s="122"/>
      <c r="Z34" s="122"/>
    </row>
    <row r="35" spans="1:26" ht="15.75" customHeight="1" x14ac:dyDescent="0.2">
      <c r="A35" s="122"/>
      <c r="B35" s="405"/>
      <c r="C35" s="395" t="s">
        <v>395</v>
      </c>
      <c r="D35" s="405"/>
      <c r="E35" s="405"/>
      <c r="F35" s="419">
        <v>1.2E-2</v>
      </c>
      <c r="G35" s="395" t="s">
        <v>69</v>
      </c>
      <c r="H35" s="405" t="s">
        <v>364</v>
      </c>
      <c r="I35" s="537"/>
      <c r="J35" s="395"/>
      <c r="K35" s="405"/>
      <c r="L35" s="122"/>
      <c r="M35" s="122"/>
      <c r="N35" s="122"/>
      <c r="O35" s="122"/>
      <c r="P35" s="122"/>
      <c r="Q35" s="122"/>
      <c r="R35" s="122"/>
      <c r="S35" s="122"/>
      <c r="T35" s="122"/>
      <c r="U35" s="122"/>
      <c r="V35" s="122"/>
      <c r="W35" s="122"/>
      <c r="X35" s="122"/>
      <c r="Y35" s="122"/>
      <c r="Z35" s="122"/>
    </row>
    <row r="36" spans="1:26" ht="15.75" customHeight="1" x14ac:dyDescent="0.2">
      <c r="A36" s="122"/>
      <c r="B36" s="405"/>
      <c r="C36" s="391" t="s">
        <v>396</v>
      </c>
      <c r="D36" s="422"/>
      <c r="E36" s="422"/>
      <c r="F36" s="872"/>
      <c r="G36" s="391"/>
      <c r="H36" s="422"/>
      <c r="I36" s="419">
        <v>2.5000000000000001E-2</v>
      </c>
      <c r="J36" s="391" t="s">
        <v>69</v>
      </c>
      <c r="K36" s="422" t="s">
        <v>366</v>
      </c>
      <c r="L36" s="122"/>
      <c r="M36" s="122"/>
      <c r="N36" s="122"/>
      <c r="O36" s="122"/>
      <c r="P36" s="122"/>
      <c r="Q36" s="122"/>
      <c r="R36" s="122"/>
      <c r="S36" s="122"/>
      <c r="T36" s="122"/>
      <c r="U36" s="122"/>
      <c r="V36" s="122"/>
      <c r="W36" s="122"/>
      <c r="X36" s="122"/>
      <c r="Y36" s="122"/>
      <c r="Z36" s="122"/>
    </row>
    <row r="37" spans="1:26" ht="15.75" customHeight="1" x14ac:dyDescent="0.2">
      <c r="A37" s="122"/>
      <c r="B37" s="405"/>
      <c r="C37" s="395" t="s">
        <v>73</v>
      </c>
      <c r="D37" s="405"/>
      <c r="E37" s="405"/>
      <c r="F37" s="420">
        <v>0.125</v>
      </c>
      <c r="G37" s="395" t="s">
        <v>69</v>
      </c>
      <c r="H37" s="405" t="s">
        <v>397</v>
      </c>
      <c r="I37" s="511">
        <f>F37</f>
        <v>0.125</v>
      </c>
      <c r="J37" s="395" t="s">
        <v>69</v>
      </c>
      <c r="K37" s="405"/>
      <c r="L37" s="122"/>
      <c r="M37" s="122"/>
      <c r="N37" s="122"/>
      <c r="O37" s="122"/>
      <c r="P37" s="122"/>
      <c r="Q37" s="122"/>
      <c r="R37" s="122"/>
      <c r="S37" s="122"/>
      <c r="T37" s="122"/>
      <c r="U37" s="122"/>
      <c r="V37" s="122"/>
      <c r="W37" s="122"/>
      <c r="X37" s="122"/>
      <c r="Y37" s="122"/>
      <c r="Z37" s="122"/>
    </row>
    <row r="38" spans="1:26" ht="15.75" customHeight="1" x14ac:dyDescent="0.2">
      <c r="A38" s="122"/>
      <c r="B38" s="412"/>
      <c r="C38" s="411"/>
      <c r="D38" s="412"/>
      <c r="E38" s="412"/>
      <c r="F38" s="412"/>
      <c r="G38" s="412"/>
      <c r="H38" s="412"/>
      <c r="I38" s="412"/>
      <c r="J38" s="412"/>
      <c r="K38" s="412"/>
      <c r="L38" s="122"/>
      <c r="M38" s="122"/>
      <c r="N38" s="122"/>
      <c r="O38" s="122"/>
      <c r="P38" s="122"/>
      <c r="Q38" s="122"/>
      <c r="R38" s="122"/>
      <c r="S38" s="122"/>
      <c r="T38" s="122"/>
      <c r="U38" s="122"/>
      <c r="V38" s="122"/>
      <c r="W38" s="122"/>
      <c r="X38" s="122"/>
      <c r="Y38" s="122"/>
      <c r="Z38" s="122"/>
    </row>
    <row r="39" spans="1:26" ht="15.75" customHeight="1" x14ac:dyDescent="0.2">
      <c r="A39" s="122"/>
      <c r="B39" s="340" t="s">
        <v>76</v>
      </c>
      <c r="C39" s="395"/>
      <c r="D39" s="405"/>
      <c r="E39" s="405"/>
      <c r="F39" s="405"/>
      <c r="G39" s="405"/>
      <c r="H39" s="405"/>
      <c r="I39" s="405"/>
      <c r="J39" s="405"/>
      <c r="K39" s="405"/>
      <c r="L39" s="122"/>
      <c r="M39" s="122"/>
      <c r="N39" s="122"/>
      <c r="O39" s="122"/>
      <c r="P39" s="122"/>
      <c r="Q39" s="122"/>
      <c r="R39" s="122"/>
      <c r="S39" s="122"/>
      <c r="T39" s="122"/>
      <c r="U39" s="122"/>
      <c r="V39" s="122"/>
      <c r="W39" s="122"/>
      <c r="X39" s="122"/>
      <c r="Y39" s="122"/>
      <c r="Z39" s="122"/>
    </row>
    <row r="40" spans="1:26" ht="15.75" customHeight="1" x14ac:dyDescent="0.2">
      <c r="A40" s="122"/>
      <c r="B40" s="405"/>
      <c r="C40" s="395" t="s">
        <v>272</v>
      </c>
      <c r="D40" s="405"/>
      <c r="E40" s="405"/>
      <c r="F40" s="539">
        <v>5.8</v>
      </c>
      <c r="G40" s="395" t="s">
        <v>77</v>
      </c>
      <c r="H40" s="405" t="s">
        <v>357</v>
      </c>
      <c r="I40" s="506">
        <f>F40*1.5</f>
        <v>8.6999999999999993</v>
      </c>
      <c r="J40" s="395" t="s">
        <v>77</v>
      </c>
      <c r="K40" s="405" t="s">
        <v>398</v>
      </c>
      <c r="L40" s="122"/>
      <c r="M40" s="122"/>
      <c r="N40" s="122"/>
      <c r="O40" s="122"/>
      <c r="P40" s="122"/>
      <c r="Q40" s="122"/>
      <c r="R40" s="122"/>
      <c r="S40" s="122"/>
      <c r="T40" s="122"/>
      <c r="U40" s="122"/>
      <c r="V40" s="122"/>
      <c r="W40" s="122"/>
      <c r="X40" s="122"/>
      <c r="Y40" s="122"/>
      <c r="Z40" s="122"/>
    </row>
    <row r="41" spans="1:26" ht="15.75" customHeight="1" x14ac:dyDescent="0.2">
      <c r="A41" s="122"/>
      <c r="B41" s="405"/>
      <c r="C41" s="395" t="s">
        <v>273</v>
      </c>
      <c r="D41" s="405"/>
      <c r="E41" s="405"/>
      <c r="F41" s="540">
        <v>4.3</v>
      </c>
      <c r="G41" s="395" t="s">
        <v>77</v>
      </c>
      <c r="H41" s="405" t="s">
        <v>357</v>
      </c>
      <c r="I41" s="507">
        <f>F41*1.5</f>
        <v>6.4499999999999993</v>
      </c>
      <c r="J41" s="395" t="s">
        <v>77</v>
      </c>
      <c r="K41" s="405"/>
      <c r="L41" s="122"/>
      <c r="M41" s="122"/>
      <c r="N41" s="122"/>
      <c r="O41" s="122"/>
      <c r="P41" s="122"/>
      <c r="Q41" s="122"/>
      <c r="R41" s="122"/>
      <c r="S41" s="122"/>
      <c r="T41" s="122"/>
      <c r="U41" s="122"/>
      <c r="V41" s="122"/>
      <c r="W41" s="122"/>
      <c r="X41" s="122"/>
      <c r="Y41" s="122"/>
      <c r="Z41" s="122"/>
    </row>
    <row r="42" spans="1:26" ht="12.75" x14ac:dyDescent="0.2">
      <c r="A42" s="122"/>
      <c r="B42" s="405"/>
      <c r="C42" s="395" t="s">
        <v>274</v>
      </c>
      <c r="D42" s="405"/>
      <c r="E42" s="405"/>
      <c r="F42" s="540">
        <v>3.1</v>
      </c>
      <c r="G42" s="395" t="s">
        <v>77</v>
      </c>
      <c r="H42" s="405" t="s">
        <v>357</v>
      </c>
      <c r="I42" s="507">
        <f>F42*1.5</f>
        <v>4.6500000000000004</v>
      </c>
      <c r="J42" s="395" t="s">
        <v>77</v>
      </c>
      <c r="K42" s="405"/>
      <c r="L42" s="122"/>
      <c r="M42" s="122"/>
      <c r="N42" s="122"/>
      <c r="O42" s="122"/>
      <c r="P42" s="122"/>
      <c r="Q42" s="122"/>
      <c r="R42" s="122"/>
      <c r="S42" s="122"/>
      <c r="T42" s="122"/>
      <c r="U42" s="122"/>
      <c r="V42" s="122"/>
      <c r="W42" s="122"/>
      <c r="X42" s="122"/>
      <c r="Y42" s="122"/>
      <c r="Z42" s="122"/>
    </row>
    <row r="43" spans="1:26" ht="12.75" x14ac:dyDescent="0.2">
      <c r="A43" s="122"/>
      <c r="B43" s="405"/>
      <c r="C43" s="395" t="s">
        <v>275</v>
      </c>
      <c r="D43" s="405"/>
      <c r="E43" s="405"/>
      <c r="F43" s="512">
        <v>2.2000000000000002</v>
      </c>
      <c r="G43" s="395" t="s">
        <v>77</v>
      </c>
      <c r="H43" s="405" t="s">
        <v>357</v>
      </c>
      <c r="I43" s="513">
        <f>F43*(I31/F31)</f>
        <v>3.4645669291338583</v>
      </c>
      <c r="J43" s="395" t="s">
        <v>77</v>
      </c>
      <c r="K43" s="405"/>
      <c r="L43" s="122"/>
      <c r="M43" s="122"/>
      <c r="N43" s="122"/>
      <c r="O43" s="122"/>
      <c r="P43" s="122"/>
      <c r="Q43" s="122"/>
      <c r="R43" s="122"/>
      <c r="S43" s="122"/>
      <c r="T43" s="122"/>
      <c r="U43" s="122"/>
      <c r="V43" s="122"/>
      <c r="W43" s="122"/>
      <c r="X43" s="122"/>
      <c r="Y43" s="122"/>
      <c r="Z43" s="122"/>
    </row>
    <row r="44" spans="1:26" ht="12.75" x14ac:dyDescent="0.2">
      <c r="A44" s="122"/>
      <c r="B44" s="405"/>
      <c r="C44" s="391" t="s">
        <v>290</v>
      </c>
      <c r="D44" s="405"/>
      <c r="E44" s="405"/>
      <c r="F44" s="512">
        <v>1.4</v>
      </c>
      <c r="G44" s="395" t="s">
        <v>77</v>
      </c>
      <c r="H44" s="405" t="s">
        <v>357</v>
      </c>
      <c r="I44" s="513">
        <f>F44*1.5</f>
        <v>2.0999999999999996</v>
      </c>
      <c r="J44" s="395" t="s">
        <v>77</v>
      </c>
      <c r="K44" s="405"/>
      <c r="L44" s="122"/>
      <c r="M44" s="122"/>
      <c r="N44" s="122"/>
      <c r="O44" s="122"/>
      <c r="P44" s="122"/>
      <c r="Q44" s="122"/>
      <c r="R44" s="122"/>
      <c r="S44" s="122"/>
      <c r="T44" s="122"/>
      <c r="U44" s="122"/>
      <c r="V44" s="122"/>
      <c r="W44" s="122"/>
      <c r="X44" s="122"/>
      <c r="Y44" s="122"/>
      <c r="Z44" s="122"/>
    </row>
    <row r="45" spans="1:26" ht="12.75" x14ac:dyDescent="0.2">
      <c r="A45" s="122"/>
      <c r="B45" s="405"/>
      <c r="C45" s="391" t="s">
        <v>277</v>
      </c>
      <c r="D45" s="405"/>
      <c r="E45" s="405"/>
      <c r="F45" s="512">
        <v>26.7</v>
      </c>
      <c r="G45" s="395" t="s">
        <v>77</v>
      </c>
      <c r="H45" s="405" t="s">
        <v>357</v>
      </c>
      <c r="I45" s="513">
        <f>F45</f>
        <v>26.7</v>
      </c>
      <c r="J45" s="395" t="s">
        <v>77</v>
      </c>
      <c r="K45" s="405"/>
      <c r="L45" s="122"/>
      <c r="M45" s="122"/>
      <c r="N45" s="122"/>
      <c r="O45" s="122"/>
      <c r="P45" s="122"/>
      <c r="Q45" s="122"/>
      <c r="R45" s="122"/>
      <c r="S45" s="122"/>
      <c r="T45" s="122"/>
      <c r="U45" s="122"/>
      <c r="V45" s="122"/>
      <c r="W45" s="122"/>
      <c r="X45" s="122"/>
      <c r="Y45" s="122"/>
      <c r="Z45" s="122"/>
    </row>
    <row r="46" spans="1:26" ht="12.75" x14ac:dyDescent="0.2">
      <c r="A46" s="122"/>
      <c r="B46" s="405"/>
      <c r="C46" s="391" t="s">
        <v>276</v>
      </c>
      <c r="D46" s="405"/>
      <c r="E46" s="405"/>
      <c r="F46" s="417">
        <v>0</v>
      </c>
      <c r="G46" s="393" t="s">
        <v>86</v>
      </c>
      <c r="H46" s="405"/>
      <c r="I46" s="436">
        <v>10</v>
      </c>
      <c r="J46" s="395" t="s">
        <v>86</v>
      </c>
      <c r="K46" s="405" t="s">
        <v>370</v>
      </c>
      <c r="L46" s="122"/>
      <c r="M46" s="122"/>
      <c r="N46" s="122"/>
      <c r="O46" s="122"/>
      <c r="P46" s="122"/>
      <c r="Q46" s="122"/>
      <c r="R46" s="122"/>
      <c r="S46" s="122"/>
      <c r="T46" s="122"/>
      <c r="U46" s="122"/>
      <c r="V46" s="122"/>
      <c r="W46" s="122"/>
      <c r="X46" s="122"/>
      <c r="Y46" s="122"/>
      <c r="Z46" s="122"/>
    </row>
    <row r="47" spans="1:26" ht="12.75" x14ac:dyDescent="0.2">
      <c r="A47" s="122"/>
      <c r="B47" s="405"/>
      <c r="C47" s="391" t="s">
        <v>757</v>
      </c>
      <c r="D47" s="405"/>
      <c r="E47" s="405"/>
      <c r="F47" s="395"/>
      <c r="G47" s="395"/>
      <c r="H47" s="405"/>
      <c r="I47" s="436">
        <v>4</v>
      </c>
      <c r="J47" s="395" t="s">
        <v>487</v>
      </c>
      <c r="K47" s="405"/>
      <c r="L47" s="122"/>
      <c r="M47" s="122"/>
      <c r="N47" s="122"/>
      <c r="O47" s="122"/>
      <c r="P47" s="122"/>
      <c r="Q47" s="122"/>
      <c r="R47" s="122"/>
      <c r="S47" s="122"/>
      <c r="T47" s="122"/>
      <c r="U47" s="122"/>
      <c r="V47" s="122"/>
      <c r="W47" s="122"/>
      <c r="X47" s="122"/>
      <c r="Y47" s="122"/>
      <c r="Z47" s="122"/>
    </row>
    <row r="48" spans="1:26" ht="12.75" x14ac:dyDescent="0.2">
      <c r="A48" s="122"/>
      <c r="B48" s="405"/>
      <c r="C48" s="391" t="s">
        <v>206</v>
      </c>
      <c r="D48" s="405"/>
      <c r="E48" s="405"/>
      <c r="F48" s="438">
        <v>998</v>
      </c>
      <c r="G48" s="395" t="s">
        <v>87</v>
      </c>
      <c r="H48" s="405" t="s">
        <v>357</v>
      </c>
      <c r="I48" s="514">
        <f t="shared" ref="I48:I53" si="0">F48</f>
        <v>998</v>
      </c>
      <c r="J48" s="395" t="s">
        <v>87</v>
      </c>
      <c r="K48" s="405"/>
      <c r="L48" s="122"/>
      <c r="M48" s="122"/>
      <c r="N48" s="122"/>
      <c r="O48" s="122"/>
      <c r="P48" s="122"/>
      <c r="Q48" s="122"/>
      <c r="R48" s="122"/>
      <c r="S48" s="122"/>
      <c r="T48" s="122"/>
      <c r="U48" s="122"/>
      <c r="V48" s="122"/>
      <c r="W48" s="122"/>
      <c r="X48" s="122"/>
      <c r="Y48" s="122"/>
      <c r="Z48" s="122"/>
    </row>
    <row r="49" spans="1:26" ht="12.75" x14ac:dyDescent="0.2">
      <c r="A49" s="122"/>
      <c r="B49" s="405"/>
      <c r="C49" s="391" t="s">
        <v>205</v>
      </c>
      <c r="D49" s="405"/>
      <c r="E49" s="405"/>
      <c r="F49" s="438">
        <v>783</v>
      </c>
      <c r="G49" s="395" t="s">
        <v>87</v>
      </c>
      <c r="H49" s="405" t="s">
        <v>357</v>
      </c>
      <c r="I49" s="514">
        <f t="shared" si="0"/>
        <v>783</v>
      </c>
      <c r="J49" s="395" t="s">
        <v>87</v>
      </c>
      <c r="K49" s="405"/>
      <c r="L49" s="122"/>
      <c r="M49" s="122"/>
      <c r="N49" s="122"/>
      <c r="O49" s="122"/>
      <c r="P49" s="122"/>
      <c r="Q49" s="122"/>
      <c r="R49" s="122"/>
      <c r="S49" s="122"/>
      <c r="T49" s="122"/>
      <c r="U49" s="122"/>
      <c r="V49" s="122"/>
      <c r="W49" s="122"/>
      <c r="X49" s="122"/>
      <c r="Y49" s="122"/>
      <c r="Z49" s="122"/>
    </row>
    <row r="50" spans="1:26" ht="12.75" x14ac:dyDescent="0.2">
      <c r="A50" s="122"/>
      <c r="B50" s="405"/>
      <c r="C50" s="391" t="s">
        <v>203</v>
      </c>
      <c r="D50" s="405"/>
      <c r="E50" s="405"/>
      <c r="F50" s="438">
        <v>944</v>
      </c>
      <c r="G50" s="395" t="s">
        <v>87</v>
      </c>
      <c r="H50" s="405" t="s">
        <v>357</v>
      </c>
      <c r="I50" s="514">
        <f t="shared" si="0"/>
        <v>944</v>
      </c>
      <c r="J50" s="395" t="s">
        <v>87</v>
      </c>
      <c r="K50" s="405"/>
      <c r="L50" s="122"/>
      <c r="M50" s="122"/>
      <c r="N50" s="122"/>
      <c r="O50" s="122"/>
      <c r="P50" s="122"/>
      <c r="Q50" s="122"/>
      <c r="R50" s="122"/>
      <c r="S50" s="122"/>
      <c r="T50" s="122"/>
      <c r="U50" s="122"/>
      <c r="V50" s="122"/>
      <c r="W50" s="122"/>
      <c r="X50" s="122"/>
      <c r="Y50" s="122"/>
      <c r="Z50" s="122"/>
    </row>
    <row r="51" spans="1:26" ht="12.75" x14ac:dyDescent="0.2">
      <c r="A51" s="122"/>
      <c r="B51" s="405"/>
      <c r="C51" s="391" t="s">
        <v>204</v>
      </c>
      <c r="D51" s="405"/>
      <c r="E51" s="405"/>
      <c r="F51" s="438">
        <v>771</v>
      </c>
      <c r="G51" s="395" t="s">
        <v>87</v>
      </c>
      <c r="H51" s="405" t="s">
        <v>357</v>
      </c>
      <c r="I51" s="514">
        <f t="shared" si="0"/>
        <v>771</v>
      </c>
      <c r="J51" s="395" t="s">
        <v>87</v>
      </c>
      <c r="K51" s="405"/>
      <c r="L51" s="122"/>
      <c r="M51" s="122"/>
      <c r="N51" s="122"/>
      <c r="O51" s="122"/>
      <c r="P51" s="122"/>
      <c r="Q51" s="122"/>
      <c r="R51" s="122"/>
      <c r="S51" s="122"/>
      <c r="T51" s="122"/>
      <c r="U51" s="122"/>
      <c r="V51" s="122"/>
      <c r="W51" s="122"/>
      <c r="X51" s="122"/>
      <c r="Y51" s="122"/>
      <c r="Z51" s="122"/>
    </row>
    <row r="52" spans="1:26" ht="12.75" x14ac:dyDescent="0.2">
      <c r="A52" s="122"/>
      <c r="B52" s="405"/>
      <c r="C52" s="391" t="s">
        <v>291</v>
      </c>
      <c r="D52" s="405"/>
      <c r="E52" s="405"/>
      <c r="F52" s="438">
        <v>1179</v>
      </c>
      <c r="G52" s="395" t="s">
        <v>87</v>
      </c>
      <c r="H52" s="405" t="s">
        <v>357</v>
      </c>
      <c r="I52" s="514">
        <f t="shared" si="0"/>
        <v>1179</v>
      </c>
      <c r="J52" s="395" t="s">
        <v>87</v>
      </c>
      <c r="K52" s="405"/>
      <c r="L52" s="122"/>
      <c r="M52" s="122"/>
      <c r="N52" s="122"/>
      <c r="O52" s="122"/>
      <c r="P52" s="122"/>
      <c r="Q52" s="122"/>
      <c r="R52" s="122"/>
      <c r="S52" s="122"/>
      <c r="T52" s="122"/>
      <c r="U52" s="122"/>
      <c r="V52" s="122"/>
      <c r="W52" s="122"/>
      <c r="X52" s="122"/>
      <c r="Y52" s="122"/>
      <c r="Z52" s="122"/>
    </row>
    <row r="53" spans="1:26" ht="12.75" x14ac:dyDescent="0.2">
      <c r="A53" s="122"/>
      <c r="B53" s="405"/>
      <c r="C53" s="391" t="s">
        <v>271</v>
      </c>
      <c r="D53" s="405"/>
      <c r="E53" s="405"/>
      <c r="F53" s="438">
        <v>500</v>
      </c>
      <c r="G53" s="395" t="s">
        <v>87</v>
      </c>
      <c r="H53" s="405" t="s">
        <v>357</v>
      </c>
      <c r="I53" s="514">
        <f t="shared" si="0"/>
        <v>500</v>
      </c>
      <c r="J53" s="395" t="s">
        <v>87</v>
      </c>
      <c r="K53" s="405"/>
      <c r="L53" s="122"/>
      <c r="M53" s="122"/>
      <c r="N53" s="122"/>
      <c r="O53" s="122"/>
      <c r="P53" s="122"/>
      <c r="Q53" s="122"/>
      <c r="R53" s="122"/>
      <c r="S53" s="122"/>
      <c r="T53" s="122"/>
      <c r="U53" s="122"/>
      <c r="V53" s="122"/>
      <c r="W53" s="122"/>
      <c r="X53" s="122"/>
      <c r="Y53" s="122"/>
      <c r="Z53" s="122"/>
    </row>
    <row r="54" spans="1:26" ht="12.75" x14ac:dyDescent="0.2">
      <c r="A54" s="122"/>
      <c r="B54" s="405"/>
      <c r="C54" s="395" t="s">
        <v>89</v>
      </c>
      <c r="D54" s="405"/>
      <c r="E54" s="405"/>
      <c r="F54" s="431">
        <v>0</v>
      </c>
      <c r="G54" s="429" t="s">
        <v>69</v>
      </c>
      <c r="H54" s="430"/>
      <c r="I54" s="429"/>
      <c r="J54" s="429"/>
      <c r="K54" s="430"/>
      <c r="L54" s="122"/>
      <c r="M54" s="122"/>
      <c r="N54" s="122"/>
      <c r="O54" s="122"/>
      <c r="P54" s="122"/>
      <c r="Q54" s="122"/>
      <c r="R54" s="122"/>
      <c r="S54" s="122"/>
      <c r="T54" s="122"/>
      <c r="U54" s="122"/>
      <c r="V54" s="122"/>
      <c r="W54" s="122"/>
      <c r="X54" s="122"/>
      <c r="Y54" s="122"/>
      <c r="Z54" s="122"/>
    </row>
    <row r="55" spans="1:26" ht="12.75" x14ac:dyDescent="0.2">
      <c r="A55" s="122"/>
      <c r="B55" s="412"/>
      <c r="C55" s="412"/>
      <c r="D55" s="412"/>
      <c r="E55" s="412"/>
      <c r="F55" s="412"/>
      <c r="G55" s="412"/>
      <c r="H55" s="412"/>
      <c r="I55" s="412"/>
      <c r="J55" s="412"/>
      <c r="K55" s="412"/>
      <c r="L55" s="122"/>
      <c r="M55" s="122"/>
      <c r="N55" s="122"/>
      <c r="O55" s="122"/>
      <c r="P55" s="122"/>
      <c r="Q55" s="122"/>
      <c r="R55" s="122"/>
      <c r="S55" s="122"/>
      <c r="T55" s="122"/>
      <c r="U55" s="122"/>
      <c r="V55" s="122"/>
      <c r="W55" s="122"/>
      <c r="X55" s="122"/>
      <c r="Y55" s="122"/>
      <c r="Z55" s="122"/>
    </row>
    <row r="56" spans="1:26" ht="12.75" x14ac:dyDescent="0.2">
      <c r="A56" s="122"/>
      <c r="B56" s="389" t="s">
        <v>215</v>
      </c>
      <c r="C56" s="432"/>
      <c r="D56" s="432"/>
      <c r="E56" s="432"/>
      <c r="F56" s="432"/>
      <c r="G56" s="432"/>
      <c r="H56" s="432"/>
      <c r="I56" s="432"/>
      <c r="J56" s="432"/>
      <c r="K56" s="432"/>
      <c r="L56" s="122"/>
      <c r="M56" s="122"/>
      <c r="N56" s="122"/>
      <c r="O56" s="122"/>
      <c r="P56" s="122"/>
      <c r="Q56" s="122"/>
      <c r="R56" s="122"/>
      <c r="S56" s="122"/>
      <c r="T56" s="122"/>
      <c r="U56" s="122"/>
      <c r="V56" s="122"/>
      <c r="W56" s="122"/>
      <c r="X56" s="122"/>
      <c r="Y56" s="122"/>
      <c r="Z56" s="122"/>
    </row>
    <row r="57" spans="1:26" ht="12.75" x14ac:dyDescent="0.2">
      <c r="A57" s="122"/>
      <c r="B57" s="422"/>
      <c r="C57" s="395" t="s">
        <v>110</v>
      </c>
      <c r="D57" s="405"/>
      <c r="E57" s="405"/>
      <c r="F57" s="424">
        <v>4750</v>
      </c>
      <c r="G57" s="395" t="s">
        <v>111</v>
      </c>
      <c r="H57" s="405" t="s">
        <v>357</v>
      </c>
      <c r="I57" s="518">
        <f>F57</f>
        <v>4750</v>
      </c>
      <c r="J57" s="395" t="s">
        <v>111</v>
      </c>
      <c r="K57" s="405"/>
      <c r="L57" s="122"/>
      <c r="M57" s="122"/>
      <c r="N57" s="122"/>
      <c r="O57" s="122"/>
      <c r="P57" s="122"/>
      <c r="Q57" s="122"/>
      <c r="R57" s="122"/>
      <c r="S57" s="122"/>
      <c r="T57" s="122"/>
      <c r="U57" s="122"/>
      <c r="V57" s="122"/>
      <c r="W57" s="122"/>
      <c r="X57" s="122"/>
      <c r="Y57" s="122"/>
      <c r="Z57" s="122"/>
    </row>
    <row r="58" spans="1:26" ht="12.75" x14ac:dyDescent="0.2">
      <c r="A58" s="122"/>
      <c r="B58" s="390"/>
      <c r="C58" s="391" t="s">
        <v>286</v>
      </c>
      <c r="D58" s="333"/>
      <c r="E58" s="333"/>
      <c r="F58" s="434">
        <v>0.5</v>
      </c>
      <c r="G58" s="333" t="s">
        <v>759</v>
      </c>
      <c r="H58" s="333" t="s">
        <v>760</v>
      </c>
      <c r="I58" s="333"/>
      <c r="J58" s="333"/>
      <c r="K58" s="333"/>
      <c r="L58" s="122"/>
      <c r="M58" s="122"/>
      <c r="N58" s="122"/>
      <c r="O58" s="122"/>
      <c r="P58" s="122"/>
      <c r="Q58" s="122"/>
      <c r="R58" s="122"/>
      <c r="S58" s="122"/>
      <c r="T58" s="122"/>
      <c r="U58" s="122"/>
      <c r="V58" s="122"/>
      <c r="W58" s="122"/>
      <c r="X58" s="122"/>
      <c r="Y58" s="122"/>
      <c r="Z58" s="122"/>
    </row>
    <row r="59" spans="1:26" ht="12.75" x14ac:dyDescent="0.2">
      <c r="A59" s="122"/>
      <c r="B59" s="390"/>
      <c r="C59" s="432" t="s">
        <v>283</v>
      </c>
      <c r="D59" s="390"/>
      <c r="E59" s="390"/>
      <c r="F59" s="435">
        <v>2193</v>
      </c>
      <c r="G59" s="390" t="s">
        <v>758</v>
      </c>
      <c r="H59" s="405" t="s">
        <v>357</v>
      </c>
      <c r="I59" s="390"/>
      <c r="J59" s="390"/>
      <c r="K59" s="405"/>
      <c r="L59" s="122"/>
      <c r="M59" s="122"/>
      <c r="N59" s="122"/>
      <c r="O59" s="122"/>
      <c r="P59" s="122"/>
      <c r="Q59" s="122"/>
      <c r="R59" s="122"/>
      <c r="S59" s="122"/>
      <c r="T59" s="122"/>
      <c r="U59" s="122"/>
      <c r="V59" s="122"/>
      <c r="W59" s="122"/>
      <c r="X59" s="122"/>
      <c r="Y59" s="122"/>
      <c r="Z59" s="122"/>
    </row>
    <row r="60" spans="1:26" ht="12.75" x14ac:dyDescent="0.2">
      <c r="A60" s="122"/>
      <c r="B60" s="412"/>
      <c r="C60" s="412"/>
      <c r="D60" s="412"/>
      <c r="E60" s="412"/>
      <c r="F60" s="412"/>
      <c r="G60" s="412"/>
      <c r="H60" s="412"/>
      <c r="I60" s="412"/>
      <c r="J60" s="412"/>
      <c r="K60" s="412"/>
      <c r="L60" s="122"/>
      <c r="M60" s="122"/>
      <c r="N60" s="122"/>
      <c r="O60" s="122"/>
      <c r="P60" s="122"/>
      <c r="Q60" s="122"/>
      <c r="R60" s="122"/>
      <c r="S60" s="122"/>
      <c r="T60" s="122"/>
      <c r="U60" s="122"/>
      <c r="V60" s="122"/>
      <c r="W60" s="122"/>
      <c r="X60" s="122"/>
      <c r="Y60" s="122"/>
      <c r="Z60" s="122"/>
    </row>
    <row r="61" spans="1:26" ht="12.75" x14ac:dyDescent="0.2">
      <c r="A61" s="122"/>
      <c r="B61" s="340" t="s">
        <v>91</v>
      </c>
      <c r="C61" s="405"/>
      <c r="D61" s="405"/>
      <c r="E61" s="405"/>
      <c r="F61" s="405"/>
      <c r="G61" s="405"/>
      <c r="H61" s="405"/>
      <c r="I61" s="405"/>
      <c r="J61" s="405"/>
      <c r="K61" s="405"/>
      <c r="L61" s="122"/>
      <c r="M61" s="122"/>
      <c r="N61" s="122"/>
      <c r="O61" s="122"/>
      <c r="P61" s="122"/>
      <c r="Q61" s="122"/>
      <c r="R61" s="122"/>
      <c r="S61" s="122"/>
      <c r="T61" s="122"/>
      <c r="U61" s="122"/>
      <c r="V61" s="122"/>
      <c r="W61" s="122"/>
      <c r="X61" s="122"/>
      <c r="Y61" s="122"/>
      <c r="Z61" s="122"/>
    </row>
    <row r="62" spans="1:26" ht="12.75" x14ac:dyDescent="0.2">
      <c r="A62" s="122"/>
      <c r="B62" s="405"/>
      <c r="C62" s="395" t="s">
        <v>92</v>
      </c>
      <c r="D62" s="405"/>
      <c r="E62" s="405"/>
      <c r="F62" s="417">
        <v>25</v>
      </c>
      <c r="G62" s="395" t="s">
        <v>93</v>
      </c>
      <c r="H62" s="405" t="s">
        <v>357</v>
      </c>
      <c r="I62" s="436">
        <v>5</v>
      </c>
      <c r="J62" s="395" t="s">
        <v>93</v>
      </c>
      <c r="K62" s="405" t="s">
        <v>371</v>
      </c>
      <c r="L62" s="122"/>
      <c r="M62" s="122"/>
      <c r="N62" s="122"/>
      <c r="O62" s="122"/>
      <c r="P62" s="122"/>
      <c r="Q62" s="122"/>
      <c r="R62" s="122"/>
      <c r="S62" s="122"/>
      <c r="T62" s="122"/>
      <c r="U62" s="122"/>
      <c r="V62" s="122"/>
      <c r="W62" s="122"/>
      <c r="X62" s="122"/>
      <c r="Y62" s="122"/>
      <c r="Z62" s="122"/>
    </row>
    <row r="63" spans="1:26" ht="12.75" x14ac:dyDescent="0.2">
      <c r="A63" s="122"/>
      <c r="B63" s="405"/>
      <c r="C63" s="395" t="s">
        <v>96</v>
      </c>
      <c r="D63" s="405"/>
      <c r="E63" s="405"/>
      <c r="F63" s="519">
        <v>2</v>
      </c>
      <c r="G63" s="395" t="s">
        <v>93</v>
      </c>
      <c r="H63" s="405" t="s">
        <v>357</v>
      </c>
      <c r="I63" s="436">
        <v>25</v>
      </c>
      <c r="J63" s="395" t="s">
        <v>93</v>
      </c>
      <c r="K63" s="405" t="s">
        <v>372</v>
      </c>
      <c r="L63" s="122"/>
      <c r="M63" s="122"/>
      <c r="N63" s="122"/>
      <c r="O63" s="122"/>
      <c r="P63" s="122"/>
      <c r="Q63" s="122"/>
      <c r="R63" s="122"/>
      <c r="S63" s="122"/>
      <c r="T63" s="122"/>
      <c r="U63" s="122"/>
      <c r="V63" s="122"/>
      <c r="W63" s="122"/>
      <c r="X63" s="122"/>
      <c r="Y63" s="122"/>
      <c r="Z63" s="122"/>
    </row>
    <row r="64" spans="1:26" ht="12.75" x14ac:dyDescent="0.2">
      <c r="A64" s="122"/>
      <c r="B64" s="405"/>
      <c r="C64" s="395" t="s">
        <v>99</v>
      </c>
      <c r="D64" s="405"/>
      <c r="E64" s="405"/>
      <c r="F64" s="421">
        <v>56</v>
      </c>
      <c r="G64" s="395" t="s">
        <v>93</v>
      </c>
      <c r="H64" s="405" t="s">
        <v>357</v>
      </c>
      <c r="I64" s="436">
        <v>200</v>
      </c>
      <c r="J64" s="395" t="s">
        <v>93</v>
      </c>
      <c r="K64" s="405" t="s">
        <v>372</v>
      </c>
      <c r="L64" s="122"/>
      <c r="M64" s="122"/>
      <c r="N64" s="122"/>
      <c r="O64" s="122"/>
      <c r="P64" s="122"/>
      <c r="Q64" s="122"/>
      <c r="R64" s="122"/>
      <c r="S64" s="122"/>
      <c r="T64" s="122"/>
      <c r="U64" s="122"/>
      <c r="V64" s="122"/>
      <c r="W64" s="122"/>
      <c r="X64" s="122"/>
      <c r="Y64" s="122"/>
      <c r="Z64" s="122"/>
    </row>
    <row r="65" spans="1:26" ht="12.75" x14ac:dyDescent="0.2">
      <c r="A65" s="122"/>
      <c r="B65" s="405"/>
      <c r="C65" s="395" t="s">
        <v>102</v>
      </c>
      <c r="D65" s="405"/>
      <c r="E65" s="405"/>
      <c r="F65" s="421">
        <v>54</v>
      </c>
      <c r="G65" s="395" t="s">
        <v>93</v>
      </c>
      <c r="H65" s="405" t="s">
        <v>357</v>
      </c>
      <c r="I65" s="436">
        <v>100</v>
      </c>
      <c r="J65" s="395" t="s">
        <v>93</v>
      </c>
      <c r="K65" s="405" t="s">
        <v>372</v>
      </c>
      <c r="L65" s="122"/>
      <c r="M65" s="122"/>
      <c r="N65" s="122"/>
      <c r="O65" s="122"/>
      <c r="P65" s="122"/>
      <c r="Q65" s="122"/>
      <c r="R65" s="122"/>
      <c r="S65" s="122"/>
      <c r="T65" s="122"/>
      <c r="U65" s="122"/>
      <c r="V65" s="122"/>
      <c r="W65" s="122"/>
      <c r="X65" s="122"/>
      <c r="Y65" s="122"/>
      <c r="Z65" s="122"/>
    </row>
    <row r="66" spans="1:26" ht="12.75" x14ac:dyDescent="0.2">
      <c r="A66" s="122"/>
      <c r="B66" s="405"/>
      <c r="C66" s="395" t="s">
        <v>105</v>
      </c>
      <c r="D66" s="405"/>
      <c r="E66" s="405"/>
      <c r="F66" s="417">
        <v>4</v>
      </c>
      <c r="G66" s="395" t="s">
        <v>106</v>
      </c>
      <c r="H66" s="405" t="s">
        <v>357</v>
      </c>
      <c r="I66" s="423">
        <v>4</v>
      </c>
      <c r="J66" s="395" t="s">
        <v>106</v>
      </c>
      <c r="K66" s="405" t="s">
        <v>372</v>
      </c>
      <c r="L66" s="122"/>
      <c r="M66" s="122"/>
      <c r="N66" s="122"/>
      <c r="O66" s="122"/>
      <c r="P66" s="122"/>
      <c r="Q66" s="122"/>
      <c r="R66" s="122"/>
      <c r="S66" s="122"/>
      <c r="T66" s="122"/>
      <c r="U66" s="122"/>
      <c r="V66" s="122"/>
      <c r="W66" s="122"/>
      <c r="X66" s="122"/>
      <c r="Y66" s="122"/>
      <c r="Z66" s="122"/>
    </row>
    <row r="67" spans="1:26" ht="12.75" x14ac:dyDescent="0.2">
      <c r="A67" s="122"/>
      <c r="B67" s="405"/>
      <c r="C67" s="395" t="s">
        <v>108</v>
      </c>
      <c r="D67" s="405"/>
      <c r="E67" s="405"/>
      <c r="F67" s="417">
        <v>50</v>
      </c>
      <c r="G67" s="395" t="s">
        <v>311</v>
      </c>
      <c r="H67" s="405"/>
      <c r="I67" s="520"/>
      <c r="J67" s="395"/>
      <c r="K67" s="405"/>
      <c r="L67" s="122"/>
      <c r="M67" s="122"/>
      <c r="N67" s="122"/>
      <c r="O67" s="122"/>
      <c r="P67" s="122"/>
      <c r="Q67" s="122"/>
      <c r="R67" s="122"/>
      <c r="S67" s="122"/>
      <c r="T67" s="122"/>
      <c r="U67" s="122"/>
      <c r="V67" s="122"/>
      <c r="W67" s="122"/>
      <c r="X67" s="122"/>
      <c r="Y67" s="122"/>
      <c r="Z67" s="122"/>
    </row>
    <row r="68" spans="1:26" ht="12.75" x14ac:dyDescent="0.2">
      <c r="A68" s="122"/>
      <c r="B68" s="412"/>
      <c r="C68" s="412"/>
      <c r="D68" s="412"/>
      <c r="E68" s="412"/>
      <c r="F68" s="412"/>
      <c r="G68" s="412"/>
      <c r="H68" s="412"/>
      <c r="I68" s="412"/>
      <c r="J68" s="412"/>
      <c r="K68" s="412"/>
      <c r="L68" s="122"/>
      <c r="M68" s="122"/>
      <c r="N68" s="122"/>
      <c r="O68" s="122"/>
      <c r="P68" s="122"/>
      <c r="Q68" s="122"/>
      <c r="R68" s="122"/>
      <c r="S68" s="122"/>
      <c r="T68" s="122"/>
      <c r="U68" s="122"/>
      <c r="V68" s="122"/>
      <c r="W68" s="122"/>
      <c r="X68" s="122"/>
      <c r="Y68" s="122"/>
      <c r="Z68" s="122"/>
    </row>
    <row r="69" spans="1:26" ht="12.75" x14ac:dyDescent="0.2">
      <c r="A69" s="122"/>
      <c r="B69" s="340" t="s">
        <v>109</v>
      </c>
      <c r="C69" s="405"/>
      <c r="D69" s="405"/>
      <c r="E69" s="405"/>
      <c r="F69" s="405"/>
      <c r="G69" s="405"/>
      <c r="H69" s="405"/>
      <c r="I69" s="405"/>
      <c r="J69" s="405"/>
      <c r="K69" s="405"/>
      <c r="L69" s="122"/>
      <c r="M69" s="122"/>
      <c r="N69" s="122"/>
      <c r="O69" s="122"/>
      <c r="P69" s="122"/>
      <c r="Q69" s="122"/>
      <c r="R69" s="122"/>
      <c r="S69" s="122"/>
      <c r="T69" s="122"/>
      <c r="U69" s="122"/>
      <c r="V69" s="122"/>
      <c r="W69" s="122"/>
      <c r="X69" s="122"/>
      <c r="Y69" s="122"/>
      <c r="Z69" s="122"/>
    </row>
    <row r="70" spans="1:26" ht="12.75" x14ac:dyDescent="0.2">
      <c r="A70" s="122"/>
      <c r="B70" s="405"/>
      <c r="C70" s="391" t="s">
        <v>92</v>
      </c>
      <c r="D70" s="405"/>
      <c r="E70" s="405"/>
      <c r="F70" s="516">
        <f>F90</f>
        <v>73</v>
      </c>
      <c r="G70" s="395" t="s">
        <v>113</v>
      </c>
      <c r="H70" s="405"/>
      <c r="I70" s="516">
        <f>I90</f>
        <v>70</v>
      </c>
      <c r="J70" s="395" t="s">
        <v>113</v>
      </c>
      <c r="K70" s="405"/>
      <c r="L70" s="122"/>
      <c r="M70" s="122"/>
      <c r="N70" s="122"/>
      <c r="O70" s="122"/>
      <c r="P70" s="122"/>
      <c r="Q70" s="122"/>
      <c r="R70" s="122"/>
      <c r="S70" s="122"/>
      <c r="T70" s="122"/>
      <c r="U70" s="122"/>
      <c r="V70" s="122"/>
      <c r="W70" s="122"/>
      <c r="X70" s="122"/>
      <c r="Y70" s="122"/>
      <c r="Z70" s="122"/>
    </row>
    <row r="71" spans="1:26" ht="12.75" x14ac:dyDescent="0.2">
      <c r="A71" s="122"/>
      <c r="B71" s="405"/>
      <c r="C71" s="395" t="s">
        <v>96</v>
      </c>
      <c r="D71" s="405"/>
      <c r="E71" s="405"/>
      <c r="F71" s="525">
        <f>F70*3</f>
        <v>219</v>
      </c>
      <c r="G71" s="395" t="s">
        <v>113</v>
      </c>
      <c r="H71" s="405" t="s">
        <v>357</v>
      </c>
      <c r="I71" s="515">
        <f>F71</f>
        <v>219</v>
      </c>
      <c r="J71" s="395" t="s">
        <v>113</v>
      </c>
      <c r="K71" s="405"/>
      <c r="L71" s="122"/>
      <c r="M71" s="122"/>
      <c r="N71" s="122"/>
      <c r="O71" s="122"/>
      <c r="P71" s="122"/>
      <c r="Q71" s="122"/>
      <c r="R71" s="122"/>
      <c r="S71" s="122"/>
      <c r="T71" s="122"/>
      <c r="U71" s="122"/>
      <c r="V71" s="122"/>
      <c r="W71" s="122"/>
      <c r="X71" s="122"/>
      <c r="Y71" s="122"/>
      <c r="Z71" s="122"/>
    </row>
    <row r="72" spans="1:26" ht="12.75" x14ac:dyDescent="0.2">
      <c r="A72" s="122"/>
      <c r="B72" s="405"/>
      <c r="C72" s="395" t="s">
        <v>99</v>
      </c>
      <c r="D72" s="405"/>
      <c r="E72" s="405"/>
      <c r="F72" s="823">
        <v>0.60399999999999998</v>
      </c>
      <c r="G72" s="838" t="s">
        <v>1038</v>
      </c>
      <c r="H72" s="837"/>
      <c r="I72" s="848">
        <f>F72</f>
        <v>0.60399999999999998</v>
      </c>
      <c r="J72" s="838" t="s">
        <v>1038</v>
      </c>
      <c r="K72" s="405"/>
      <c r="L72" s="122"/>
      <c r="M72" s="122"/>
      <c r="N72" s="122"/>
      <c r="O72" s="122"/>
      <c r="P72" s="122"/>
      <c r="Q72" s="122"/>
      <c r="R72" s="122"/>
      <c r="S72" s="122"/>
      <c r="T72" s="122"/>
      <c r="U72" s="122"/>
      <c r="V72" s="122"/>
      <c r="W72" s="122"/>
      <c r="X72" s="122"/>
      <c r="Y72" s="122"/>
      <c r="Z72" s="122"/>
    </row>
    <row r="73" spans="1:26" ht="12.75" x14ac:dyDescent="0.2">
      <c r="A73" s="122"/>
      <c r="B73" s="405"/>
      <c r="C73" s="395" t="s">
        <v>102</v>
      </c>
      <c r="D73" s="405"/>
      <c r="E73" s="405"/>
      <c r="F73" s="847">
        <v>0.60899999999999999</v>
      </c>
      <c r="G73" s="838" t="s">
        <v>1038</v>
      </c>
      <c r="H73" s="837"/>
      <c r="I73" s="848">
        <f>F73</f>
        <v>0.60899999999999999</v>
      </c>
      <c r="J73" s="838" t="s">
        <v>1038</v>
      </c>
      <c r="K73" s="405"/>
      <c r="L73" s="122"/>
      <c r="M73" s="122"/>
      <c r="N73" s="122"/>
      <c r="O73" s="122"/>
      <c r="P73" s="122"/>
      <c r="Q73" s="122"/>
      <c r="R73" s="122"/>
      <c r="S73" s="122"/>
      <c r="T73" s="122"/>
      <c r="U73" s="122"/>
      <c r="V73" s="122"/>
      <c r="W73" s="122"/>
      <c r="X73" s="122"/>
      <c r="Y73" s="122"/>
      <c r="Z73" s="122"/>
    </row>
    <row r="74" spans="1:26" ht="12.75" x14ac:dyDescent="0.2">
      <c r="A74" s="122"/>
      <c r="B74" s="405"/>
      <c r="C74" s="395" t="s">
        <v>105</v>
      </c>
      <c r="D74" s="405"/>
      <c r="E74" s="405"/>
      <c r="F74" s="836">
        <v>3.497524438237908</v>
      </c>
      <c r="G74" s="395" t="s">
        <v>1039</v>
      </c>
      <c r="H74" s="405" t="s">
        <v>357</v>
      </c>
      <c r="I74" s="831">
        <f>F74</f>
        <v>3.497524438237908</v>
      </c>
      <c r="J74" s="395" t="s">
        <v>1039</v>
      </c>
      <c r="K74" s="405"/>
      <c r="L74" s="122"/>
      <c r="M74" s="122"/>
      <c r="N74" s="122"/>
      <c r="O74" s="122"/>
      <c r="P74" s="122"/>
      <c r="Q74" s="122"/>
      <c r="R74" s="122"/>
      <c r="S74" s="122"/>
      <c r="T74" s="122"/>
      <c r="U74" s="122"/>
      <c r="V74" s="122"/>
      <c r="W74" s="122"/>
      <c r="X74" s="122"/>
      <c r="Y74" s="122"/>
      <c r="Z74" s="122"/>
    </row>
    <row r="75" spans="1:26" ht="12.75" x14ac:dyDescent="0.2">
      <c r="A75" s="122"/>
      <c r="B75" s="405"/>
      <c r="C75" s="395" t="s">
        <v>108</v>
      </c>
      <c r="D75" s="405"/>
      <c r="E75" s="405"/>
      <c r="F75" s="442">
        <v>100</v>
      </c>
      <c r="G75" s="395" t="s">
        <v>124</v>
      </c>
      <c r="H75" s="422" t="s">
        <v>126</v>
      </c>
      <c r="I75" s="516">
        <f>F75</f>
        <v>100</v>
      </c>
      <c r="J75" s="395" t="s">
        <v>124</v>
      </c>
      <c r="K75" s="582"/>
      <c r="L75" s="122"/>
      <c r="M75" s="122"/>
      <c r="N75" s="122"/>
      <c r="O75" s="122"/>
      <c r="P75" s="122"/>
      <c r="Q75" s="122"/>
      <c r="R75" s="122"/>
      <c r="S75" s="122"/>
      <c r="T75" s="122"/>
      <c r="U75" s="122"/>
      <c r="V75" s="122"/>
      <c r="W75" s="122"/>
      <c r="X75" s="122"/>
      <c r="Y75" s="122"/>
      <c r="Z75" s="122"/>
    </row>
    <row r="76" spans="1:26" ht="12.75" x14ac:dyDescent="0.2">
      <c r="A76" s="122"/>
      <c r="B76" s="405"/>
      <c r="C76" s="395" t="s">
        <v>263</v>
      </c>
      <c r="D76" s="405"/>
      <c r="E76" s="405"/>
      <c r="F76" s="431">
        <v>0</v>
      </c>
      <c r="G76" s="429" t="s">
        <v>69</v>
      </c>
      <c r="H76" s="430"/>
      <c r="I76" s="429"/>
      <c r="J76" s="429"/>
      <c r="K76" s="430"/>
      <c r="L76" s="122"/>
      <c r="M76" s="122"/>
      <c r="N76" s="122"/>
      <c r="O76" s="122"/>
      <c r="P76" s="122"/>
      <c r="Q76" s="122"/>
      <c r="R76" s="122"/>
      <c r="S76" s="122"/>
      <c r="T76" s="122"/>
      <c r="U76" s="122"/>
      <c r="V76" s="122"/>
      <c r="W76" s="122"/>
      <c r="X76" s="122"/>
      <c r="Y76" s="122"/>
      <c r="Z76" s="122"/>
    </row>
    <row r="77" spans="1:26" customFormat="1" ht="12.75" x14ac:dyDescent="0.2">
      <c r="A77" s="3"/>
      <c r="B77" s="2"/>
      <c r="C77" s="393" t="s">
        <v>911</v>
      </c>
      <c r="D77" s="2"/>
      <c r="E77" s="2"/>
      <c r="F77" s="478">
        <v>0</v>
      </c>
      <c r="G77" s="475" t="s">
        <v>5</v>
      </c>
      <c r="H77" s="473"/>
      <c r="I77" s="475"/>
      <c r="J77" s="475"/>
      <c r="K77" s="473" t="s">
        <v>912</v>
      </c>
      <c r="L77" s="3"/>
      <c r="M77" s="3"/>
      <c r="N77" s="3"/>
      <c r="O77" s="3"/>
      <c r="P77" s="3"/>
      <c r="Q77" s="3"/>
      <c r="R77" s="3"/>
      <c r="S77" s="3"/>
      <c r="T77" s="3"/>
      <c r="U77" s="3"/>
      <c r="V77" s="3"/>
      <c r="W77" s="3"/>
      <c r="X77" s="3"/>
      <c r="Y77" s="3"/>
      <c r="Z77" s="3"/>
    </row>
    <row r="78" spans="1:26" ht="12.75" x14ac:dyDescent="0.2">
      <c r="A78" s="122"/>
      <c r="B78" s="412"/>
      <c r="C78" s="412"/>
      <c r="D78" s="412"/>
      <c r="E78" s="412"/>
      <c r="F78" s="412"/>
      <c r="G78" s="412"/>
      <c r="H78" s="412"/>
      <c r="I78" s="412"/>
      <c r="J78" s="412"/>
      <c r="K78" s="412"/>
      <c r="L78" s="122"/>
      <c r="M78" s="122"/>
      <c r="N78" s="122"/>
      <c r="O78" s="122"/>
      <c r="P78" s="122"/>
      <c r="Q78" s="122"/>
      <c r="R78" s="122"/>
      <c r="S78" s="122"/>
      <c r="T78" s="122"/>
      <c r="U78" s="122"/>
      <c r="V78" s="122"/>
      <c r="W78" s="122"/>
      <c r="X78" s="122"/>
      <c r="Y78" s="122"/>
      <c r="Z78" s="122"/>
    </row>
    <row r="79" spans="1:26" ht="12.75" x14ac:dyDescent="0.2">
      <c r="A79" s="122"/>
      <c r="B79" s="340" t="s">
        <v>130</v>
      </c>
      <c r="C79" s="522"/>
      <c r="D79" s="405"/>
      <c r="E79" s="405"/>
      <c r="F79" s="405"/>
      <c r="G79" s="395"/>
      <c r="H79" s="405"/>
      <c r="I79" s="405"/>
      <c r="J79" s="395"/>
      <c r="K79" s="405"/>
      <c r="L79" s="122"/>
      <c r="M79" s="122"/>
      <c r="N79" s="122"/>
      <c r="O79" s="122"/>
      <c r="P79" s="122"/>
      <c r="Q79" s="122"/>
      <c r="R79" s="122"/>
      <c r="S79" s="122"/>
      <c r="T79" s="122"/>
      <c r="U79" s="122"/>
      <c r="V79" s="122"/>
      <c r="W79" s="122"/>
      <c r="X79" s="122"/>
      <c r="Y79" s="122"/>
      <c r="Z79" s="122"/>
    </row>
    <row r="80" spans="1:26" ht="12.75" x14ac:dyDescent="0.2">
      <c r="A80" s="122"/>
      <c r="B80" s="405"/>
      <c r="C80" s="395" t="s">
        <v>373</v>
      </c>
      <c r="D80" s="405"/>
      <c r="E80" s="405"/>
      <c r="F80" s="523"/>
      <c r="G80" s="391"/>
      <c r="H80" s="422"/>
      <c r="I80" s="523"/>
      <c r="J80" s="391"/>
      <c r="K80" s="422"/>
      <c r="L80" s="122"/>
      <c r="M80" s="122"/>
      <c r="N80" s="122"/>
      <c r="O80" s="122"/>
      <c r="P80" s="122"/>
      <c r="Q80" s="122"/>
      <c r="R80" s="122"/>
      <c r="S80" s="122"/>
      <c r="T80" s="122"/>
      <c r="U80" s="122"/>
      <c r="V80" s="122"/>
      <c r="W80" s="122"/>
      <c r="X80" s="122"/>
      <c r="Y80" s="122"/>
      <c r="Z80" s="122"/>
    </row>
    <row r="81" spans="1:26" ht="12.75" x14ac:dyDescent="0.2">
      <c r="A81" s="122"/>
      <c r="B81" s="405"/>
      <c r="C81" s="395" t="s">
        <v>399</v>
      </c>
      <c r="D81" s="405"/>
      <c r="E81" s="405"/>
      <c r="F81" s="523"/>
      <c r="G81" s="391"/>
      <c r="H81" s="422"/>
      <c r="I81" s="523"/>
      <c r="J81" s="391"/>
      <c r="K81" s="422"/>
      <c r="L81" s="122"/>
      <c r="M81" s="122"/>
      <c r="N81" s="122"/>
      <c r="O81" s="122"/>
      <c r="P81" s="122"/>
      <c r="Q81" s="122"/>
      <c r="R81" s="122"/>
      <c r="S81" s="122"/>
      <c r="T81" s="122"/>
      <c r="U81" s="122"/>
      <c r="V81" s="122"/>
      <c r="W81" s="122"/>
      <c r="X81" s="122"/>
      <c r="Y81" s="122"/>
      <c r="Z81" s="122"/>
    </row>
    <row r="82" spans="1:26" ht="12.75" x14ac:dyDescent="0.2">
      <c r="A82" s="122"/>
      <c r="B82" s="412"/>
      <c r="C82" s="412"/>
      <c r="D82" s="412"/>
      <c r="E82" s="412"/>
      <c r="F82" s="412"/>
      <c r="G82" s="412"/>
      <c r="H82" s="412"/>
      <c r="I82" s="412"/>
      <c r="J82" s="412"/>
      <c r="K82" s="412"/>
      <c r="L82" s="122"/>
      <c r="M82" s="122"/>
      <c r="N82" s="122"/>
      <c r="O82" s="122"/>
      <c r="P82" s="122"/>
      <c r="Q82" s="122"/>
      <c r="R82" s="122"/>
      <c r="S82" s="122"/>
      <c r="T82" s="122"/>
      <c r="U82" s="122"/>
      <c r="V82" s="122"/>
      <c r="W82" s="122"/>
      <c r="X82" s="122"/>
      <c r="Y82" s="122"/>
      <c r="Z82" s="122"/>
    </row>
    <row r="83" spans="1:26" ht="12.75" x14ac:dyDescent="0.2">
      <c r="A83" s="122"/>
      <c r="B83" s="439" t="s">
        <v>287</v>
      </c>
      <c r="C83" s="390"/>
      <c r="D83" s="390"/>
      <c r="E83" s="390"/>
      <c r="F83" s="390"/>
      <c r="G83" s="390"/>
      <c r="H83" s="390"/>
      <c r="I83" s="390"/>
      <c r="J83" s="390"/>
      <c r="K83" s="390"/>
      <c r="L83" s="122"/>
      <c r="M83" s="122"/>
      <c r="N83" s="122"/>
      <c r="O83" s="122"/>
      <c r="P83" s="122"/>
      <c r="Q83" s="122"/>
      <c r="R83" s="122"/>
      <c r="S83" s="122"/>
      <c r="T83" s="122"/>
      <c r="U83" s="122"/>
      <c r="V83" s="122"/>
      <c r="W83" s="122"/>
      <c r="X83" s="122"/>
      <c r="Y83" s="122"/>
      <c r="Z83" s="122"/>
    </row>
    <row r="84" spans="1:26" ht="12.75" x14ac:dyDescent="0.2">
      <c r="A84" s="122"/>
      <c r="B84" s="390"/>
      <c r="C84" s="432" t="s">
        <v>375</v>
      </c>
      <c r="D84" s="390"/>
      <c r="E84" s="390"/>
      <c r="F84" s="440">
        <f>1833/F31</f>
        <v>1443.3070866141732</v>
      </c>
      <c r="G84" s="390" t="s">
        <v>288</v>
      </c>
      <c r="H84" s="405" t="s">
        <v>357</v>
      </c>
      <c r="I84" s="440">
        <f>F84</f>
        <v>1443.3070866141732</v>
      </c>
      <c r="J84" s="390" t="s">
        <v>288</v>
      </c>
      <c r="K84" s="405"/>
      <c r="L84" s="122"/>
      <c r="M84" s="122"/>
      <c r="N84" s="122"/>
      <c r="O84" s="122"/>
      <c r="P84" s="122"/>
      <c r="Q84" s="122"/>
      <c r="R84" s="122"/>
      <c r="S84" s="122"/>
      <c r="T84" s="122"/>
      <c r="U84" s="122"/>
      <c r="V84" s="122"/>
      <c r="W84" s="122"/>
      <c r="X84" s="122"/>
      <c r="Y84" s="122"/>
      <c r="Z84" s="122"/>
    </row>
    <row r="85" spans="1:26" ht="12.75" x14ac:dyDescent="0.2">
      <c r="A85" s="122"/>
      <c r="B85" s="390"/>
      <c r="C85" s="432" t="s">
        <v>284</v>
      </c>
      <c r="D85" s="390"/>
      <c r="E85" s="390"/>
      <c r="F85" s="440">
        <f>792/F31</f>
        <v>623.62204724409446</v>
      </c>
      <c r="G85" s="390" t="s">
        <v>288</v>
      </c>
      <c r="H85" s="405" t="s">
        <v>357</v>
      </c>
      <c r="I85" s="440">
        <f>F85</f>
        <v>623.62204724409446</v>
      </c>
      <c r="J85" s="390" t="s">
        <v>288</v>
      </c>
      <c r="K85" s="405"/>
      <c r="L85" s="122"/>
      <c r="M85" s="122"/>
      <c r="N85" s="122"/>
      <c r="O85" s="122"/>
      <c r="P85" s="122"/>
      <c r="Q85" s="122"/>
      <c r="R85" s="122"/>
      <c r="S85" s="122"/>
      <c r="T85" s="122"/>
      <c r="U85" s="122"/>
      <c r="V85" s="122"/>
      <c r="W85" s="122"/>
      <c r="X85" s="122"/>
      <c r="Y85" s="122"/>
      <c r="Z85" s="122"/>
    </row>
    <row r="86" spans="1:26" ht="12.75" x14ac:dyDescent="0.2">
      <c r="A86" s="122"/>
      <c r="B86" s="412"/>
      <c r="C86" s="412"/>
      <c r="D86" s="412"/>
      <c r="E86" s="412"/>
      <c r="F86" s="412"/>
      <c r="G86" s="412"/>
      <c r="H86" s="412"/>
      <c r="I86" s="412"/>
      <c r="J86" s="412"/>
      <c r="K86" s="412"/>
      <c r="L86" s="122"/>
      <c r="M86" s="122"/>
      <c r="N86" s="122"/>
      <c r="O86" s="122"/>
      <c r="P86" s="122"/>
      <c r="Q86" s="122"/>
      <c r="R86" s="122"/>
      <c r="S86" s="122"/>
      <c r="T86" s="122"/>
      <c r="U86" s="122"/>
      <c r="V86" s="122"/>
      <c r="W86" s="122"/>
      <c r="X86" s="122"/>
      <c r="Y86" s="122"/>
      <c r="Z86" s="122"/>
    </row>
    <row r="87" spans="1:26" ht="12.75" x14ac:dyDescent="0.2">
      <c r="A87" s="122"/>
      <c r="B87" s="340" t="s">
        <v>131</v>
      </c>
      <c r="C87" s="405"/>
      <c r="D87" s="405"/>
      <c r="E87" s="405"/>
      <c r="F87" s="395"/>
      <c r="G87" s="405"/>
      <c r="H87" s="405"/>
      <c r="I87" s="405"/>
      <c r="J87" s="405"/>
      <c r="K87" s="405"/>
      <c r="L87" s="122"/>
      <c r="M87" s="122"/>
      <c r="N87" s="122"/>
      <c r="O87" s="122"/>
      <c r="P87" s="122"/>
      <c r="Q87" s="122"/>
      <c r="R87" s="122"/>
      <c r="S87" s="122"/>
      <c r="T87" s="122"/>
      <c r="U87" s="122"/>
      <c r="V87" s="122"/>
      <c r="W87" s="122"/>
      <c r="X87" s="122"/>
      <c r="Y87" s="122"/>
      <c r="Z87" s="122"/>
    </row>
    <row r="88" spans="1:26" ht="12.75" x14ac:dyDescent="0.2">
      <c r="A88" s="122"/>
      <c r="B88" s="405"/>
      <c r="C88" s="395" t="s">
        <v>400</v>
      </c>
      <c r="D88" s="405"/>
      <c r="E88" s="405"/>
      <c r="F88" s="541">
        <v>75</v>
      </c>
      <c r="G88" s="395" t="s">
        <v>113</v>
      </c>
      <c r="H88" s="405" t="s">
        <v>377</v>
      </c>
      <c r="I88" s="521">
        <f>F88</f>
        <v>75</v>
      </c>
      <c r="J88" s="395" t="s">
        <v>113</v>
      </c>
      <c r="K88" s="405"/>
      <c r="L88" s="122"/>
      <c r="M88" s="122"/>
      <c r="N88" s="122"/>
      <c r="O88" s="122"/>
      <c r="P88" s="122"/>
      <c r="Q88" s="122"/>
      <c r="R88" s="122"/>
      <c r="S88" s="122"/>
      <c r="T88" s="122"/>
      <c r="U88" s="122"/>
      <c r="V88" s="122"/>
      <c r="W88" s="122"/>
      <c r="X88" s="122"/>
      <c r="Y88" s="122"/>
      <c r="Z88" s="122"/>
    </row>
    <row r="89" spans="1:26" ht="12.75" x14ac:dyDescent="0.2">
      <c r="A89" s="122"/>
      <c r="B89" s="405"/>
      <c r="C89" s="395" t="s">
        <v>133</v>
      </c>
      <c r="D89" s="405"/>
      <c r="E89" s="405"/>
      <c r="F89" s="436">
        <f>100/50</f>
        <v>2</v>
      </c>
      <c r="G89" s="391" t="s">
        <v>113</v>
      </c>
      <c r="H89" s="422" t="s">
        <v>134</v>
      </c>
      <c r="I89" s="436">
        <f>250/50</f>
        <v>5</v>
      </c>
      <c r="J89" s="391" t="s">
        <v>113</v>
      </c>
      <c r="K89" s="422"/>
      <c r="L89" s="122"/>
      <c r="M89" s="122"/>
      <c r="N89" s="122"/>
      <c r="O89" s="122"/>
      <c r="P89" s="122"/>
      <c r="Q89" s="122"/>
      <c r="R89" s="122"/>
      <c r="S89" s="122"/>
      <c r="T89" s="122"/>
      <c r="U89" s="122"/>
      <c r="V89" s="122"/>
      <c r="W89" s="122"/>
      <c r="X89" s="122"/>
      <c r="Y89" s="122"/>
      <c r="Z89" s="122"/>
    </row>
    <row r="90" spans="1:26" ht="12.75" x14ac:dyDescent="0.2">
      <c r="A90" s="122"/>
      <c r="B90" s="405"/>
      <c r="C90" s="395" t="s">
        <v>401</v>
      </c>
      <c r="D90" s="405"/>
      <c r="E90" s="405"/>
      <c r="F90" s="873">
        <f>F88-F89</f>
        <v>73</v>
      </c>
      <c r="G90" s="391" t="s">
        <v>113</v>
      </c>
      <c r="H90" s="422"/>
      <c r="I90" s="873">
        <f>I88-I89</f>
        <v>70</v>
      </c>
      <c r="J90" s="391" t="s">
        <v>113</v>
      </c>
      <c r="K90" s="405"/>
      <c r="L90" s="122"/>
      <c r="M90" s="122"/>
      <c r="N90" s="122"/>
      <c r="O90" s="122"/>
      <c r="P90" s="122"/>
      <c r="Q90" s="122"/>
      <c r="R90" s="122"/>
      <c r="S90" s="122"/>
      <c r="T90" s="122"/>
      <c r="U90" s="122"/>
      <c r="V90" s="122"/>
      <c r="W90" s="122"/>
      <c r="X90" s="122"/>
      <c r="Y90" s="122"/>
      <c r="Z90" s="122"/>
    </row>
    <row r="91" spans="1:26" ht="12.75" x14ac:dyDescent="0.2">
      <c r="A91" s="122"/>
      <c r="B91" s="405"/>
      <c r="C91" s="395" t="s">
        <v>138</v>
      </c>
      <c r="D91" s="405"/>
      <c r="E91" s="405"/>
      <c r="F91" s="417">
        <v>0</v>
      </c>
      <c r="G91" s="395" t="s">
        <v>139</v>
      </c>
      <c r="H91" s="405"/>
      <c r="I91" s="417">
        <v>0</v>
      </c>
      <c r="J91" s="395" t="s">
        <v>139</v>
      </c>
      <c r="K91" s="405"/>
      <c r="L91" s="122"/>
      <c r="M91" s="122"/>
      <c r="N91" s="122"/>
      <c r="O91" s="122"/>
      <c r="P91" s="122"/>
      <c r="Q91" s="122"/>
      <c r="R91" s="122"/>
      <c r="S91" s="122"/>
      <c r="T91" s="122"/>
      <c r="U91" s="122"/>
      <c r="V91" s="122"/>
      <c r="W91" s="122"/>
      <c r="X91" s="122"/>
      <c r="Y91" s="122"/>
      <c r="Z91" s="122"/>
    </row>
    <row r="92" spans="1:26" ht="12.75" x14ac:dyDescent="0.2">
      <c r="A92" s="122"/>
      <c r="B92" s="405"/>
      <c r="C92" s="395" t="s">
        <v>402</v>
      </c>
      <c r="D92" s="405"/>
      <c r="E92" s="405"/>
      <c r="F92" s="431">
        <v>0</v>
      </c>
      <c r="G92" s="395" t="s">
        <v>5</v>
      </c>
      <c r="H92" s="405" t="s">
        <v>380</v>
      </c>
      <c r="I92" s="429"/>
      <c r="J92" s="395"/>
      <c r="K92" s="405"/>
      <c r="L92" s="122"/>
      <c r="M92" s="122"/>
      <c r="N92" s="122"/>
      <c r="O92" s="122"/>
      <c r="P92" s="122"/>
      <c r="Q92" s="122"/>
      <c r="R92" s="122"/>
      <c r="S92" s="122"/>
      <c r="T92" s="122"/>
      <c r="U92" s="122"/>
      <c r="V92" s="122"/>
      <c r="W92" s="122"/>
      <c r="X92" s="122"/>
      <c r="Y92" s="122"/>
      <c r="Z92" s="122"/>
    </row>
    <row r="93" spans="1:26" ht="12.75" x14ac:dyDescent="0.2">
      <c r="A93" s="122"/>
      <c r="B93" s="412"/>
      <c r="C93" s="412"/>
      <c r="D93" s="412"/>
      <c r="E93" s="412"/>
      <c r="F93" s="412"/>
      <c r="G93" s="412"/>
      <c r="H93" s="412"/>
      <c r="I93" s="412"/>
      <c r="J93" s="412"/>
      <c r="K93" s="412"/>
      <c r="L93" s="122"/>
      <c r="M93" s="122"/>
      <c r="N93" s="122"/>
      <c r="O93" s="122"/>
      <c r="P93" s="122"/>
      <c r="Q93" s="122"/>
      <c r="R93" s="122"/>
      <c r="S93" s="122"/>
      <c r="T93" s="122"/>
      <c r="U93" s="122"/>
      <c r="V93" s="122"/>
      <c r="W93" s="122"/>
      <c r="X93" s="122"/>
      <c r="Y93" s="122"/>
      <c r="Z93" s="122"/>
    </row>
    <row r="94" spans="1:26" ht="12.75" x14ac:dyDescent="0.2">
      <c r="A94" s="122"/>
      <c r="B94" s="340" t="s">
        <v>209</v>
      </c>
      <c r="C94" s="405"/>
      <c r="D94" s="405"/>
      <c r="E94" s="405"/>
      <c r="F94" s="405"/>
      <c r="G94" s="405"/>
      <c r="H94" s="405"/>
      <c r="I94" s="405"/>
      <c r="J94" s="405"/>
      <c r="K94" s="405"/>
      <c r="L94" s="122"/>
      <c r="M94" s="122"/>
      <c r="N94" s="122"/>
      <c r="O94" s="122"/>
      <c r="P94" s="122"/>
      <c r="Q94" s="122"/>
      <c r="R94" s="122"/>
      <c r="S94" s="122"/>
      <c r="T94" s="122"/>
      <c r="U94" s="122"/>
      <c r="V94" s="122"/>
      <c r="W94" s="122"/>
      <c r="X94" s="122"/>
      <c r="Y94" s="122"/>
      <c r="Z94" s="122"/>
    </row>
    <row r="95" spans="1:26" ht="12.75" x14ac:dyDescent="0.2">
      <c r="A95" s="122"/>
      <c r="B95" s="405"/>
      <c r="C95" s="395" t="s">
        <v>145</v>
      </c>
      <c r="D95" s="405"/>
      <c r="E95" s="405"/>
      <c r="F95" s="417">
        <v>0</v>
      </c>
      <c r="G95" s="395" t="s">
        <v>146</v>
      </c>
      <c r="H95" s="405"/>
      <c r="I95" s="441">
        <v>0</v>
      </c>
      <c r="J95" s="395" t="s">
        <v>146</v>
      </c>
      <c r="K95" s="405"/>
      <c r="L95" s="122"/>
      <c r="M95" s="122"/>
      <c r="N95" s="122"/>
      <c r="O95" s="122"/>
      <c r="P95" s="122"/>
      <c r="Q95" s="122"/>
      <c r="R95" s="122"/>
      <c r="S95" s="122"/>
      <c r="T95" s="122"/>
      <c r="U95" s="122"/>
      <c r="V95" s="122"/>
      <c r="W95" s="122"/>
      <c r="X95" s="122"/>
      <c r="Y95" s="122"/>
      <c r="Z95" s="122"/>
    </row>
    <row r="96" spans="1:26" ht="12.75" x14ac:dyDescent="0.2">
      <c r="A96" s="122"/>
      <c r="B96" s="405"/>
      <c r="C96" s="395" t="s">
        <v>148</v>
      </c>
      <c r="D96" s="405"/>
      <c r="E96" s="405"/>
      <c r="F96" s="431">
        <v>0.1</v>
      </c>
      <c r="G96" s="395" t="s">
        <v>5</v>
      </c>
      <c r="H96" s="422"/>
      <c r="I96" s="431">
        <v>0.1</v>
      </c>
      <c r="J96" s="395" t="s">
        <v>5</v>
      </c>
      <c r="K96" s="422"/>
      <c r="L96" s="122"/>
      <c r="M96" s="122"/>
      <c r="N96" s="122"/>
      <c r="O96" s="122"/>
      <c r="P96" s="122"/>
      <c r="Q96" s="122"/>
      <c r="R96" s="122"/>
      <c r="S96" s="122"/>
      <c r="T96" s="122"/>
      <c r="U96" s="122"/>
      <c r="V96" s="122"/>
      <c r="W96" s="122"/>
      <c r="X96" s="122"/>
      <c r="Y96" s="122"/>
      <c r="Z96" s="122"/>
    </row>
    <row r="97" spans="1:26" ht="12.75" x14ac:dyDescent="0.2">
      <c r="A97" s="122"/>
      <c r="B97" s="405"/>
      <c r="C97" s="395" t="s">
        <v>151</v>
      </c>
      <c r="D97" s="405"/>
      <c r="E97" s="405"/>
      <c r="F97" s="417">
        <v>5</v>
      </c>
      <c r="G97" s="395" t="s">
        <v>152</v>
      </c>
      <c r="H97" s="405"/>
      <c r="I97" s="417">
        <v>5</v>
      </c>
      <c r="J97" s="395" t="s">
        <v>152</v>
      </c>
      <c r="K97" s="405"/>
      <c r="L97" s="122"/>
      <c r="M97" s="122"/>
      <c r="N97" s="122"/>
      <c r="O97" s="122"/>
      <c r="P97" s="122"/>
      <c r="Q97" s="122"/>
      <c r="R97" s="122"/>
      <c r="S97" s="122"/>
      <c r="T97" s="122"/>
      <c r="U97" s="122"/>
      <c r="V97" s="122"/>
      <c r="W97" s="122"/>
      <c r="X97" s="122"/>
      <c r="Y97" s="122"/>
      <c r="Z97" s="122"/>
    </row>
    <row r="98" spans="1:26" ht="12.75" x14ac:dyDescent="0.2">
      <c r="A98" s="122"/>
      <c r="B98" s="405"/>
      <c r="C98" s="395" t="s">
        <v>154</v>
      </c>
      <c r="D98" s="405"/>
      <c r="E98" s="405"/>
      <c r="F98" s="417">
        <v>3</v>
      </c>
      <c r="G98" s="395" t="s">
        <v>152</v>
      </c>
      <c r="H98" s="405"/>
      <c r="I98" s="417">
        <v>3</v>
      </c>
      <c r="J98" s="395" t="s">
        <v>152</v>
      </c>
      <c r="K98" s="405"/>
      <c r="L98" s="122"/>
      <c r="M98" s="122"/>
      <c r="N98" s="122"/>
      <c r="O98" s="122"/>
      <c r="P98" s="122"/>
      <c r="Q98" s="122"/>
      <c r="R98" s="122"/>
      <c r="S98" s="122"/>
      <c r="T98" s="122"/>
      <c r="U98" s="122"/>
      <c r="V98" s="122"/>
      <c r="W98" s="122"/>
      <c r="X98" s="122"/>
      <c r="Y98" s="122"/>
      <c r="Z98" s="122"/>
    </row>
    <row r="99" spans="1:26" ht="12.75" x14ac:dyDescent="0.2">
      <c r="A99" s="122"/>
      <c r="B99" s="405"/>
      <c r="C99" s="391" t="s">
        <v>157</v>
      </c>
      <c r="D99" s="405"/>
      <c r="E99" s="405"/>
      <c r="F99" s="505">
        <f>F97+F98</f>
        <v>8</v>
      </c>
      <c r="G99" s="395" t="s">
        <v>152</v>
      </c>
      <c r="H99" s="405"/>
      <c r="I99" s="417">
        <v>8</v>
      </c>
      <c r="J99" s="395" t="s">
        <v>152</v>
      </c>
      <c r="K99" s="405"/>
      <c r="L99" s="122"/>
      <c r="M99" s="122"/>
      <c r="N99" s="122"/>
      <c r="O99" s="122"/>
      <c r="P99" s="122"/>
      <c r="Q99" s="122"/>
      <c r="R99" s="122"/>
      <c r="S99" s="122"/>
      <c r="T99" s="122"/>
      <c r="U99" s="122"/>
      <c r="V99" s="122"/>
      <c r="W99" s="122"/>
      <c r="X99" s="122"/>
      <c r="Y99" s="122"/>
      <c r="Z99" s="122"/>
    </row>
    <row r="100" spans="1:26" ht="12.75" x14ac:dyDescent="0.2">
      <c r="A100" s="122"/>
      <c r="B100" s="405"/>
      <c r="C100" s="391" t="s">
        <v>160</v>
      </c>
      <c r="D100" s="405"/>
      <c r="E100" s="405"/>
      <c r="F100" s="417">
        <v>12</v>
      </c>
      <c r="G100" s="395" t="s">
        <v>152</v>
      </c>
      <c r="H100" s="405"/>
      <c r="I100" s="417">
        <v>12</v>
      </c>
      <c r="J100" s="395" t="s">
        <v>152</v>
      </c>
      <c r="K100" s="405"/>
      <c r="L100" s="122"/>
      <c r="M100" s="122"/>
      <c r="N100" s="122"/>
      <c r="O100" s="122"/>
      <c r="P100" s="122"/>
      <c r="Q100" s="122"/>
      <c r="R100" s="122"/>
      <c r="S100" s="122"/>
      <c r="T100" s="122"/>
      <c r="U100" s="122"/>
      <c r="V100" s="122"/>
      <c r="W100" s="122"/>
      <c r="X100" s="122"/>
      <c r="Y100" s="122"/>
      <c r="Z100" s="122"/>
    </row>
    <row r="101" spans="1:26" ht="12.75" x14ac:dyDescent="0.2">
      <c r="A101" s="122"/>
      <c r="B101" s="412"/>
      <c r="C101" s="412"/>
      <c r="D101" s="412"/>
      <c r="E101" s="412"/>
      <c r="F101" s="412"/>
      <c r="G101" s="412"/>
      <c r="H101" s="412"/>
      <c r="I101" s="412"/>
      <c r="J101" s="412"/>
      <c r="K101" s="412"/>
      <c r="L101" s="122"/>
      <c r="M101" s="122"/>
      <c r="N101" s="122"/>
      <c r="O101" s="122"/>
      <c r="P101" s="122"/>
      <c r="Q101" s="122"/>
      <c r="R101" s="122"/>
      <c r="S101" s="122"/>
      <c r="T101" s="122"/>
      <c r="U101" s="122"/>
      <c r="V101" s="122"/>
      <c r="W101" s="122"/>
      <c r="X101" s="122"/>
      <c r="Y101" s="122"/>
      <c r="Z101" s="122"/>
    </row>
    <row r="102" spans="1:26" ht="12.75" x14ac:dyDescent="0.2">
      <c r="A102" s="122"/>
      <c r="B102" s="340" t="s">
        <v>161</v>
      </c>
      <c r="C102" s="405"/>
      <c r="D102" s="405"/>
      <c r="E102" s="405"/>
      <c r="F102" s="405"/>
      <c r="G102" s="405"/>
      <c r="H102" s="405"/>
      <c r="I102" s="405"/>
      <c r="J102" s="405"/>
      <c r="K102" s="405"/>
      <c r="L102" s="122"/>
      <c r="M102" s="122"/>
      <c r="N102" s="122"/>
      <c r="O102" s="122"/>
      <c r="P102" s="122"/>
      <c r="Q102" s="122"/>
      <c r="R102" s="122"/>
      <c r="S102" s="122"/>
      <c r="T102" s="122"/>
      <c r="U102" s="122"/>
      <c r="V102" s="122"/>
      <c r="W102" s="122"/>
      <c r="X102" s="122"/>
      <c r="Y102" s="122"/>
      <c r="Z102" s="122"/>
    </row>
    <row r="103" spans="1:26" ht="12.75" x14ac:dyDescent="0.2">
      <c r="A103" s="122"/>
      <c r="B103" s="405"/>
      <c r="C103" s="395" t="s">
        <v>250</v>
      </c>
      <c r="D103" s="405"/>
      <c r="E103" s="405"/>
      <c r="F103" s="405"/>
      <c r="G103" s="395"/>
      <c r="H103" s="405"/>
      <c r="I103" s="442">
        <v>15120</v>
      </c>
      <c r="J103" s="395" t="s">
        <v>163</v>
      </c>
      <c r="K103" s="2" t="s">
        <v>854</v>
      </c>
      <c r="L103" s="122"/>
      <c r="M103" s="122"/>
      <c r="N103" s="122"/>
      <c r="O103" s="122"/>
      <c r="P103" s="122"/>
      <c r="Q103" s="122"/>
      <c r="R103" s="122"/>
      <c r="S103" s="122"/>
      <c r="T103" s="122"/>
      <c r="U103" s="122"/>
      <c r="V103" s="122"/>
      <c r="W103" s="122"/>
      <c r="X103" s="122"/>
      <c r="Y103" s="122"/>
      <c r="Z103" s="122"/>
    </row>
    <row r="104" spans="1:26" ht="12.75" x14ac:dyDescent="0.2">
      <c r="A104" s="122"/>
      <c r="B104" s="405"/>
      <c r="C104" s="395" t="s">
        <v>162</v>
      </c>
      <c r="D104" s="405"/>
      <c r="E104" s="405"/>
      <c r="F104" s="405"/>
      <c r="G104" s="395"/>
      <c r="H104" s="405"/>
      <c r="I104" s="443">
        <v>15500</v>
      </c>
      <c r="J104" s="395" t="s">
        <v>163</v>
      </c>
      <c r="K104" s="2" t="s">
        <v>854</v>
      </c>
      <c r="L104" s="122"/>
      <c r="M104" s="122"/>
      <c r="N104" s="122"/>
      <c r="O104" s="122"/>
      <c r="P104" s="122"/>
      <c r="Q104" s="122"/>
      <c r="R104" s="122"/>
      <c r="S104" s="122"/>
      <c r="T104" s="122"/>
      <c r="U104" s="122"/>
      <c r="V104" s="122"/>
      <c r="W104" s="122"/>
      <c r="X104" s="122"/>
      <c r="Y104" s="122"/>
      <c r="Z104" s="122"/>
    </row>
    <row r="105" spans="1:26" ht="12.75" x14ac:dyDescent="0.2">
      <c r="A105" s="122"/>
      <c r="B105" s="405"/>
      <c r="C105" s="395" t="s">
        <v>164</v>
      </c>
      <c r="D105" s="405"/>
      <c r="E105" s="405"/>
      <c r="F105" s="405"/>
      <c r="G105" s="395"/>
      <c r="H105" s="405"/>
      <c r="I105" s="443">
        <v>15500</v>
      </c>
      <c r="J105" s="395" t="s">
        <v>163</v>
      </c>
      <c r="K105" s="2" t="s">
        <v>854</v>
      </c>
      <c r="L105" s="122"/>
      <c r="M105" s="122"/>
      <c r="N105" s="122"/>
      <c r="O105" s="122"/>
      <c r="P105" s="122"/>
      <c r="Q105" s="122"/>
      <c r="R105" s="122"/>
      <c r="S105" s="122"/>
      <c r="T105" s="122"/>
      <c r="U105" s="122"/>
      <c r="V105" s="122"/>
      <c r="W105" s="122"/>
      <c r="X105" s="122"/>
      <c r="Y105" s="122"/>
      <c r="Z105" s="122"/>
    </row>
    <row r="106" spans="1:26" ht="12.75" x14ac:dyDescent="0.2">
      <c r="A106" s="122"/>
      <c r="B106" s="405"/>
      <c r="C106" s="395" t="s">
        <v>166</v>
      </c>
      <c r="D106" s="405"/>
      <c r="E106" s="405"/>
      <c r="F106" s="405"/>
      <c r="G106" s="395"/>
      <c r="H106" s="405"/>
      <c r="I106" s="443">
        <v>18000</v>
      </c>
      <c r="J106" s="395" t="s">
        <v>163</v>
      </c>
      <c r="K106" s="2" t="s">
        <v>854</v>
      </c>
      <c r="L106" s="122"/>
      <c r="M106" s="122"/>
      <c r="N106" s="122"/>
      <c r="O106" s="122"/>
      <c r="P106" s="122"/>
      <c r="Q106" s="122"/>
      <c r="R106" s="122"/>
      <c r="S106" s="122"/>
      <c r="T106" s="122"/>
      <c r="U106" s="122"/>
      <c r="V106" s="122"/>
      <c r="W106" s="122"/>
      <c r="X106" s="122"/>
      <c r="Y106" s="122"/>
      <c r="Z106" s="122"/>
    </row>
    <row r="107" spans="1:26" ht="12.75" x14ac:dyDescent="0.2">
      <c r="A107" s="122"/>
      <c r="B107" s="405"/>
      <c r="C107" s="395" t="s">
        <v>168</v>
      </c>
      <c r="D107" s="405"/>
      <c r="E107" s="405"/>
      <c r="F107" s="405"/>
      <c r="G107" s="395"/>
      <c r="H107" s="405"/>
      <c r="I107" s="443">
        <v>18000</v>
      </c>
      <c r="J107" s="395" t="s">
        <v>163</v>
      </c>
      <c r="K107" s="2" t="s">
        <v>854</v>
      </c>
      <c r="L107" s="122"/>
      <c r="M107" s="122"/>
      <c r="N107" s="122"/>
      <c r="O107" s="122"/>
      <c r="P107" s="122"/>
      <c r="Q107" s="122"/>
      <c r="R107" s="122"/>
      <c r="S107" s="122"/>
      <c r="T107" s="122"/>
      <c r="U107" s="122"/>
      <c r="V107" s="122"/>
      <c r="W107" s="122"/>
      <c r="X107" s="122"/>
      <c r="Y107" s="122"/>
      <c r="Z107" s="122"/>
    </row>
    <row r="108" spans="1:26" ht="12.75" x14ac:dyDescent="0.2">
      <c r="A108" s="122"/>
      <c r="B108" s="405"/>
      <c r="C108" s="395" t="s">
        <v>171</v>
      </c>
      <c r="D108" s="405"/>
      <c r="E108" s="405"/>
      <c r="F108" s="405"/>
      <c r="G108" s="395"/>
      <c r="H108" s="405"/>
      <c r="I108" s="444">
        <v>0.9</v>
      </c>
      <c r="J108" s="395" t="s">
        <v>256</v>
      </c>
      <c r="K108" s="405" t="s">
        <v>381</v>
      </c>
      <c r="L108" s="122"/>
      <c r="M108" s="122"/>
      <c r="N108" s="122"/>
      <c r="O108" s="122"/>
      <c r="P108" s="122"/>
      <c r="Q108" s="122"/>
      <c r="R108" s="122"/>
      <c r="S108" s="122"/>
      <c r="T108" s="122"/>
      <c r="U108" s="122"/>
      <c r="V108" s="122"/>
      <c r="W108" s="122"/>
      <c r="X108" s="122"/>
      <c r="Y108" s="122"/>
      <c r="Z108" s="122"/>
    </row>
    <row r="109" spans="1:26" ht="12.75" x14ac:dyDescent="0.2">
      <c r="A109" s="122"/>
      <c r="B109" s="405"/>
      <c r="C109" s="395" t="s">
        <v>251</v>
      </c>
      <c r="D109" s="405"/>
      <c r="E109" s="405"/>
      <c r="F109" s="405"/>
      <c r="G109" s="395"/>
      <c r="H109" s="405"/>
      <c r="I109" s="444">
        <v>0.2</v>
      </c>
      <c r="J109" s="395" t="s">
        <v>256</v>
      </c>
      <c r="K109" s="405" t="s">
        <v>12</v>
      </c>
      <c r="L109" s="122"/>
      <c r="M109" s="122"/>
      <c r="N109" s="122"/>
      <c r="O109" s="122"/>
      <c r="P109" s="122"/>
      <c r="Q109" s="122"/>
      <c r="R109" s="122"/>
      <c r="S109" s="122"/>
      <c r="T109" s="122"/>
      <c r="U109" s="122"/>
      <c r="V109" s="122"/>
      <c r="W109" s="122"/>
      <c r="X109" s="122"/>
      <c r="Y109" s="122"/>
      <c r="Z109" s="122"/>
    </row>
    <row r="110" spans="1:26" ht="12.75" x14ac:dyDescent="0.2">
      <c r="A110" s="122"/>
      <c r="B110" s="405"/>
      <c r="C110" s="395" t="s">
        <v>257</v>
      </c>
      <c r="D110" s="405"/>
      <c r="E110" s="405"/>
      <c r="F110" s="405"/>
      <c r="G110" s="395"/>
      <c r="H110" s="405"/>
      <c r="I110" s="445">
        <v>5</v>
      </c>
      <c r="J110" s="395" t="s">
        <v>12</v>
      </c>
      <c r="K110" s="405" t="s">
        <v>12</v>
      </c>
      <c r="L110" s="122"/>
      <c r="M110" s="122"/>
      <c r="N110" s="122"/>
      <c r="O110" s="122"/>
      <c r="P110" s="122"/>
      <c r="Q110" s="122"/>
      <c r="R110" s="122"/>
      <c r="S110" s="122"/>
      <c r="T110" s="122"/>
      <c r="U110" s="122"/>
      <c r="V110" s="122"/>
      <c r="W110" s="122"/>
      <c r="X110" s="122"/>
      <c r="Y110" s="122"/>
      <c r="Z110" s="122"/>
    </row>
    <row r="111" spans="1:26" ht="12.75" x14ac:dyDescent="0.2">
      <c r="A111" s="122"/>
      <c r="B111" s="405"/>
      <c r="C111" s="395" t="s">
        <v>710</v>
      </c>
      <c r="D111" s="405"/>
      <c r="E111" s="405"/>
      <c r="F111" s="405"/>
      <c r="G111" s="395"/>
      <c r="H111" s="405"/>
      <c r="I111" s="581">
        <f>'Total Beneficiaries and Funding'!E10</f>
        <v>7129546.3188181184</v>
      </c>
      <c r="J111" s="395" t="s">
        <v>172</v>
      </c>
      <c r="K111" s="405" t="s">
        <v>711</v>
      </c>
      <c r="L111" s="122"/>
      <c r="M111" s="122"/>
      <c r="N111" s="122"/>
      <c r="O111" s="122"/>
      <c r="P111" s="122"/>
      <c r="Q111" s="122"/>
      <c r="R111" s="122"/>
      <c r="S111" s="122"/>
      <c r="T111" s="122"/>
      <c r="U111" s="122"/>
      <c r="V111" s="122"/>
      <c r="W111" s="122"/>
      <c r="X111" s="122"/>
      <c r="Y111" s="122"/>
      <c r="Z111" s="122"/>
    </row>
    <row r="112" spans="1:26" customFormat="1" ht="12.75" x14ac:dyDescent="0.2">
      <c r="A112" s="3"/>
      <c r="B112" s="2"/>
      <c r="C112" s="393" t="s">
        <v>939</v>
      </c>
      <c r="D112" s="2"/>
      <c r="E112" s="2"/>
      <c r="F112" s="2"/>
      <c r="G112" s="393"/>
      <c r="H112" s="2"/>
      <c r="I112" s="444">
        <v>0</v>
      </c>
      <c r="J112" s="393" t="s">
        <v>5</v>
      </c>
      <c r="K112" s="422" t="s">
        <v>940</v>
      </c>
      <c r="L112" s="3"/>
      <c r="M112" s="3"/>
      <c r="N112" s="3"/>
      <c r="O112" s="3"/>
      <c r="P112" s="3"/>
      <c r="Q112" s="3"/>
      <c r="R112" s="3"/>
      <c r="S112" s="3"/>
      <c r="T112" s="3"/>
      <c r="U112" s="3"/>
      <c r="V112" s="3"/>
      <c r="W112" s="3"/>
      <c r="X112" s="3"/>
      <c r="Y112" s="3"/>
      <c r="Z112" s="3"/>
    </row>
    <row r="113" spans="1:26" ht="12.75" x14ac:dyDescent="0.2">
      <c r="A113" s="122"/>
      <c r="B113" s="405"/>
      <c r="C113" s="395" t="s">
        <v>268</v>
      </c>
      <c r="D113" s="405"/>
      <c r="E113" s="405"/>
      <c r="F113" s="405"/>
      <c r="G113" s="395"/>
      <c r="H113" s="405"/>
      <c r="I113" s="446">
        <v>0</v>
      </c>
      <c r="J113" s="391" t="s">
        <v>269</v>
      </c>
      <c r="K113" s="405"/>
      <c r="L113" s="122"/>
      <c r="M113" s="122"/>
      <c r="N113" s="122"/>
      <c r="O113" s="122"/>
      <c r="P113" s="122"/>
      <c r="Q113" s="122"/>
      <c r="R113" s="122"/>
      <c r="S113" s="122"/>
      <c r="T113" s="122"/>
      <c r="U113" s="122"/>
      <c r="V113" s="122"/>
      <c r="W113" s="122"/>
      <c r="X113" s="122"/>
      <c r="Y113" s="122"/>
      <c r="Z113" s="122"/>
    </row>
    <row r="114" spans="1:26" ht="12.75" x14ac:dyDescent="0.2">
      <c r="A114" s="122"/>
      <c r="B114" s="405"/>
      <c r="C114" s="395" t="s">
        <v>270</v>
      </c>
      <c r="D114" s="405"/>
      <c r="E114" s="405"/>
      <c r="F114" s="405"/>
      <c r="G114" s="395"/>
      <c r="H114" s="405"/>
      <c r="I114" s="445">
        <v>5</v>
      </c>
      <c r="J114" s="391" t="s">
        <v>66</v>
      </c>
      <c r="K114" s="405"/>
      <c r="L114" s="122"/>
      <c r="M114" s="122"/>
      <c r="N114" s="122"/>
      <c r="O114" s="122"/>
      <c r="P114" s="122"/>
      <c r="Q114" s="122"/>
      <c r="R114" s="122"/>
      <c r="S114" s="122"/>
      <c r="T114" s="122"/>
      <c r="U114" s="122"/>
      <c r="V114" s="122"/>
      <c r="W114" s="122"/>
      <c r="X114" s="122"/>
      <c r="Y114" s="122"/>
      <c r="Z114" s="122"/>
    </row>
    <row r="115" spans="1:26" s="159" customFormat="1" ht="12.75" x14ac:dyDescent="0.2">
      <c r="A115" s="122"/>
      <c r="B115" s="405"/>
      <c r="C115" s="395" t="s">
        <v>909</v>
      </c>
      <c r="D115" s="405"/>
      <c r="E115" s="405"/>
      <c r="F115" s="157"/>
      <c r="G115" s="157"/>
      <c r="H115" s="157"/>
      <c r="I115" s="444">
        <v>0</v>
      </c>
      <c r="J115" s="391" t="s">
        <v>5</v>
      </c>
      <c r="K115" s="422" t="s">
        <v>910</v>
      </c>
      <c r="L115" s="122"/>
      <c r="M115" s="122"/>
      <c r="N115" s="122"/>
      <c r="O115" s="122"/>
      <c r="P115" s="122"/>
      <c r="Q115" s="122"/>
      <c r="R115" s="122"/>
      <c r="S115" s="122"/>
      <c r="T115" s="173"/>
      <c r="U115" s="173"/>
      <c r="V115" s="173"/>
      <c r="W115" s="173"/>
    </row>
    <row r="116" spans="1:26" ht="12.75" x14ac:dyDescent="0.2">
      <c r="A116" s="122"/>
      <c r="B116" s="122"/>
      <c r="C116" s="122"/>
      <c r="D116" s="122"/>
      <c r="E116" s="122"/>
      <c r="F116" s="122"/>
      <c r="G116" s="122"/>
      <c r="H116" s="122"/>
      <c r="I116" s="122"/>
      <c r="J116" s="122"/>
      <c r="K116" s="122"/>
      <c r="L116" s="122"/>
      <c r="M116" s="122"/>
      <c r="N116" s="122"/>
      <c r="O116" s="122"/>
      <c r="P116" s="122"/>
      <c r="Q116" s="122"/>
      <c r="R116" s="122"/>
      <c r="S116" s="122"/>
      <c r="T116" s="122"/>
      <c r="U116" s="122"/>
      <c r="V116" s="122"/>
      <c r="W116" s="122"/>
      <c r="X116" s="122"/>
      <c r="Y116" s="122"/>
      <c r="Z116" s="122"/>
    </row>
    <row r="117" spans="1:26" ht="12.75" x14ac:dyDescent="0.2">
      <c r="A117" s="145" t="s">
        <v>173</v>
      </c>
      <c r="B117" s="119"/>
      <c r="C117" s="119"/>
      <c r="D117" s="161" t="s">
        <v>174</v>
      </c>
      <c r="E117" s="161"/>
      <c r="F117" s="162">
        <v>0</v>
      </c>
      <c r="G117" s="162">
        <v>1</v>
      </c>
      <c r="H117" s="162">
        <v>2</v>
      </c>
      <c r="I117" s="162">
        <v>3</v>
      </c>
      <c r="J117" s="162">
        <v>4</v>
      </c>
      <c r="K117" s="162">
        <v>5</v>
      </c>
      <c r="L117" s="162">
        <v>6</v>
      </c>
      <c r="M117" s="162">
        <v>7</v>
      </c>
      <c r="N117" s="162">
        <v>8</v>
      </c>
      <c r="O117" s="162">
        <v>9</v>
      </c>
      <c r="P117" s="119"/>
      <c r="Q117" s="119"/>
      <c r="R117" s="119"/>
      <c r="S117" s="119"/>
      <c r="T117" s="119"/>
      <c r="U117" s="119"/>
      <c r="V117" s="119"/>
      <c r="W117" s="119"/>
      <c r="X117" s="119"/>
      <c r="Y117" s="119"/>
      <c r="Z117" s="119"/>
    </row>
    <row r="118" spans="1:26" ht="12.75" x14ac:dyDescent="0.2">
      <c r="A118" s="122"/>
      <c r="B118" s="145" t="s">
        <v>175</v>
      </c>
      <c r="C118" s="119"/>
      <c r="D118" s="229"/>
      <c r="E118" s="229"/>
      <c r="F118" s="229"/>
      <c r="G118" s="229"/>
      <c r="H118" s="229"/>
      <c r="I118" s="229"/>
      <c r="J118" s="229"/>
      <c r="K118" s="229"/>
      <c r="L118" s="229"/>
      <c r="M118" s="229"/>
      <c r="N118" s="229"/>
      <c r="O118" s="229"/>
      <c r="P118" s="149"/>
      <c r="Q118" s="122"/>
      <c r="R118" s="122"/>
      <c r="S118" s="122"/>
      <c r="T118" s="122"/>
      <c r="U118" s="122"/>
      <c r="V118" s="122"/>
      <c r="W118" s="122"/>
      <c r="X118" s="122"/>
      <c r="Y118" s="122"/>
      <c r="Z118" s="122"/>
    </row>
    <row r="119" spans="1:26" ht="12.75" x14ac:dyDescent="0.2">
      <c r="A119" s="122"/>
      <c r="B119" s="119"/>
      <c r="C119" s="123" t="s">
        <v>176</v>
      </c>
      <c r="D119" s="119"/>
      <c r="E119" s="119"/>
      <c r="F119" s="118">
        <f t="shared" ref="F119:O119" si="1">$F$8</f>
        <v>7.9000000000000001E-2</v>
      </c>
      <c r="G119" s="118">
        <f t="shared" si="1"/>
        <v>7.9000000000000001E-2</v>
      </c>
      <c r="H119" s="118">
        <f t="shared" si="1"/>
        <v>7.9000000000000001E-2</v>
      </c>
      <c r="I119" s="118">
        <f t="shared" si="1"/>
        <v>7.9000000000000001E-2</v>
      </c>
      <c r="J119" s="118">
        <f t="shared" si="1"/>
        <v>7.9000000000000001E-2</v>
      </c>
      <c r="K119" s="118">
        <f t="shared" si="1"/>
        <v>7.9000000000000001E-2</v>
      </c>
      <c r="L119" s="118">
        <f t="shared" si="1"/>
        <v>7.9000000000000001E-2</v>
      </c>
      <c r="M119" s="118">
        <f t="shared" si="1"/>
        <v>7.9000000000000001E-2</v>
      </c>
      <c r="N119" s="118">
        <f t="shared" si="1"/>
        <v>7.9000000000000001E-2</v>
      </c>
      <c r="O119" s="118">
        <f t="shared" si="1"/>
        <v>7.9000000000000001E-2</v>
      </c>
      <c r="P119" s="122"/>
      <c r="Q119" s="122"/>
      <c r="R119" s="122"/>
      <c r="S119" s="122"/>
      <c r="T119" s="122"/>
      <c r="U119" s="122"/>
      <c r="V119" s="122"/>
      <c r="W119" s="122"/>
      <c r="X119" s="122"/>
      <c r="Y119" s="122"/>
      <c r="Z119" s="122"/>
    </row>
    <row r="120" spans="1:26" ht="12.75" x14ac:dyDescent="0.2">
      <c r="A120" s="122"/>
      <c r="B120" s="119"/>
      <c r="C120" s="123" t="s">
        <v>177</v>
      </c>
      <c r="D120" s="119"/>
      <c r="E120" s="119"/>
      <c r="F120" s="166">
        <v>1</v>
      </c>
      <c r="G120" s="121">
        <f t="shared" ref="G120:O120" si="2">F120*(1+G119)</f>
        <v>1.079</v>
      </c>
      <c r="H120" s="121">
        <f t="shared" si="2"/>
        <v>1.1642409999999999</v>
      </c>
      <c r="I120" s="121">
        <f t="shared" si="2"/>
        <v>1.2562160389999999</v>
      </c>
      <c r="J120" s="121">
        <f t="shared" si="2"/>
        <v>1.3554571060809999</v>
      </c>
      <c r="K120" s="121">
        <f t="shared" si="2"/>
        <v>1.4625382174613988</v>
      </c>
      <c r="L120" s="121">
        <f t="shared" si="2"/>
        <v>1.5780787366408493</v>
      </c>
      <c r="M120" s="121">
        <f t="shared" si="2"/>
        <v>1.7027469568354763</v>
      </c>
      <c r="N120" s="121">
        <f t="shared" si="2"/>
        <v>1.8372639664254788</v>
      </c>
      <c r="O120" s="121">
        <f t="shared" si="2"/>
        <v>1.9824078197730917</v>
      </c>
      <c r="P120" s="122"/>
      <c r="Q120" s="122"/>
      <c r="R120" s="122"/>
      <c r="S120" s="122"/>
      <c r="T120" s="122"/>
      <c r="U120" s="122"/>
      <c r="V120" s="122"/>
      <c r="W120" s="122"/>
      <c r="X120" s="122"/>
      <c r="Y120" s="122"/>
      <c r="Z120" s="122"/>
    </row>
    <row r="121" spans="1:26" ht="12.75" x14ac:dyDescent="0.2">
      <c r="A121" s="122"/>
      <c r="B121" s="119"/>
      <c r="C121" s="123" t="s">
        <v>7</v>
      </c>
      <c r="D121" s="119"/>
      <c r="E121" s="119"/>
      <c r="F121" s="118">
        <f t="shared" ref="F121:O121" si="3">$F$9</f>
        <v>2.5000000000000001E-2</v>
      </c>
      <c r="G121" s="118">
        <f t="shared" si="3"/>
        <v>2.5000000000000001E-2</v>
      </c>
      <c r="H121" s="118">
        <f t="shared" si="3"/>
        <v>2.5000000000000001E-2</v>
      </c>
      <c r="I121" s="118">
        <f t="shared" si="3"/>
        <v>2.5000000000000001E-2</v>
      </c>
      <c r="J121" s="118">
        <f t="shared" si="3"/>
        <v>2.5000000000000001E-2</v>
      </c>
      <c r="K121" s="118">
        <f t="shared" si="3"/>
        <v>2.5000000000000001E-2</v>
      </c>
      <c r="L121" s="118">
        <f t="shared" si="3"/>
        <v>2.5000000000000001E-2</v>
      </c>
      <c r="M121" s="118">
        <f t="shared" si="3"/>
        <v>2.5000000000000001E-2</v>
      </c>
      <c r="N121" s="118">
        <f t="shared" si="3"/>
        <v>2.5000000000000001E-2</v>
      </c>
      <c r="O121" s="118">
        <f t="shared" si="3"/>
        <v>2.5000000000000001E-2</v>
      </c>
      <c r="P121" s="122"/>
      <c r="Q121" s="122"/>
      <c r="R121" s="122"/>
      <c r="S121" s="122"/>
      <c r="T121" s="122"/>
      <c r="U121" s="122"/>
      <c r="V121" s="122"/>
      <c r="W121" s="122"/>
      <c r="X121" s="122"/>
      <c r="Y121" s="122"/>
      <c r="Z121" s="122"/>
    </row>
    <row r="122" spans="1:26" ht="12.75" x14ac:dyDescent="0.2">
      <c r="A122" s="122"/>
      <c r="B122" s="119"/>
      <c r="C122" s="123" t="s">
        <v>179</v>
      </c>
      <c r="D122" s="119"/>
      <c r="E122" s="119"/>
      <c r="F122" s="121">
        <v>1</v>
      </c>
      <c r="G122" s="121">
        <f t="shared" ref="G122:O122" si="4">F122*(1+G121)</f>
        <v>1.0249999999999999</v>
      </c>
      <c r="H122" s="121">
        <f t="shared" si="4"/>
        <v>1.0506249999999999</v>
      </c>
      <c r="I122" s="121">
        <f t="shared" si="4"/>
        <v>1.0768906249999999</v>
      </c>
      <c r="J122" s="121">
        <f t="shared" si="4"/>
        <v>1.1038128906249998</v>
      </c>
      <c r="K122" s="121">
        <f t="shared" si="4"/>
        <v>1.1314082128906247</v>
      </c>
      <c r="L122" s="121">
        <f t="shared" si="4"/>
        <v>1.1596934182128902</v>
      </c>
      <c r="M122" s="121">
        <f t="shared" si="4"/>
        <v>1.1886857536682123</v>
      </c>
      <c r="N122" s="121">
        <f t="shared" si="4"/>
        <v>1.2184028975099175</v>
      </c>
      <c r="O122" s="121">
        <f t="shared" si="4"/>
        <v>1.2488629699476652</v>
      </c>
      <c r="P122" s="122"/>
      <c r="Q122" s="122"/>
      <c r="R122" s="122"/>
      <c r="S122" s="122"/>
      <c r="T122" s="122"/>
      <c r="U122" s="122"/>
      <c r="V122" s="122"/>
      <c r="W122" s="122"/>
      <c r="X122" s="122"/>
      <c r="Y122" s="122"/>
      <c r="Z122" s="122"/>
    </row>
    <row r="123" spans="1:26" ht="12.75" x14ac:dyDescent="0.2">
      <c r="A123" s="122"/>
      <c r="B123" s="119"/>
      <c r="C123" s="123" t="s">
        <v>180</v>
      </c>
      <c r="D123" s="119"/>
      <c r="E123" s="119"/>
      <c r="F123" s="121">
        <f t="shared" ref="F123:O123" si="5">F120/F122</f>
        <v>1</v>
      </c>
      <c r="G123" s="121">
        <f t="shared" si="5"/>
        <v>1.0526829268292683</v>
      </c>
      <c r="H123" s="121">
        <f t="shared" si="5"/>
        <v>1.1081413444378345</v>
      </c>
      <c r="I123" s="121">
        <f t="shared" si="5"/>
        <v>1.16652147380334</v>
      </c>
      <c r="J123" s="121">
        <f t="shared" si="5"/>
        <v>1.2279772392524917</v>
      </c>
      <c r="K123" s="121">
        <f t="shared" si="5"/>
        <v>1.2926706742960377</v>
      </c>
      <c r="L123" s="121">
        <f t="shared" si="5"/>
        <v>1.3607723488443169</v>
      </c>
      <c r="M123" s="121">
        <f t="shared" si="5"/>
        <v>1.4324618189297738</v>
      </c>
      <c r="N123" s="121">
        <f t="shared" si="5"/>
        <v>1.5079281001221716</v>
      </c>
      <c r="O123" s="121">
        <f t="shared" si="5"/>
        <v>1.5873701658847057</v>
      </c>
      <c r="P123" s="122"/>
      <c r="Q123" s="122"/>
      <c r="R123" s="122"/>
      <c r="S123" s="122"/>
      <c r="T123" s="122"/>
      <c r="U123" s="122"/>
      <c r="V123" s="122"/>
      <c r="W123" s="122"/>
      <c r="X123" s="122"/>
      <c r="Y123" s="122"/>
      <c r="Z123" s="122"/>
    </row>
    <row r="124" spans="1:26" ht="12.75" x14ac:dyDescent="0.2">
      <c r="A124" s="122"/>
      <c r="B124" s="119"/>
      <c r="C124" s="123" t="s">
        <v>181</v>
      </c>
      <c r="D124" s="119"/>
      <c r="E124" s="119"/>
      <c r="F124" s="164">
        <f t="shared" ref="F124:O124" si="6">$F$10</f>
        <v>157.54</v>
      </c>
      <c r="G124" s="164">
        <f t="shared" si="6"/>
        <v>157.54</v>
      </c>
      <c r="H124" s="164">
        <f t="shared" si="6"/>
        <v>157.54</v>
      </c>
      <c r="I124" s="164">
        <f t="shared" si="6"/>
        <v>157.54</v>
      </c>
      <c r="J124" s="164">
        <f t="shared" si="6"/>
        <v>157.54</v>
      </c>
      <c r="K124" s="164">
        <f t="shared" si="6"/>
        <v>157.54</v>
      </c>
      <c r="L124" s="164">
        <f t="shared" si="6"/>
        <v>157.54</v>
      </c>
      <c r="M124" s="164">
        <f t="shared" si="6"/>
        <v>157.54</v>
      </c>
      <c r="N124" s="164">
        <f t="shared" si="6"/>
        <v>157.54</v>
      </c>
      <c r="O124" s="164">
        <f t="shared" si="6"/>
        <v>157.54</v>
      </c>
      <c r="P124" s="122"/>
      <c r="Q124" s="122"/>
      <c r="R124" s="122"/>
      <c r="S124" s="122"/>
      <c r="T124" s="122"/>
      <c r="U124" s="122"/>
      <c r="V124" s="122"/>
      <c r="W124" s="122"/>
      <c r="X124" s="122"/>
      <c r="Y124" s="122"/>
      <c r="Z124" s="122"/>
    </row>
    <row r="125" spans="1:26" ht="12.75" x14ac:dyDescent="0.2">
      <c r="A125" s="122"/>
      <c r="B125" s="119"/>
      <c r="C125" s="123" t="s">
        <v>182</v>
      </c>
      <c r="D125" s="119"/>
      <c r="E125" s="119"/>
      <c r="F125" s="118">
        <f t="shared" ref="F125:O125" si="7">$F$11</f>
        <v>0</v>
      </c>
      <c r="G125" s="118">
        <f t="shared" si="7"/>
        <v>0</v>
      </c>
      <c r="H125" s="118">
        <f t="shared" si="7"/>
        <v>0</v>
      </c>
      <c r="I125" s="118">
        <f t="shared" si="7"/>
        <v>0</v>
      </c>
      <c r="J125" s="118">
        <f t="shared" si="7"/>
        <v>0</v>
      </c>
      <c r="K125" s="118">
        <f t="shared" si="7"/>
        <v>0</v>
      </c>
      <c r="L125" s="118">
        <f t="shared" si="7"/>
        <v>0</v>
      </c>
      <c r="M125" s="118">
        <f t="shared" si="7"/>
        <v>0</v>
      </c>
      <c r="N125" s="118">
        <f t="shared" si="7"/>
        <v>0</v>
      </c>
      <c r="O125" s="118">
        <f t="shared" si="7"/>
        <v>0</v>
      </c>
      <c r="P125" s="122"/>
      <c r="Q125" s="122"/>
      <c r="R125" s="122"/>
      <c r="S125" s="122"/>
      <c r="T125" s="122"/>
      <c r="U125" s="122"/>
      <c r="V125" s="122"/>
      <c r="W125" s="122"/>
      <c r="X125" s="122"/>
      <c r="Y125" s="122"/>
      <c r="Z125" s="122"/>
    </row>
    <row r="126" spans="1:26" ht="12.75" x14ac:dyDescent="0.2">
      <c r="A126" s="122"/>
      <c r="B126" s="119"/>
      <c r="C126" s="123" t="s">
        <v>183</v>
      </c>
      <c r="D126" s="119"/>
      <c r="E126" s="119"/>
      <c r="F126" s="164">
        <f t="shared" ref="F126:O126" si="8">F124*(1+F125)^F117</f>
        <v>157.54</v>
      </c>
      <c r="G126" s="164">
        <f t="shared" si="8"/>
        <v>157.54</v>
      </c>
      <c r="H126" s="164">
        <f t="shared" si="8"/>
        <v>157.54</v>
      </c>
      <c r="I126" s="164">
        <f t="shared" si="8"/>
        <v>157.54</v>
      </c>
      <c r="J126" s="164">
        <f t="shared" si="8"/>
        <v>157.54</v>
      </c>
      <c r="K126" s="164">
        <f t="shared" si="8"/>
        <v>157.54</v>
      </c>
      <c r="L126" s="164">
        <f t="shared" si="8"/>
        <v>157.54</v>
      </c>
      <c r="M126" s="164">
        <f t="shared" si="8"/>
        <v>157.54</v>
      </c>
      <c r="N126" s="164">
        <f t="shared" si="8"/>
        <v>157.54</v>
      </c>
      <c r="O126" s="164">
        <f t="shared" si="8"/>
        <v>157.54</v>
      </c>
      <c r="P126" s="122"/>
      <c r="Q126" s="122"/>
      <c r="R126" s="122"/>
      <c r="S126" s="122"/>
      <c r="T126" s="122"/>
      <c r="U126" s="122"/>
      <c r="V126" s="122"/>
      <c r="W126" s="122"/>
      <c r="X126" s="122"/>
      <c r="Y126" s="122"/>
      <c r="Z126" s="122"/>
    </row>
    <row r="127" spans="1:26" ht="12.75" x14ac:dyDescent="0.2">
      <c r="A127" s="122"/>
      <c r="B127" s="119"/>
      <c r="C127" s="123" t="s">
        <v>184</v>
      </c>
      <c r="D127" s="119"/>
      <c r="E127" s="119"/>
      <c r="F127" s="164">
        <f t="shared" ref="F127:O127" si="9">F126*F123</f>
        <v>157.54</v>
      </c>
      <c r="G127" s="164">
        <f t="shared" si="9"/>
        <v>165.83966829268292</v>
      </c>
      <c r="H127" s="164">
        <f t="shared" si="9"/>
        <v>174.57658740273644</v>
      </c>
      <c r="I127" s="164">
        <f t="shared" si="9"/>
        <v>183.77379298297819</v>
      </c>
      <c r="J127" s="164">
        <f t="shared" si="9"/>
        <v>193.45553427183754</v>
      </c>
      <c r="K127" s="164">
        <f t="shared" si="9"/>
        <v>203.64733802859777</v>
      </c>
      <c r="L127" s="164">
        <f t="shared" si="9"/>
        <v>214.37607583693367</v>
      </c>
      <c r="M127" s="164">
        <f t="shared" si="9"/>
        <v>225.67003495419655</v>
      </c>
      <c r="N127" s="164">
        <f t="shared" si="9"/>
        <v>237.55899289324691</v>
      </c>
      <c r="O127" s="164">
        <f t="shared" si="9"/>
        <v>250.07429593347652</v>
      </c>
      <c r="P127" s="122"/>
      <c r="Q127" s="122"/>
      <c r="R127" s="122"/>
      <c r="S127" s="122"/>
      <c r="T127" s="122"/>
      <c r="U127" s="122"/>
      <c r="V127" s="122"/>
      <c r="W127" s="122"/>
      <c r="X127" s="122"/>
      <c r="Y127" s="122"/>
      <c r="Z127" s="122"/>
    </row>
    <row r="128" spans="1:26" ht="12.75" x14ac:dyDescent="0.2">
      <c r="A128" s="122"/>
      <c r="B128" s="122"/>
      <c r="C128" s="122"/>
      <c r="D128" s="122"/>
      <c r="E128" s="122"/>
      <c r="F128" s="122"/>
      <c r="G128" s="122"/>
      <c r="H128" s="122"/>
      <c r="I128" s="122"/>
      <c r="J128" s="122"/>
      <c r="K128" s="122"/>
      <c r="L128" s="122"/>
      <c r="M128" s="122"/>
      <c r="N128" s="122"/>
      <c r="O128" s="122"/>
      <c r="P128" s="122"/>
      <c r="Q128" s="122"/>
      <c r="R128" s="122"/>
      <c r="S128" s="122"/>
      <c r="T128" s="122"/>
      <c r="U128" s="122"/>
      <c r="V128" s="122"/>
      <c r="W128" s="122"/>
      <c r="X128" s="122"/>
      <c r="Y128" s="122"/>
      <c r="Z128" s="122"/>
    </row>
    <row r="129" spans="1:26" ht="12.75" x14ac:dyDescent="0.2">
      <c r="A129" s="147"/>
      <c r="B129" s="145" t="s">
        <v>185</v>
      </c>
      <c r="C129" s="119"/>
      <c r="D129" s="145"/>
      <c r="E129" s="165"/>
      <c r="F129" s="145"/>
      <c r="G129" s="145"/>
      <c r="H129" s="145"/>
      <c r="I129" s="145"/>
      <c r="J129" s="145"/>
      <c r="K129" s="145"/>
      <c r="L129" s="145"/>
      <c r="M129" s="145"/>
      <c r="N129" s="145"/>
      <c r="O129" s="119"/>
      <c r="P129" s="122"/>
      <c r="Q129" s="122"/>
      <c r="R129" s="122"/>
      <c r="S129" s="122"/>
      <c r="T129" s="122"/>
      <c r="U129" s="122"/>
      <c r="V129" s="122"/>
      <c r="W129" s="122"/>
      <c r="X129" s="122"/>
      <c r="Y129" s="122"/>
      <c r="Z129" s="122"/>
    </row>
    <row r="130" spans="1:26" ht="12.75" x14ac:dyDescent="0.2">
      <c r="A130" s="147"/>
      <c r="B130" s="145"/>
      <c r="C130" s="123" t="s">
        <v>403</v>
      </c>
      <c r="D130" s="145"/>
      <c r="E130" s="165"/>
      <c r="F130" s="120">
        <f t="shared" ref="F130:O130" si="10">$F$35</f>
        <v>1.2E-2</v>
      </c>
      <c r="G130" s="120">
        <f t="shared" si="10"/>
        <v>1.2E-2</v>
      </c>
      <c r="H130" s="120">
        <f t="shared" si="10"/>
        <v>1.2E-2</v>
      </c>
      <c r="I130" s="120">
        <f t="shared" si="10"/>
        <v>1.2E-2</v>
      </c>
      <c r="J130" s="120">
        <f t="shared" si="10"/>
        <v>1.2E-2</v>
      </c>
      <c r="K130" s="120">
        <f t="shared" si="10"/>
        <v>1.2E-2</v>
      </c>
      <c r="L130" s="120">
        <f t="shared" si="10"/>
        <v>1.2E-2</v>
      </c>
      <c r="M130" s="120">
        <f t="shared" si="10"/>
        <v>1.2E-2</v>
      </c>
      <c r="N130" s="120">
        <f t="shared" si="10"/>
        <v>1.2E-2</v>
      </c>
      <c r="O130" s="120">
        <f t="shared" si="10"/>
        <v>1.2E-2</v>
      </c>
      <c r="P130" s="122"/>
      <c r="Q130" s="122"/>
      <c r="R130" s="122"/>
      <c r="S130" s="122"/>
      <c r="T130" s="122"/>
      <c r="U130" s="122"/>
      <c r="V130" s="122"/>
      <c r="W130" s="122"/>
      <c r="X130" s="122"/>
      <c r="Y130" s="122"/>
      <c r="Z130" s="122"/>
    </row>
    <row r="131" spans="1:26" ht="12.75" x14ac:dyDescent="0.2">
      <c r="A131" s="147"/>
      <c r="B131" s="145"/>
      <c r="C131" s="123" t="s">
        <v>187</v>
      </c>
      <c r="D131" s="145"/>
      <c r="E131" s="165"/>
      <c r="F131" s="166">
        <v>1</v>
      </c>
      <c r="G131" s="166">
        <f t="shared" ref="G131:O131" si="11">F131*(1+G130)</f>
        <v>1.012</v>
      </c>
      <c r="H131" s="166">
        <f t="shared" si="11"/>
        <v>1.0241439999999999</v>
      </c>
      <c r="I131" s="166">
        <f t="shared" si="11"/>
        <v>1.036433728</v>
      </c>
      <c r="J131" s="166">
        <f t="shared" si="11"/>
        <v>1.048870932736</v>
      </c>
      <c r="K131" s="166">
        <f t="shared" si="11"/>
        <v>1.0614573839288319</v>
      </c>
      <c r="L131" s="166">
        <f t="shared" si="11"/>
        <v>1.074194872535978</v>
      </c>
      <c r="M131" s="166">
        <f t="shared" si="11"/>
        <v>1.0870852110064098</v>
      </c>
      <c r="N131" s="166">
        <f t="shared" si="11"/>
        <v>1.1001302335384866</v>
      </c>
      <c r="O131" s="166">
        <f t="shared" si="11"/>
        <v>1.1133317963409484</v>
      </c>
      <c r="P131" s="122"/>
      <c r="Q131" s="122"/>
      <c r="R131" s="122"/>
      <c r="S131" s="122"/>
      <c r="T131" s="122"/>
      <c r="U131" s="122"/>
      <c r="V131" s="122"/>
      <c r="W131" s="122"/>
      <c r="X131" s="122"/>
      <c r="Y131" s="122"/>
      <c r="Z131" s="122"/>
    </row>
    <row r="132" spans="1:26" ht="12.75" x14ac:dyDescent="0.2">
      <c r="A132" s="147"/>
      <c r="B132" s="145"/>
      <c r="C132" s="123" t="s">
        <v>404</v>
      </c>
      <c r="D132" s="145"/>
      <c r="E132" s="165"/>
      <c r="F132" s="120">
        <f t="shared" ref="F132:O132" si="12">$I$36</f>
        <v>2.5000000000000001E-2</v>
      </c>
      <c r="G132" s="120">
        <f t="shared" si="12"/>
        <v>2.5000000000000001E-2</v>
      </c>
      <c r="H132" s="120">
        <f t="shared" si="12"/>
        <v>2.5000000000000001E-2</v>
      </c>
      <c r="I132" s="120">
        <f t="shared" si="12"/>
        <v>2.5000000000000001E-2</v>
      </c>
      <c r="J132" s="120">
        <f t="shared" si="12"/>
        <v>2.5000000000000001E-2</v>
      </c>
      <c r="K132" s="120">
        <f t="shared" si="12"/>
        <v>2.5000000000000001E-2</v>
      </c>
      <c r="L132" s="120">
        <f t="shared" si="12"/>
        <v>2.5000000000000001E-2</v>
      </c>
      <c r="M132" s="120">
        <f t="shared" si="12"/>
        <v>2.5000000000000001E-2</v>
      </c>
      <c r="N132" s="120">
        <f t="shared" si="12"/>
        <v>2.5000000000000001E-2</v>
      </c>
      <c r="O132" s="120">
        <f t="shared" si="12"/>
        <v>2.5000000000000001E-2</v>
      </c>
      <c r="P132" s="122"/>
      <c r="Q132" s="122"/>
      <c r="R132" s="122"/>
      <c r="S132" s="122"/>
      <c r="T132" s="122"/>
      <c r="U132" s="122"/>
      <c r="V132" s="122"/>
      <c r="W132" s="122"/>
      <c r="X132" s="122"/>
      <c r="Y132" s="122"/>
      <c r="Z132" s="122"/>
    </row>
    <row r="133" spans="1:26" ht="12.75" x14ac:dyDescent="0.2">
      <c r="A133" s="147"/>
      <c r="B133" s="145"/>
      <c r="C133" s="123" t="s">
        <v>189</v>
      </c>
      <c r="D133" s="145"/>
      <c r="E133" s="165"/>
      <c r="F133" s="166">
        <v>1</v>
      </c>
      <c r="G133" s="166">
        <f t="shared" ref="G133:O133" si="13">F133*(1+G132)</f>
        <v>1.0249999999999999</v>
      </c>
      <c r="H133" s="166">
        <f t="shared" si="13"/>
        <v>1.0506249999999999</v>
      </c>
      <c r="I133" s="166">
        <f t="shared" si="13"/>
        <v>1.0768906249999999</v>
      </c>
      <c r="J133" s="166">
        <f t="shared" si="13"/>
        <v>1.1038128906249998</v>
      </c>
      <c r="K133" s="166">
        <f t="shared" si="13"/>
        <v>1.1314082128906247</v>
      </c>
      <c r="L133" s="166">
        <f t="shared" si="13"/>
        <v>1.1596934182128902</v>
      </c>
      <c r="M133" s="166">
        <f t="shared" si="13"/>
        <v>1.1886857536682123</v>
      </c>
      <c r="N133" s="166">
        <f t="shared" si="13"/>
        <v>1.2184028975099175</v>
      </c>
      <c r="O133" s="166">
        <f t="shared" si="13"/>
        <v>1.2488629699476652</v>
      </c>
      <c r="P133" s="122"/>
      <c r="Q133" s="122"/>
      <c r="R133" s="122"/>
      <c r="S133" s="122"/>
      <c r="T133" s="122"/>
      <c r="U133" s="122"/>
      <c r="V133" s="122"/>
      <c r="W133" s="122"/>
      <c r="X133" s="122"/>
      <c r="Y133" s="122"/>
      <c r="Z133" s="122"/>
    </row>
    <row r="134" spans="1:26" ht="12.75" x14ac:dyDescent="0.2">
      <c r="A134" s="147"/>
      <c r="B134" s="145"/>
      <c r="C134" s="123" t="s">
        <v>190</v>
      </c>
      <c r="D134" s="145"/>
      <c r="E134" s="165"/>
      <c r="F134" s="120">
        <f t="shared" ref="F134:O134" si="14">$F$54</f>
        <v>0</v>
      </c>
      <c r="G134" s="120">
        <f t="shared" si="14"/>
        <v>0</v>
      </c>
      <c r="H134" s="120">
        <f t="shared" si="14"/>
        <v>0</v>
      </c>
      <c r="I134" s="120">
        <f t="shared" si="14"/>
        <v>0</v>
      </c>
      <c r="J134" s="120">
        <f t="shared" si="14"/>
        <v>0</v>
      </c>
      <c r="K134" s="120">
        <f t="shared" si="14"/>
        <v>0</v>
      </c>
      <c r="L134" s="120">
        <f t="shared" si="14"/>
        <v>0</v>
      </c>
      <c r="M134" s="120">
        <f t="shared" si="14"/>
        <v>0</v>
      </c>
      <c r="N134" s="120">
        <f t="shared" si="14"/>
        <v>0</v>
      </c>
      <c r="O134" s="120">
        <f t="shared" si="14"/>
        <v>0</v>
      </c>
      <c r="P134" s="122"/>
      <c r="Q134" s="122"/>
      <c r="R134" s="122"/>
      <c r="S134" s="122"/>
      <c r="T134" s="122"/>
      <c r="U134" s="122"/>
      <c r="V134" s="122"/>
      <c r="W134" s="122"/>
      <c r="X134" s="122"/>
      <c r="Y134" s="122"/>
      <c r="Z134" s="122"/>
    </row>
    <row r="135" spans="1:26" ht="12.75" x14ac:dyDescent="0.2">
      <c r="A135" s="147"/>
      <c r="B135" s="145"/>
      <c r="C135" s="123" t="s">
        <v>191</v>
      </c>
      <c r="D135" s="145"/>
      <c r="E135" s="165"/>
      <c r="F135" s="166">
        <v>1</v>
      </c>
      <c r="G135" s="166">
        <f t="shared" ref="G135:O135" si="15">F135*(1+G134)</f>
        <v>1</v>
      </c>
      <c r="H135" s="166">
        <f t="shared" si="15"/>
        <v>1</v>
      </c>
      <c r="I135" s="166">
        <f t="shared" si="15"/>
        <v>1</v>
      </c>
      <c r="J135" s="166">
        <f t="shared" si="15"/>
        <v>1</v>
      </c>
      <c r="K135" s="166">
        <f t="shared" si="15"/>
        <v>1</v>
      </c>
      <c r="L135" s="166">
        <f t="shared" si="15"/>
        <v>1</v>
      </c>
      <c r="M135" s="166">
        <f t="shared" si="15"/>
        <v>1</v>
      </c>
      <c r="N135" s="166">
        <f t="shared" si="15"/>
        <v>1</v>
      </c>
      <c r="O135" s="166">
        <f t="shared" si="15"/>
        <v>1</v>
      </c>
      <c r="P135" s="122"/>
      <c r="Q135" s="122"/>
      <c r="R135" s="122"/>
      <c r="S135" s="122"/>
      <c r="T135" s="122"/>
      <c r="U135" s="122"/>
      <c r="V135" s="122"/>
      <c r="W135" s="122"/>
      <c r="X135" s="122"/>
      <c r="Y135" s="122"/>
      <c r="Z135" s="122"/>
    </row>
    <row r="136" spans="1:26" ht="12.75" x14ac:dyDescent="0.2">
      <c r="A136" s="147"/>
      <c r="B136" s="145"/>
      <c r="C136" s="123" t="s">
        <v>264</v>
      </c>
      <c r="D136" s="145"/>
      <c r="E136" s="165"/>
      <c r="F136" s="120">
        <f t="shared" ref="F136:O136" si="16">$F$76</f>
        <v>0</v>
      </c>
      <c r="G136" s="120">
        <f t="shared" si="16"/>
        <v>0</v>
      </c>
      <c r="H136" s="120">
        <f t="shared" si="16"/>
        <v>0</v>
      </c>
      <c r="I136" s="120">
        <f t="shared" si="16"/>
        <v>0</v>
      </c>
      <c r="J136" s="120">
        <f t="shared" si="16"/>
        <v>0</v>
      </c>
      <c r="K136" s="120">
        <f t="shared" si="16"/>
        <v>0</v>
      </c>
      <c r="L136" s="120">
        <f t="shared" si="16"/>
        <v>0</v>
      </c>
      <c r="M136" s="120">
        <f t="shared" si="16"/>
        <v>0</v>
      </c>
      <c r="N136" s="120">
        <f t="shared" si="16"/>
        <v>0</v>
      </c>
      <c r="O136" s="120">
        <f t="shared" si="16"/>
        <v>0</v>
      </c>
      <c r="P136" s="122"/>
      <c r="Q136" s="122"/>
      <c r="R136" s="122"/>
      <c r="S136" s="122"/>
      <c r="T136" s="122"/>
      <c r="U136" s="122"/>
      <c r="V136" s="122"/>
      <c r="W136" s="122"/>
      <c r="X136" s="122"/>
      <c r="Y136" s="122"/>
      <c r="Z136" s="122"/>
    </row>
    <row r="137" spans="1:26" ht="12.75" x14ac:dyDescent="0.2">
      <c r="A137" s="147"/>
      <c r="B137" s="145"/>
      <c r="C137" s="123" t="s">
        <v>265</v>
      </c>
      <c r="D137" s="145"/>
      <c r="E137" s="165"/>
      <c r="F137" s="166">
        <v>1</v>
      </c>
      <c r="G137" s="166">
        <f t="shared" ref="G137:O137" si="17">F137*(1+G136)</f>
        <v>1</v>
      </c>
      <c r="H137" s="166">
        <f t="shared" si="17"/>
        <v>1</v>
      </c>
      <c r="I137" s="166">
        <f t="shared" si="17"/>
        <v>1</v>
      </c>
      <c r="J137" s="166">
        <f t="shared" si="17"/>
        <v>1</v>
      </c>
      <c r="K137" s="166">
        <f t="shared" si="17"/>
        <v>1</v>
      </c>
      <c r="L137" s="166">
        <f t="shared" si="17"/>
        <v>1</v>
      </c>
      <c r="M137" s="166">
        <f t="shared" si="17"/>
        <v>1</v>
      </c>
      <c r="N137" s="166">
        <f t="shared" si="17"/>
        <v>1</v>
      </c>
      <c r="O137" s="166">
        <f t="shared" si="17"/>
        <v>1</v>
      </c>
      <c r="P137" s="122"/>
      <c r="Q137" s="122"/>
      <c r="R137" s="122"/>
      <c r="S137" s="122"/>
      <c r="T137" s="122"/>
      <c r="U137" s="122"/>
      <c r="V137" s="122"/>
      <c r="W137" s="122"/>
      <c r="X137" s="122"/>
      <c r="Y137" s="122"/>
      <c r="Z137" s="122"/>
    </row>
    <row r="138" spans="1:26" ht="12.75" x14ac:dyDescent="0.2">
      <c r="A138" s="147"/>
      <c r="B138" s="147"/>
      <c r="C138" s="122"/>
      <c r="D138" s="147"/>
      <c r="E138" s="167"/>
      <c r="F138" s="147"/>
      <c r="G138" s="147"/>
      <c r="H138" s="147"/>
      <c r="I138" s="147"/>
      <c r="J138" s="147"/>
      <c r="K138" s="147"/>
      <c r="L138" s="147"/>
      <c r="M138" s="147"/>
      <c r="N138" s="147"/>
      <c r="O138" s="122"/>
      <c r="P138" s="122"/>
      <c r="Q138" s="122"/>
      <c r="R138" s="122"/>
      <c r="S138" s="122"/>
      <c r="T138" s="122"/>
      <c r="U138" s="122"/>
      <c r="V138" s="122"/>
      <c r="W138" s="122"/>
      <c r="X138" s="122"/>
      <c r="Y138" s="122"/>
      <c r="Z138" s="122"/>
    </row>
    <row r="139" spans="1:26" ht="12.75" x14ac:dyDescent="0.2">
      <c r="A139" s="147"/>
      <c r="B139" s="168" t="s">
        <v>211</v>
      </c>
      <c r="C139" s="155"/>
      <c r="D139" s="169"/>
      <c r="E139" s="154"/>
      <c r="F139" s="169"/>
      <c r="G139" s="169"/>
      <c r="H139" s="169"/>
      <c r="I139" s="169"/>
      <c r="J139" s="169"/>
      <c r="K139" s="169"/>
      <c r="L139" s="169"/>
      <c r="M139" s="169"/>
      <c r="N139" s="169"/>
      <c r="O139" s="155"/>
      <c r="P139" s="122"/>
      <c r="Q139" s="122"/>
      <c r="R139" s="122"/>
      <c r="S139" s="122"/>
      <c r="T139" s="122"/>
      <c r="U139" s="122"/>
      <c r="V139" s="122"/>
      <c r="W139" s="122"/>
      <c r="X139" s="122"/>
      <c r="Y139" s="122"/>
      <c r="Z139" s="122"/>
    </row>
    <row r="140" spans="1:26" ht="12.75" x14ac:dyDescent="0.2">
      <c r="A140" s="147"/>
      <c r="B140" s="168"/>
      <c r="C140" s="155" t="s">
        <v>44</v>
      </c>
      <c r="D140" s="169"/>
      <c r="E140" s="154"/>
      <c r="F140" s="170">
        <f>$F$25</f>
        <v>0.97</v>
      </c>
      <c r="G140" s="170">
        <f t="shared" ref="G140:O140" si="18">$F$25</f>
        <v>0.97</v>
      </c>
      <c r="H140" s="170">
        <f t="shared" si="18"/>
        <v>0.97</v>
      </c>
      <c r="I140" s="170">
        <f t="shared" si="18"/>
        <v>0.97</v>
      </c>
      <c r="J140" s="170">
        <f t="shared" si="18"/>
        <v>0.97</v>
      </c>
      <c r="K140" s="170">
        <f t="shared" si="18"/>
        <v>0.97</v>
      </c>
      <c r="L140" s="170">
        <f t="shared" si="18"/>
        <v>0.97</v>
      </c>
      <c r="M140" s="170">
        <f t="shared" si="18"/>
        <v>0.97</v>
      </c>
      <c r="N140" s="170">
        <f t="shared" si="18"/>
        <v>0.97</v>
      </c>
      <c r="O140" s="170">
        <f t="shared" si="18"/>
        <v>0.97</v>
      </c>
      <c r="P140" s="122"/>
      <c r="Q140" s="122"/>
      <c r="R140" s="122"/>
      <c r="S140" s="122"/>
      <c r="T140" s="122"/>
      <c r="U140" s="122"/>
      <c r="V140" s="122"/>
      <c r="W140" s="122"/>
      <c r="X140" s="122"/>
      <c r="Y140" s="122"/>
      <c r="Z140" s="122"/>
    </row>
    <row r="141" spans="1:26" ht="12.75" x14ac:dyDescent="0.2">
      <c r="A141" s="147"/>
      <c r="B141" s="169"/>
      <c r="C141" s="155" t="s">
        <v>212</v>
      </c>
      <c r="D141" s="169"/>
      <c r="E141" s="154"/>
      <c r="F141" s="170">
        <f t="shared" ref="F141:O141" si="19">IF(F$117&lt;$I$26,$F$25,$I$25)</f>
        <v>0.97</v>
      </c>
      <c r="G141" s="170">
        <f t="shared" si="19"/>
        <v>0.97</v>
      </c>
      <c r="H141" s="170">
        <f t="shared" si="19"/>
        <v>0.97</v>
      </c>
      <c r="I141" s="170">
        <f t="shared" si="19"/>
        <v>0.97</v>
      </c>
      <c r="J141" s="170">
        <f t="shared" si="19"/>
        <v>0.97</v>
      </c>
      <c r="K141" s="170">
        <f t="shared" si="19"/>
        <v>0.97</v>
      </c>
      <c r="L141" s="170">
        <f t="shared" si="19"/>
        <v>0.97</v>
      </c>
      <c r="M141" s="170">
        <f t="shared" si="19"/>
        <v>0.97</v>
      </c>
      <c r="N141" s="170">
        <f t="shared" si="19"/>
        <v>0.97</v>
      </c>
      <c r="O141" s="170">
        <f t="shared" si="19"/>
        <v>0.97</v>
      </c>
      <c r="P141" s="122"/>
      <c r="Q141" s="122"/>
      <c r="R141" s="122"/>
      <c r="S141" s="122"/>
      <c r="T141" s="122"/>
      <c r="U141" s="122"/>
      <c r="V141" s="122"/>
      <c r="W141" s="122"/>
      <c r="X141" s="122"/>
      <c r="Y141" s="122"/>
      <c r="Z141" s="122"/>
    </row>
    <row r="142" spans="1:26" ht="12.75" x14ac:dyDescent="0.2">
      <c r="A142" s="147"/>
      <c r="B142" s="169"/>
      <c r="C142" s="155" t="s">
        <v>45</v>
      </c>
      <c r="D142" s="169"/>
      <c r="E142" s="154"/>
      <c r="F142" s="170">
        <f t="shared" ref="F142:O142" si="20">IF(F$117&lt;$M$26,$F$25,$M$25)</f>
        <v>0</v>
      </c>
      <c r="G142" s="170">
        <f t="shared" si="20"/>
        <v>0</v>
      </c>
      <c r="H142" s="170">
        <f t="shared" si="20"/>
        <v>0</v>
      </c>
      <c r="I142" s="170">
        <f t="shared" si="20"/>
        <v>0</v>
      </c>
      <c r="J142" s="170">
        <f t="shared" si="20"/>
        <v>0</v>
      </c>
      <c r="K142" s="170">
        <f t="shared" si="20"/>
        <v>0</v>
      </c>
      <c r="L142" s="170">
        <f t="shared" si="20"/>
        <v>0</v>
      </c>
      <c r="M142" s="170">
        <f t="shared" si="20"/>
        <v>0</v>
      </c>
      <c r="N142" s="170">
        <f t="shared" si="20"/>
        <v>0</v>
      </c>
      <c r="O142" s="170">
        <f t="shared" si="20"/>
        <v>0</v>
      </c>
      <c r="P142" s="122"/>
      <c r="Q142" s="122"/>
      <c r="R142" s="122"/>
      <c r="S142" s="122"/>
      <c r="T142" s="122"/>
      <c r="U142" s="122"/>
      <c r="V142" s="122"/>
      <c r="W142" s="122"/>
      <c r="X142" s="122"/>
      <c r="Y142" s="122"/>
      <c r="Z142" s="122"/>
    </row>
    <row r="143" spans="1:26" ht="12.75" x14ac:dyDescent="0.2">
      <c r="A143" s="147"/>
      <c r="B143" s="147"/>
      <c r="C143" s="122"/>
      <c r="D143" s="147"/>
      <c r="E143" s="167"/>
      <c r="F143" s="147"/>
      <c r="G143" s="147"/>
      <c r="H143" s="147"/>
      <c r="I143" s="147"/>
      <c r="J143" s="147"/>
      <c r="K143" s="147"/>
      <c r="L143" s="147"/>
      <c r="M143" s="147"/>
      <c r="N143" s="147"/>
      <c r="O143" s="122"/>
      <c r="P143" s="122"/>
      <c r="Q143" s="122"/>
      <c r="R143" s="122"/>
      <c r="S143" s="122"/>
      <c r="T143" s="122"/>
      <c r="U143" s="122"/>
      <c r="V143" s="122"/>
      <c r="W143" s="122"/>
      <c r="X143" s="122"/>
      <c r="Y143" s="122"/>
      <c r="Z143" s="122"/>
    </row>
    <row r="144" spans="1:26" s="229" customFormat="1" ht="12.75" x14ac:dyDescent="0.2">
      <c r="A144" s="168" t="s">
        <v>192</v>
      </c>
      <c r="B144" s="168"/>
      <c r="C144" s="150"/>
      <c r="D144" s="171" t="s">
        <v>174</v>
      </c>
      <c r="E144" s="171"/>
      <c r="F144" s="172">
        <v>0</v>
      </c>
      <c r="G144" s="172">
        <v>1</v>
      </c>
      <c r="H144" s="172">
        <v>2</v>
      </c>
      <c r="I144" s="172">
        <v>3</v>
      </c>
      <c r="J144" s="172">
        <v>4</v>
      </c>
      <c r="K144" s="172">
        <v>5</v>
      </c>
      <c r="L144" s="172">
        <v>6</v>
      </c>
      <c r="M144" s="172">
        <v>7</v>
      </c>
      <c r="N144" s="172">
        <v>8</v>
      </c>
      <c r="O144" s="172">
        <v>9</v>
      </c>
      <c r="P144" s="155"/>
      <c r="Q144" s="155"/>
      <c r="R144" s="155"/>
      <c r="S144" s="155"/>
      <c r="T144" s="155"/>
      <c r="U144" s="155"/>
      <c r="V144" s="155"/>
      <c r="W144" s="155"/>
      <c r="X144" s="155"/>
      <c r="Y144" s="155"/>
      <c r="Z144" s="155"/>
    </row>
    <row r="145" spans="1:26" ht="12.75" x14ac:dyDescent="0.2">
      <c r="A145" s="122"/>
      <c r="B145" s="145" t="s">
        <v>194</v>
      </c>
      <c r="C145" s="123"/>
      <c r="D145" s="119"/>
      <c r="E145" s="119"/>
      <c r="F145" s="396"/>
      <c r="G145" s="396"/>
      <c r="H145" s="396"/>
      <c r="I145" s="396"/>
      <c r="J145" s="396"/>
      <c r="K145" s="396"/>
      <c r="L145" s="396"/>
      <c r="M145" s="396"/>
      <c r="N145" s="396"/>
      <c r="O145" s="396"/>
      <c r="P145" s="122"/>
      <c r="Q145" s="122"/>
      <c r="R145" s="122"/>
      <c r="S145" s="122"/>
      <c r="T145" s="122"/>
      <c r="U145" s="122"/>
      <c r="V145" s="122"/>
      <c r="W145" s="122"/>
      <c r="X145" s="122"/>
      <c r="Y145" s="122"/>
      <c r="Z145" s="122"/>
    </row>
    <row r="146" spans="1:26" ht="12.75" x14ac:dyDescent="0.2">
      <c r="A146" s="122"/>
      <c r="B146" s="119"/>
      <c r="C146" s="123" t="s">
        <v>405</v>
      </c>
      <c r="D146" s="119"/>
      <c r="E146" s="119"/>
      <c r="F146" s="125">
        <f t="shared" ref="F146:O146" si="21">F$140*$F$31*F131</f>
        <v>1.2319</v>
      </c>
      <c r="G146" s="125">
        <f t="shared" si="21"/>
        <v>1.2466828000000001</v>
      </c>
      <c r="H146" s="125">
        <f t="shared" si="21"/>
        <v>1.2616429936</v>
      </c>
      <c r="I146" s="125">
        <f t="shared" si="21"/>
        <v>1.2767827095232001</v>
      </c>
      <c r="J146" s="125">
        <f t="shared" si="21"/>
        <v>1.2921041020374784</v>
      </c>
      <c r="K146" s="125">
        <f t="shared" si="21"/>
        <v>1.307609351261928</v>
      </c>
      <c r="L146" s="125">
        <f t="shared" si="21"/>
        <v>1.3233006634770712</v>
      </c>
      <c r="M146" s="125">
        <f t="shared" si="21"/>
        <v>1.3391802714387961</v>
      </c>
      <c r="N146" s="125">
        <f t="shared" si="21"/>
        <v>1.3552504346960617</v>
      </c>
      <c r="O146" s="125">
        <f t="shared" si="21"/>
        <v>1.3715134399124143</v>
      </c>
      <c r="P146" s="122"/>
      <c r="Q146" s="122"/>
      <c r="R146" s="122"/>
      <c r="S146" s="122"/>
      <c r="T146" s="122"/>
      <c r="U146" s="122"/>
      <c r="V146" s="122"/>
      <c r="W146" s="122"/>
      <c r="X146" s="122"/>
      <c r="Y146" s="122"/>
      <c r="Z146" s="122"/>
    </row>
    <row r="147" spans="1:26" ht="12.75" x14ac:dyDescent="0.2">
      <c r="A147" s="122"/>
      <c r="B147" s="119"/>
      <c r="C147" s="123" t="s">
        <v>232</v>
      </c>
      <c r="D147" s="119"/>
      <c r="E147" s="119"/>
      <c r="F147" s="125">
        <f>$F$37*F146</f>
        <v>0.1539875</v>
      </c>
      <c r="G147" s="125">
        <f t="shared" ref="G147:O147" si="22">$F$37*G146</f>
        <v>0.15583535000000001</v>
      </c>
      <c r="H147" s="125">
        <f t="shared" si="22"/>
        <v>0.1577053742</v>
      </c>
      <c r="I147" s="125">
        <f t="shared" si="22"/>
        <v>0.15959783869040001</v>
      </c>
      <c r="J147" s="125">
        <f t="shared" si="22"/>
        <v>0.1615130127546848</v>
      </c>
      <c r="K147" s="125">
        <f t="shared" si="22"/>
        <v>0.163451168907741</v>
      </c>
      <c r="L147" s="125">
        <f t="shared" si="22"/>
        <v>0.1654125829346339</v>
      </c>
      <c r="M147" s="125">
        <f t="shared" si="22"/>
        <v>0.16739753392984952</v>
      </c>
      <c r="N147" s="125">
        <f t="shared" si="22"/>
        <v>0.16940630433700771</v>
      </c>
      <c r="O147" s="125">
        <f t="shared" si="22"/>
        <v>0.17143917998905178</v>
      </c>
      <c r="P147" s="122"/>
      <c r="Q147" s="122"/>
      <c r="R147" s="122"/>
      <c r="S147" s="122"/>
      <c r="T147" s="122"/>
      <c r="U147" s="122"/>
      <c r="V147" s="122"/>
      <c r="W147" s="122"/>
      <c r="X147" s="122"/>
      <c r="Y147" s="122"/>
      <c r="Z147" s="122"/>
    </row>
    <row r="148" spans="1:26" ht="12.75" x14ac:dyDescent="0.2">
      <c r="A148" s="122"/>
      <c r="B148" s="119"/>
      <c r="C148" s="123" t="s">
        <v>406</v>
      </c>
      <c r="D148" s="119"/>
      <c r="E148" s="119"/>
      <c r="F148" s="125">
        <f>$F$28/1000</f>
        <v>0.40200000000000002</v>
      </c>
      <c r="G148" s="125">
        <f t="shared" ref="G148:O148" si="23">$F$28/1000</f>
        <v>0.40200000000000002</v>
      </c>
      <c r="H148" s="125">
        <f t="shared" si="23"/>
        <v>0.40200000000000002</v>
      </c>
      <c r="I148" s="125">
        <f t="shared" si="23"/>
        <v>0.40200000000000002</v>
      </c>
      <c r="J148" s="125">
        <f t="shared" si="23"/>
        <v>0.40200000000000002</v>
      </c>
      <c r="K148" s="125">
        <f t="shared" si="23"/>
        <v>0.40200000000000002</v>
      </c>
      <c r="L148" s="125">
        <f t="shared" si="23"/>
        <v>0.40200000000000002</v>
      </c>
      <c r="M148" s="125">
        <f t="shared" si="23"/>
        <v>0.40200000000000002</v>
      </c>
      <c r="N148" s="125">
        <f t="shared" si="23"/>
        <v>0.40200000000000002</v>
      </c>
      <c r="O148" s="125">
        <f t="shared" si="23"/>
        <v>0.40200000000000002</v>
      </c>
      <c r="P148" s="122"/>
      <c r="Q148" s="122"/>
      <c r="R148" s="122"/>
      <c r="S148" s="122"/>
      <c r="T148" s="122"/>
      <c r="U148" s="122"/>
      <c r="V148" s="122"/>
      <c r="W148" s="122"/>
      <c r="X148" s="122"/>
      <c r="Y148" s="122"/>
      <c r="Z148" s="122"/>
    </row>
    <row r="149" spans="1:26" ht="12.75" x14ac:dyDescent="0.2">
      <c r="A149" s="122"/>
      <c r="B149" s="119"/>
      <c r="C149" s="123" t="s">
        <v>407</v>
      </c>
      <c r="D149" s="119"/>
      <c r="E149" s="119"/>
      <c r="F149" s="125">
        <f t="shared" ref="F149:O149" si="24">$F$62*F$140/1000</f>
        <v>2.4250000000000001E-2</v>
      </c>
      <c r="G149" s="125">
        <f t="shared" si="24"/>
        <v>2.4250000000000001E-2</v>
      </c>
      <c r="H149" s="125">
        <f t="shared" si="24"/>
        <v>2.4250000000000001E-2</v>
      </c>
      <c r="I149" s="125">
        <f t="shared" si="24"/>
        <v>2.4250000000000001E-2</v>
      </c>
      <c r="J149" s="125">
        <f t="shared" si="24"/>
        <v>2.4250000000000001E-2</v>
      </c>
      <c r="K149" s="125">
        <f t="shared" si="24"/>
        <v>2.4250000000000001E-2</v>
      </c>
      <c r="L149" s="125">
        <f t="shared" si="24"/>
        <v>2.4250000000000001E-2</v>
      </c>
      <c r="M149" s="125">
        <f t="shared" si="24"/>
        <v>2.4250000000000001E-2</v>
      </c>
      <c r="N149" s="125">
        <f t="shared" si="24"/>
        <v>2.4250000000000001E-2</v>
      </c>
      <c r="O149" s="125">
        <f t="shared" si="24"/>
        <v>2.4250000000000001E-2</v>
      </c>
      <c r="P149" s="122"/>
      <c r="Q149" s="122"/>
      <c r="R149" s="122"/>
      <c r="S149" s="122"/>
      <c r="T149" s="122"/>
      <c r="U149" s="122"/>
      <c r="V149" s="122"/>
      <c r="W149" s="122"/>
      <c r="X149" s="122"/>
      <c r="Y149" s="122"/>
      <c r="Z149" s="122"/>
    </row>
    <row r="150" spans="1:26" ht="12.75" x14ac:dyDescent="0.2">
      <c r="A150" s="122"/>
      <c r="B150" s="119"/>
      <c r="C150" s="123" t="s">
        <v>408</v>
      </c>
      <c r="D150" s="119"/>
      <c r="E150" s="119"/>
      <c r="F150" s="125">
        <f>F146-F147-F148-F149</f>
        <v>0.65166250000000003</v>
      </c>
      <c r="G150" s="125">
        <f t="shared" ref="G150:O150" si="25">G146-G147-G148-G149</f>
        <v>0.66459745000000003</v>
      </c>
      <c r="H150" s="125">
        <f t="shared" si="25"/>
        <v>0.67768761939999989</v>
      </c>
      <c r="I150" s="125">
        <f t="shared" si="25"/>
        <v>0.69093487083280003</v>
      </c>
      <c r="J150" s="125">
        <f t="shared" si="25"/>
        <v>0.70434108928279349</v>
      </c>
      <c r="K150" s="125">
        <f t="shared" si="25"/>
        <v>0.71790818235418707</v>
      </c>
      <c r="L150" s="125">
        <f t="shared" si="25"/>
        <v>0.7316380805424374</v>
      </c>
      <c r="M150" s="125">
        <f t="shared" si="25"/>
        <v>0.74553273750894666</v>
      </c>
      <c r="N150" s="125">
        <f t="shared" si="25"/>
        <v>0.75959413035905388</v>
      </c>
      <c r="O150" s="125">
        <f t="shared" si="25"/>
        <v>0.77382425992336246</v>
      </c>
      <c r="P150" s="122"/>
      <c r="Q150" s="122"/>
      <c r="R150" s="122"/>
      <c r="S150" s="122"/>
      <c r="T150" s="122"/>
      <c r="U150" s="122"/>
      <c r="V150" s="122"/>
      <c r="W150" s="122"/>
      <c r="X150" s="122"/>
      <c r="Y150" s="122"/>
      <c r="Z150" s="122"/>
    </row>
    <row r="151" spans="1:26" ht="12.75" x14ac:dyDescent="0.2">
      <c r="A151" s="122"/>
      <c r="B151" s="122"/>
      <c r="C151" s="149"/>
      <c r="D151" s="122"/>
      <c r="E151" s="122"/>
      <c r="F151" s="122"/>
      <c r="G151" s="122"/>
      <c r="H151" s="122"/>
      <c r="I151" s="122"/>
      <c r="J151" s="122"/>
      <c r="K151" s="122"/>
      <c r="L151" s="122"/>
      <c r="M151" s="122"/>
      <c r="N151" s="122"/>
      <c r="O151" s="122"/>
      <c r="P151" s="122"/>
      <c r="Q151" s="122"/>
      <c r="R151" s="122"/>
      <c r="S151" s="122"/>
      <c r="T151" s="122"/>
      <c r="U151" s="122"/>
      <c r="V151" s="122"/>
      <c r="W151" s="122"/>
      <c r="X151" s="122"/>
      <c r="Y151" s="122"/>
      <c r="Z151" s="122"/>
    </row>
    <row r="152" spans="1:26" ht="12.75" x14ac:dyDescent="0.2">
      <c r="A152" s="122"/>
      <c r="B152" s="145" t="s">
        <v>197</v>
      </c>
      <c r="C152" s="123"/>
      <c r="D152" s="119"/>
      <c r="E152" s="119"/>
      <c r="F152" s="396"/>
      <c r="G152" s="396"/>
      <c r="H152" s="396"/>
      <c r="I152" s="396"/>
      <c r="J152" s="396"/>
      <c r="K152" s="396"/>
      <c r="L152" s="396"/>
      <c r="M152" s="396"/>
      <c r="N152" s="396"/>
      <c r="O152" s="396"/>
      <c r="P152" s="122"/>
      <c r="Q152" s="122"/>
      <c r="R152" s="122"/>
      <c r="S152" s="122"/>
      <c r="T152" s="122"/>
      <c r="U152" s="122"/>
      <c r="V152" s="122"/>
      <c r="W152" s="122"/>
      <c r="X152" s="122"/>
      <c r="Y152" s="122"/>
      <c r="Z152" s="122"/>
    </row>
    <row r="153" spans="1:26" ht="12.75" x14ac:dyDescent="0.2">
      <c r="A153" s="122"/>
      <c r="B153" s="119"/>
      <c r="C153" s="123" t="s">
        <v>405</v>
      </c>
      <c r="D153" s="119"/>
      <c r="E153" s="119"/>
      <c r="F153" s="125">
        <f t="shared" ref="F153:O153" si="26">MIN(F$141*$I$31*F$133,$I$32*F$141)</f>
        <v>1.94</v>
      </c>
      <c r="G153" s="125">
        <f t="shared" si="26"/>
        <v>1.9884999999999997</v>
      </c>
      <c r="H153" s="125">
        <f t="shared" si="26"/>
        <v>2.0382124999999998</v>
      </c>
      <c r="I153" s="125">
        <f t="shared" si="26"/>
        <v>2.0891678124999995</v>
      </c>
      <c r="J153" s="125">
        <f t="shared" si="26"/>
        <v>2.1413970078124995</v>
      </c>
      <c r="K153" s="125">
        <f t="shared" si="26"/>
        <v>2.1949319330078119</v>
      </c>
      <c r="L153" s="125">
        <f t="shared" si="26"/>
        <v>2.2498052313330068</v>
      </c>
      <c r="M153" s="125">
        <f t="shared" si="26"/>
        <v>2.306050362116332</v>
      </c>
      <c r="N153" s="125">
        <f t="shared" si="26"/>
        <v>2.3637016211692399</v>
      </c>
      <c r="O153" s="125">
        <f t="shared" si="26"/>
        <v>2.4227941616984703</v>
      </c>
      <c r="P153" s="122"/>
      <c r="Q153" s="122"/>
      <c r="R153" s="122"/>
      <c r="S153" s="122"/>
      <c r="T153" s="122"/>
      <c r="U153" s="122"/>
      <c r="V153" s="122"/>
      <c r="W153" s="122"/>
      <c r="X153" s="122"/>
      <c r="Y153" s="122"/>
      <c r="Z153" s="122"/>
    </row>
    <row r="154" spans="1:26" ht="12.75" x14ac:dyDescent="0.2">
      <c r="A154" s="122"/>
      <c r="B154" s="119"/>
      <c r="C154" s="123" t="s">
        <v>232</v>
      </c>
      <c r="D154" s="119"/>
      <c r="E154" s="119"/>
      <c r="F154" s="125">
        <f>$I$37*F153</f>
        <v>0.24249999999999999</v>
      </c>
      <c r="G154" s="125">
        <f t="shared" ref="G154:O154" si="27">$I$37*G153</f>
        <v>0.24856249999999996</v>
      </c>
      <c r="H154" s="125">
        <f t="shared" si="27"/>
        <v>0.25477656249999997</v>
      </c>
      <c r="I154" s="125">
        <f t="shared" si="27"/>
        <v>0.26114597656249994</v>
      </c>
      <c r="J154" s="125">
        <f t="shared" si="27"/>
        <v>0.26767462597656244</v>
      </c>
      <c r="K154" s="125">
        <f t="shared" si="27"/>
        <v>0.27436649162597648</v>
      </c>
      <c r="L154" s="125">
        <f t="shared" si="27"/>
        <v>0.28122565391662585</v>
      </c>
      <c r="M154" s="125">
        <f t="shared" si="27"/>
        <v>0.2882562952645415</v>
      </c>
      <c r="N154" s="125">
        <f t="shared" si="27"/>
        <v>0.29546270264615498</v>
      </c>
      <c r="O154" s="125">
        <f t="shared" si="27"/>
        <v>0.30284927021230879</v>
      </c>
      <c r="P154" s="122"/>
      <c r="Q154" s="122"/>
      <c r="R154" s="122"/>
      <c r="S154" s="122"/>
      <c r="T154" s="122"/>
      <c r="U154" s="122"/>
      <c r="V154" s="122"/>
      <c r="W154" s="122"/>
      <c r="X154" s="122"/>
      <c r="Y154" s="122"/>
      <c r="Z154" s="122"/>
    </row>
    <row r="155" spans="1:26" ht="12.75" x14ac:dyDescent="0.2">
      <c r="A155" s="122"/>
      <c r="B155" s="119"/>
      <c r="C155" s="123" t="s">
        <v>406</v>
      </c>
      <c r="D155" s="119"/>
      <c r="E155" s="119"/>
      <c r="F155" s="125">
        <f>$I$28/1000</f>
        <v>0.4824</v>
      </c>
      <c r="G155" s="125">
        <f t="shared" ref="G155:O155" si="28">$I$28/1000</f>
        <v>0.4824</v>
      </c>
      <c r="H155" s="125">
        <f t="shared" si="28"/>
        <v>0.4824</v>
      </c>
      <c r="I155" s="125">
        <f t="shared" si="28"/>
        <v>0.4824</v>
      </c>
      <c r="J155" s="125">
        <f t="shared" si="28"/>
        <v>0.4824</v>
      </c>
      <c r="K155" s="125">
        <f t="shared" si="28"/>
        <v>0.4824</v>
      </c>
      <c r="L155" s="125">
        <f t="shared" si="28"/>
        <v>0.4824</v>
      </c>
      <c r="M155" s="125">
        <f t="shared" si="28"/>
        <v>0.4824</v>
      </c>
      <c r="N155" s="125">
        <f t="shared" si="28"/>
        <v>0.4824</v>
      </c>
      <c r="O155" s="125">
        <f t="shared" si="28"/>
        <v>0.4824</v>
      </c>
      <c r="P155" s="122"/>
      <c r="Q155" s="122"/>
      <c r="R155" s="122"/>
      <c r="S155" s="122"/>
      <c r="T155" s="122"/>
      <c r="U155" s="122"/>
      <c r="V155" s="122"/>
      <c r="W155" s="122"/>
      <c r="X155" s="122"/>
      <c r="Y155" s="122"/>
      <c r="Z155" s="122"/>
    </row>
    <row r="156" spans="1:26" ht="12.75" x14ac:dyDescent="0.2">
      <c r="A156" s="122"/>
      <c r="B156" s="119"/>
      <c r="C156" s="123" t="s">
        <v>407</v>
      </c>
      <c r="D156" s="119"/>
      <c r="E156" s="119"/>
      <c r="F156" s="125">
        <f t="shared" ref="F156:O156" si="29">$I$62*F$141/1000</f>
        <v>4.8499999999999993E-3</v>
      </c>
      <c r="G156" s="125">
        <f t="shared" si="29"/>
        <v>4.8499999999999993E-3</v>
      </c>
      <c r="H156" s="125">
        <f t="shared" si="29"/>
        <v>4.8499999999999993E-3</v>
      </c>
      <c r="I156" s="125">
        <f t="shared" si="29"/>
        <v>4.8499999999999993E-3</v>
      </c>
      <c r="J156" s="125">
        <f t="shared" si="29"/>
        <v>4.8499999999999993E-3</v>
      </c>
      <c r="K156" s="125">
        <f t="shared" si="29"/>
        <v>4.8499999999999993E-3</v>
      </c>
      <c r="L156" s="125">
        <f t="shared" si="29"/>
        <v>4.8499999999999993E-3</v>
      </c>
      <c r="M156" s="125">
        <f t="shared" si="29"/>
        <v>4.8499999999999993E-3</v>
      </c>
      <c r="N156" s="125">
        <f t="shared" si="29"/>
        <v>4.8499999999999993E-3</v>
      </c>
      <c r="O156" s="125">
        <f t="shared" si="29"/>
        <v>4.8499999999999993E-3</v>
      </c>
      <c r="P156" s="122"/>
      <c r="Q156" s="122"/>
      <c r="R156" s="122"/>
      <c r="S156" s="122"/>
      <c r="T156" s="122"/>
      <c r="U156" s="122"/>
      <c r="V156" s="122"/>
      <c r="W156" s="122"/>
      <c r="X156" s="122"/>
      <c r="Y156" s="122"/>
      <c r="Z156" s="122"/>
    </row>
    <row r="157" spans="1:26" ht="12.75" x14ac:dyDescent="0.2">
      <c r="A157" s="122"/>
      <c r="B157" s="119"/>
      <c r="C157" s="123" t="s">
        <v>408</v>
      </c>
      <c r="D157" s="119"/>
      <c r="E157" s="119"/>
      <c r="F157" s="125">
        <f>F153-F154-F155-F156</f>
        <v>1.21025</v>
      </c>
      <c r="G157" s="125">
        <f t="shared" ref="G157:O157" si="30">G153-G154-G155-G156</f>
        <v>1.2526874999999997</v>
      </c>
      <c r="H157" s="125">
        <f t="shared" si="30"/>
        <v>1.2961859374999998</v>
      </c>
      <c r="I157" s="125">
        <f t="shared" si="30"/>
        <v>1.3407718359374996</v>
      </c>
      <c r="J157" s="125">
        <f t="shared" si="30"/>
        <v>1.386472381835937</v>
      </c>
      <c r="K157" s="125">
        <f t="shared" si="30"/>
        <v>1.4333154413818354</v>
      </c>
      <c r="L157" s="125">
        <f t="shared" si="30"/>
        <v>1.481329577416381</v>
      </c>
      <c r="M157" s="125">
        <f t="shared" si="30"/>
        <v>1.5305440668517907</v>
      </c>
      <c r="N157" s="125">
        <f t="shared" si="30"/>
        <v>1.5809889185230848</v>
      </c>
      <c r="O157" s="125">
        <f t="shared" si="30"/>
        <v>1.6326948914861616</v>
      </c>
      <c r="P157" s="122"/>
      <c r="Q157" s="122"/>
      <c r="R157" s="122"/>
      <c r="S157" s="122"/>
      <c r="T157" s="122"/>
      <c r="U157" s="122"/>
      <c r="V157" s="122"/>
      <c r="W157" s="122"/>
      <c r="X157" s="122"/>
      <c r="Y157" s="122"/>
      <c r="Z157" s="122"/>
    </row>
    <row r="158" spans="1:26" ht="12.75" x14ac:dyDescent="0.2">
      <c r="A158" s="122"/>
      <c r="B158" s="122"/>
      <c r="C158" s="122"/>
      <c r="D158" s="122"/>
      <c r="E158" s="173"/>
      <c r="F158" s="126"/>
      <c r="G158" s="126"/>
      <c r="H158" s="126"/>
      <c r="I158" s="126"/>
      <c r="J158" s="126"/>
      <c r="K158" s="126"/>
      <c r="L158" s="126"/>
      <c r="M158" s="126"/>
      <c r="N158" s="126"/>
      <c r="O158" s="126"/>
      <c r="P158" s="122"/>
      <c r="Q158" s="122"/>
      <c r="R158" s="122"/>
      <c r="S158" s="122"/>
      <c r="T158" s="122"/>
      <c r="U158" s="122"/>
      <c r="V158" s="122"/>
      <c r="W158" s="122"/>
      <c r="X158" s="122"/>
      <c r="Y158" s="122"/>
      <c r="Z158" s="122"/>
    </row>
    <row r="159" spans="1:26" ht="12.75" x14ac:dyDescent="0.2">
      <c r="A159" s="122"/>
      <c r="B159" s="145" t="s">
        <v>225</v>
      </c>
      <c r="C159" s="119"/>
      <c r="D159" s="119"/>
      <c r="E159" s="119"/>
      <c r="F159" s="125"/>
      <c r="G159" s="125"/>
      <c r="H159" s="125"/>
      <c r="I159" s="125"/>
      <c r="J159" s="125"/>
      <c r="K159" s="125"/>
      <c r="L159" s="125"/>
      <c r="M159" s="125"/>
      <c r="N159" s="125"/>
      <c r="O159" s="125"/>
      <c r="P159" s="122"/>
      <c r="Q159" s="122"/>
      <c r="R159" s="122"/>
      <c r="S159" s="122"/>
      <c r="T159" s="122"/>
      <c r="U159" s="122"/>
      <c r="V159" s="122"/>
      <c r="W159" s="122"/>
      <c r="X159" s="122"/>
      <c r="Y159" s="122"/>
      <c r="Z159" s="122"/>
    </row>
    <row r="160" spans="1:26" ht="12.75" x14ac:dyDescent="0.2">
      <c r="A160" s="122"/>
      <c r="B160" s="119"/>
      <c r="C160" s="123" t="s">
        <v>405</v>
      </c>
      <c r="D160" s="119"/>
      <c r="E160" s="119"/>
      <c r="F160" s="125">
        <f>F146*$F$88*F$120*(1+$F$92)</f>
        <v>92.392499999999998</v>
      </c>
      <c r="G160" s="125">
        <f>G146*$F$88*G$120*(1+$F$92)</f>
        <v>100.88780559</v>
      </c>
      <c r="H160" s="125">
        <f>H146*$F$88*H$120*(1+$F$92)</f>
        <v>110.1642375383893</v>
      </c>
      <c r="I160" s="125">
        <f>I146*$F$88*I$120*(1+$F$92)</f>
        <v>120.29361885156914</v>
      </c>
      <c r="J160" s="125">
        <f>J146*$F$88*J$120*(1+$F$92)</f>
        <v>131.35437651773321</v>
      </c>
      <c r="K160" s="125">
        <f>K146*$F$88*K$120*(1+$F$92)</f>
        <v>143.43214872978572</v>
      </c>
      <c r="L160" s="125">
        <f>L146*$F$88*L$120*(1+$F$92)</f>
        <v>156.62044794119208</v>
      </c>
      <c r="M160" s="125">
        <f>M146*$F$88*M$120*(1+$F$92)</f>
        <v>171.0213848884888</v>
      </c>
      <c r="N160" s="125">
        <f>N146*$F$88*N$120*(1+$F$92)</f>
        <v>186.74645918621556</v>
      </c>
      <c r="O160" s="125">
        <f>O146*$F$88*O$120*(1+$F$92)</f>
        <v>203.91742261546969</v>
      </c>
      <c r="P160" s="122"/>
      <c r="Q160" s="122"/>
      <c r="R160" s="122"/>
      <c r="S160" s="122"/>
      <c r="T160" s="122"/>
      <c r="U160" s="122"/>
      <c r="V160" s="122"/>
      <c r="W160" s="122"/>
      <c r="X160" s="122"/>
      <c r="Y160" s="122"/>
      <c r="Z160" s="122"/>
    </row>
    <row r="161" spans="1:26" ht="12.75" x14ac:dyDescent="0.2">
      <c r="A161" s="122"/>
      <c r="B161" s="119"/>
      <c r="C161" s="123" t="s">
        <v>231</v>
      </c>
      <c r="D161" s="119"/>
      <c r="E161" s="119"/>
      <c r="F161" s="125">
        <f>F147*$F$88*F$120*(1+$F$92)</f>
        <v>11.5490625</v>
      </c>
      <c r="G161" s="125">
        <f>G147*$F$88*G$120*(1+$F$92)</f>
        <v>12.61097569875</v>
      </c>
      <c r="H161" s="125">
        <f>H147*$F$88*H$120*(1+$F$92)</f>
        <v>13.770529692298663</v>
      </c>
      <c r="I161" s="125">
        <f>I147*$F$88*I$120*(1+$F$92)</f>
        <v>15.036702356446142</v>
      </c>
      <c r="J161" s="125">
        <f>J147*$F$88*J$120*(1+$F$92)</f>
        <v>16.419297064716652</v>
      </c>
      <c r="K161" s="125">
        <f>K147*$F$88*K$120*(1+$F$92)</f>
        <v>17.929018591223215</v>
      </c>
      <c r="L161" s="125">
        <f>L147*$F$88*L$120*(1+$F$92)</f>
        <v>19.57755599264901</v>
      </c>
      <c r="M161" s="125">
        <f>M147*$F$88*M$120*(1+$F$92)</f>
        <v>21.3776731110611</v>
      </c>
      <c r="N161" s="125">
        <f>N147*$F$88*N$120*(1+$F$92)</f>
        <v>23.343307398276945</v>
      </c>
      <c r="O161" s="125">
        <f>O147*$F$88*O$120*(1+$F$92)</f>
        <v>25.489677826933711</v>
      </c>
      <c r="P161" s="122"/>
      <c r="Q161" s="122"/>
      <c r="R161" s="122"/>
      <c r="S161" s="122"/>
      <c r="T161" s="122"/>
      <c r="U161" s="122"/>
      <c r="V161" s="122"/>
      <c r="W161" s="122"/>
      <c r="X161" s="122"/>
      <c r="Y161" s="122"/>
      <c r="Z161" s="122"/>
    </row>
    <row r="162" spans="1:26" ht="12.75" x14ac:dyDescent="0.2">
      <c r="A162" s="122"/>
      <c r="B162" s="119"/>
      <c r="C162" s="395" t="s">
        <v>881</v>
      </c>
      <c r="D162" s="119"/>
      <c r="E162" s="119"/>
      <c r="F162" s="125">
        <f>F148*$F$88*F$120*(1+$F$92)</f>
        <v>30.150000000000002</v>
      </c>
      <c r="G162" s="125">
        <f>G148*$F$88*G$120*(1+$F$92)</f>
        <v>32.531849999999999</v>
      </c>
      <c r="H162" s="125">
        <f>H148*$F$88*H$120*(1+$F$92)</f>
        <v>35.101866149999999</v>
      </c>
      <c r="I162" s="125">
        <f>I148*$F$88*I$120*(1+$F$92)</f>
        <v>37.874913575850002</v>
      </c>
      <c r="J162" s="125">
        <f>J148*$F$88*J$120*(1+$F$92)</f>
        <v>40.86703174834215</v>
      </c>
      <c r="K162" s="125">
        <f>K148*$F$88*K$120*(1+$F$92)</f>
        <v>44.095527256461175</v>
      </c>
      <c r="L162" s="125">
        <f>L148*$F$88*L$120*(1+$F$92)</f>
        <v>47.579073909721608</v>
      </c>
      <c r="M162" s="125">
        <f>M148*$F$88*M$120*(1+$F$92)</f>
        <v>51.337820748589614</v>
      </c>
      <c r="N162" s="125">
        <f>N148*$F$88*N$120*(1+$F$92)</f>
        <v>55.393508587728192</v>
      </c>
      <c r="O162" s="125">
        <f>O148*$F$88*O$120*(1+$F$92)</f>
        <v>59.769595766158716</v>
      </c>
      <c r="P162" s="122"/>
      <c r="Q162" s="122"/>
      <c r="R162" s="122"/>
      <c r="S162" s="122"/>
      <c r="T162" s="122"/>
      <c r="U162" s="122"/>
      <c r="V162" s="122"/>
      <c r="W162" s="122"/>
      <c r="X162" s="122"/>
      <c r="Y162" s="122"/>
      <c r="Z162" s="122"/>
    </row>
    <row r="163" spans="1:26" ht="12.75" x14ac:dyDescent="0.2">
      <c r="A163" s="122"/>
      <c r="B163" s="119"/>
      <c r="C163" s="395" t="s">
        <v>880</v>
      </c>
      <c r="D163" s="119"/>
      <c r="E163" s="119"/>
      <c r="F163" s="125">
        <f>F149*$F$88*F$120*(1+$F$92)</f>
        <v>1.8187500000000001</v>
      </c>
      <c r="G163" s="125">
        <f>G149*$F$88*G$120*(1+$F$92)</f>
        <v>1.9624312500000001</v>
      </c>
      <c r="H163" s="125">
        <f>H149*$F$88*H$120*(1+$F$92)</f>
        <v>2.11746331875</v>
      </c>
      <c r="I163" s="125">
        <f>I149*$F$88*I$120*(1+$F$92)</f>
        <v>2.28474292093125</v>
      </c>
      <c r="J163" s="125">
        <f>J149*$F$88*J$120*(1+$F$92)</f>
        <v>2.4652376116848185</v>
      </c>
      <c r="K163" s="125">
        <f>K149*$F$88*K$120*(1+$F$92)</f>
        <v>2.6599913830079194</v>
      </c>
      <c r="L163" s="125">
        <f>L149*$F$88*L$120*(1+$F$92)</f>
        <v>2.8701307022655449</v>
      </c>
      <c r="M163" s="125">
        <f>M149*$F$88*M$120*(1+$F$92)</f>
        <v>3.0968710277445228</v>
      </c>
      <c r="N163" s="125">
        <f>N149*$F$88*N$120*(1+$F$92)</f>
        <v>3.34152383893634</v>
      </c>
      <c r="O163" s="125">
        <f>O149*$F$88*O$120*(1+$F$92)</f>
        <v>3.6055042222123106</v>
      </c>
      <c r="P163" s="122"/>
      <c r="Q163" s="122"/>
      <c r="R163" s="122"/>
      <c r="S163" s="122"/>
      <c r="T163" s="122"/>
      <c r="U163" s="122"/>
      <c r="V163" s="122"/>
      <c r="W163" s="122"/>
      <c r="X163" s="122"/>
      <c r="Y163" s="122"/>
      <c r="Z163" s="122"/>
    </row>
    <row r="164" spans="1:26" ht="12.75" x14ac:dyDescent="0.2">
      <c r="A164" s="122"/>
      <c r="B164" s="119"/>
      <c r="C164" s="175" t="s">
        <v>408</v>
      </c>
      <c r="D164" s="176"/>
      <c r="E164" s="176"/>
      <c r="F164" s="178">
        <f>F160-F161-F162-F163</f>
        <v>48.874687499999986</v>
      </c>
      <c r="G164" s="178">
        <f t="shared" ref="G164:O164" si="31">G160-G161-G162-G163</f>
        <v>53.782548641250003</v>
      </c>
      <c r="H164" s="178">
        <f t="shared" si="31"/>
        <v>59.174378377340638</v>
      </c>
      <c r="I164" s="178">
        <f t="shared" si="31"/>
        <v>65.097259998341741</v>
      </c>
      <c r="J164" s="178">
        <f t="shared" si="31"/>
        <v>71.602810092989586</v>
      </c>
      <c r="K164" s="178">
        <f t="shared" si="31"/>
        <v>78.747611499093424</v>
      </c>
      <c r="L164" s="178">
        <f t="shared" si="31"/>
        <v>86.593687336555902</v>
      </c>
      <c r="M164" s="178">
        <f t="shared" si="31"/>
        <v>95.209020001093563</v>
      </c>
      <c r="N164" s="178">
        <f t="shared" si="31"/>
        <v>104.66811936127408</v>
      </c>
      <c r="O164" s="178">
        <f t="shared" si="31"/>
        <v>115.05264480016496</v>
      </c>
      <c r="P164" s="122"/>
      <c r="Q164" s="122"/>
      <c r="R164" s="122"/>
      <c r="S164" s="122"/>
      <c r="T164" s="122"/>
      <c r="U164" s="122"/>
      <c r="V164" s="122"/>
      <c r="W164" s="122"/>
      <c r="X164" s="122"/>
      <c r="Y164" s="122"/>
      <c r="Z164" s="122"/>
    </row>
    <row r="165" spans="1:26" ht="12.75" x14ac:dyDescent="0.2">
      <c r="A165" s="122"/>
      <c r="B165" s="122"/>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row>
    <row r="166" spans="1:26" ht="12.75" x14ac:dyDescent="0.2">
      <c r="A166" s="122"/>
      <c r="B166" s="145" t="s">
        <v>224</v>
      </c>
      <c r="C166" s="119"/>
      <c r="D166" s="119"/>
      <c r="E166" s="119"/>
      <c r="F166" s="119"/>
      <c r="G166" s="119"/>
      <c r="H166" s="119"/>
      <c r="I166" s="119"/>
      <c r="J166" s="119"/>
      <c r="K166" s="119"/>
      <c r="L166" s="119"/>
      <c r="M166" s="119"/>
      <c r="N166" s="119"/>
      <c r="O166" s="119"/>
      <c r="P166" s="122"/>
      <c r="Q166" s="122"/>
      <c r="R166" s="122"/>
      <c r="S166" s="122"/>
      <c r="T166" s="122"/>
      <c r="U166" s="122"/>
      <c r="V166" s="122"/>
      <c r="W166" s="122"/>
      <c r="X166" s="122"/>
      <c r="Y166" s="122"/>
      <c r="Z166" s="122"/>
    </row>
    <row r="167" spans="1:26" ht="12.75" x14ac:dyDescent="0.2">
      <c r="A167" s="122"/>
      <c r="B167" s="119"/>
      <c r="C167" s="123" t="s">
        <v>405</v>
      </c>
      <c r="D167" s="119"/>
      <c r="E167" s="119"/>
      <c r="F167" s="125">
        <f>F153*$I$88*F$120*(1+$F$92)</f>
        <v>145.5</v>
      </c>
      <c r="G167" s="125">
        <f>G153*$I$88*G$120*(1+$F$92)</f>
        <v>160.91936249999998</v>
      </c>
      <c r="H167" s="125">
        <f>H153*$I$88*H$120*(1+$F$92)</f>
        <v>177.97279194093744</v>
      </c>
      <c r="I167" s="125">
        <f>I153*$I$88*I$120*(1+$F$92)</f>
        <v>196.83345856687828</v>
      </c>
      <c r="J167" s="125">
        <f>J153*$I$88*J$120*(1+$F$92)</f>
        <v>217.69288433850321</v>
      </c>
      <c r="K167" s="125">
        <f>K153*$I$88*K$120*(1+$F$92)</f>
        <v>240.76288775627606</v>
      </c>
      <c r="L167" s="125">
        <f>L153*$I$88*L$120*(1+$F$92)</f>
        <v>266.27773478624738</v>
      </c>
      <c r="M167" s="125">
        <f>M153*$I$88*M$120*(1+$F$92)</f>
        <v>294.49651773021992</v>
      </c>
      <c r="N167" s="125">
        <f>N153*$I$88*N$120*(1+$F$92)</f>
        <v>325.70578619667987</v>
      </c>
      <c r="O167" s="125">
        <f>O153*$I$88*O$120*(1+$F$92)</f>
        <v>360.22245688887301</v>
      </c>
      <c r="P167" s="122"/>
      <c r="Q167" s="122"/>
      <c r="R167" s="122"/>
      <c r="S167" s="122"/>
      <c r="T167" s="122"/>
      <c r="U167" s="122"/>
      <c r="V167" s="122"/>
      <c r="W167" s="122"/>
      <c r="X167" s="122"/>
      <c r="Y167" s="122"/>
      <c r="Z167" s="122"/>
    </row>
    <row r="168" spans="1:26" ht="12.75" x14ac:dyDescent="0.2">
      <c r="A168" s="122"/>
      <c r="B168" s="119"/>
      <c r="C168" s="123" t="s">
        <v>231</v>
      </c>
      <c r="D168" s="119"/>
      <c r="E168" s="119"/>
      <c r="F168" s="125">
        <f>F154*$I$88*F$120*(1+$F$92)</f>
        <v>18.1875</v>
      </c>
      <c r="G168" s="125">
        <f>G154*$I$88*G$120*(1+$F$92)</f>
        <v>20.114920312499997</v>
      </c>
      <c r="H168" s="125">
        <f>H154*$I$88*H$120*(1+$F$92)</f>
        <v>22.24659899261718</v>
      </c>
      <c r="I168" s="125">
        <f>I154*$I$88*I$120*(1+$F$92)</f>
        <v>24.604182320859785</v>
      </c>
      <c r="J168" s="125">
        <f>J154*$I$88*J$120*(1+$F$92)</f>
        <v>27.211610542312901</v>
      </c>
      <c r="K168" s="125">
        <f>K154*$I$88*K$120*(1+$F$92)</f>
        <v>30.095360969534507</v>
      </c>
      <c r="L168" s="125">
        <f>L154*$I$88*L$120*(1+$F$92)</f>
        <v>33.284716848280922</v>
      </c>
      <c r="M168" s="125">
        <f>M154*$I$88*M$120*(1+$F$92)</f>
        <v>36.81206471627749</v>
      </c>
      <c r="N168" s="125">
        <f>N154*$I$88*N$120*(1+$F$92)</f>
        <v>40.713223274584983</v>
      </c>
      <c r="O168" s="125">
        <f>O154*$I$88*O$120*(1+$F$92)</f>
        <v>45.027807111109126</v>
      </c>
      <c r="P168" s="122"/>
      <c r="Q168" s="122"/>
      <c r="R168" s="122"/>
      <c r="S168" s="122"/>
      <c r="T168" s="122"/>
      <c r="U168" s="122"/>
      <c r="V168" s="122"/>
      <c r="W168" s="122"/>
      <c r="X168" s="122"/>
      <c r="Y168" s="122"/>
      <c r="Z168" s="122"/>
    </row>
    <row r="169" spans="1:26" ht="12.75" x14ac:dyDescent="0.2">
      <c r="A169" s="122"/>
      <c r="B169" s="119"/>
      <c r="C169" s="395" t="s">
        <v>881</v>
      </c>
      <c r="D169" s="119"/>
      <c r="E169" s="119"/>
      <c r="F169" s="125">
        <f>F155*$I$88*F$120*(1+$F$92)</f>
        <v>36.18</v>
      </c>
      <c r="G169" s="125">
        <f>G155*$I$88*G$120*(1+$F$92)</f>
        <v>39.038219999999995</v>
      </c>
      <c r="H169" s="125">
        <f>H155*$I$88*H$120*(1+$F$92)</f>
        <v>42.122239379999996</v>
      </c>
      <c r="I169" s="125">
        <f>I155*$I$88*I$120*(1+$F$92)</f>
        <v>45.449896291019996</v>
      </c>
      <c r="J169" s="125">
        <f>J155*$I$88*J$120*(1+$F$92)</f>
        <v>49.040438098010576</v>
      </c>
      <c r="K169" s="125">
        <f>K155*$I$88*K$120*(1+$F$92)</f>
        <v>52.914632707753405</v>
      </c>
      <c r="L169" s="125">
        <f>L155*$I$88*L$120*(1+$F$92)</f>
        <v>57.094888691665929</v>
      </c>
      <c r="M169" s="125">
        <f>M155*$I$88*M$120*(1+$F$92)</f>
        <v>61.605384898307534</v>
      </c>
      <c r="N169" s="125">
        <f>N155*$I$88*N$120*(1+$F$92)</f>
        <v>66.472210305273819</v>
      </c>
      <c r="O169" s="125">
        <f>O155*$I$88*O$120*(1+$F$92)</f>
        <v>71.723514919390453</v>
      </c>
      <c r="P169" s="122"/>
      <c r="Q169" s="122"/>
      <c r="R169" s="122"/>
      <c r="S169" s="122"/>
      <c r="T169" s="122"/>
      <c r="U169" s="122"/>
      <c r="V169" s="122"/>
      <c r="W169" s="122"/>
      <c r="X169" s="122"/>
      <c r="Y169" s="122"/>
      <c r="Z169" s="122"/>
    </row>
    <row r="170" spans="1:26" ht="12.75" x14ac:dyDescent="0.2">
      <c r="A170" s="122"/>
      <c r="B170" s="119"/>
      <c r="C170" s="395" t="s">
        <v>880</v>
      </c>
      <c r="D170" s="119"/>
      <c r="E170" s="119"/>
      <c r="F170" s="125">
        <f>F156*$I$88*F$120*(1+$F$92)</f>
        <v>0.36374999999999996</v>
      </c>
      <c r="G170" s="125">
        <f>G156*$I$88*G$120*(1+$F$92)</f>
        <v>0.39248624999999993</v>
      </c>
      <c r="H170" s="125">
        <f>H156*$I$88*H$120*(1+$F$92)</f>
        <v>0.42349266374999989</v>
      </c>
      <c r="I170" s="125">
        <f>I156*$I$88*I$120*(1+$F$92)</f>
        <v>0.4569485841862499</v>
      </c>
      <c r="J170" s="125">
        <f>J156*$I$88*J$120*(1+$F$92)</f>
        <v>0.49304752233696364</v>
      </c>
      <c r="K170" s="125">
        <f>K156*$I$88*K$120*(1+$F$92)</f>
        <v>0.53199827660158372</v>
      </c>
      <c r="L170" s="125">
        <f>L156*$I$88*L$120*(1+$F$92)</f>
        <v>0.57402614045310885</v>
      </c>
      <c r="M170" s="125">
        <f>M156*$I$88*M$120*(1+$F$92)</f>
        <v>0.61937420554890443</v>
      </c>
      <c r="N170" s="125">
        <f>N156*$I$88*N$120*(1+$F$92)</f>
        <v>0.66830476778726788</v>
      </c>
      <c r="O170" s="125">
        <f>O156*$I$88*O$120*(1+$F$92)</f>
        <v>0.72110084444246203</v>
      </c>
      <c r="P170" s="122"/>
      <c r="Q170" s="122"/>
      <c r="R170" s="122"/>
      <c r="S170" s="122"/>
      <c r="T170" s="122"/>
      <c r="U170" s="122"/>
      <c r="V170" s="122"/>
      <c r="W170" s="122"/>
      <c r="X170" s="122"/>
      <c r="Y170" s="122"/>
      <c r="Z170" s="122"/>
    </row>
    <row r="171" spans="1:26" ht="12.75" x14ac:dyDescent="0.2">
      <c r="A171" s="122"/>
      <c r="B171" s="119"/>
      <c r="C171" s="175" t="s">
        <v>408</v>
      </c>
      <c r="D171" s="176"/>
      <c r="E171" s="176"/>
      <c r="F171" s="178">
        <f t="shared" ref="F171:O171" si="32">F167-F168-F169-F170</f>
        <v>90.768749999999997</v>
      </c>
      <c r="G171" s="178">
        <f t="shared" si="32"/>
        <v>101.37373593749997</v>
      </c>
      <c r="H171" s="178">
        <f t="shared" si="32"/>
        <v>113.18046090457027</v>
      </c>
      <c r="I171" s="178">
        <f>I167-I168-I169-I170</f>
        <v>126.32243137081224</v>
      </c>
      <c r="J171" s="178">
        <f t="shared" si="32"/>
        <v>140.94778817584276</v>
      </c>
      <c r="K171" s="178">
        <f t="shared" si="32"/>
        <v>157.22089580238656</v>
      </c>
      <c r="L171" s="178">
        <f t="shared" si="32"/>
        <v>175.32410310584743</v>
      </c>
      <c r="M171" s="178">
        <f t="shared" si="32"/>
        <v>195.45969391008597</v>
      </c>
      <c r="N171" s="178">
        <f t="shared" si="32"/>
        <v>217.85204784903377</v>
      </c>
      <c r="O171" s="178">
        <f t="shared" si="32"/>
        <v>242.75003401393093</v>
      </c>
      <c r="P171" s="122"/>
      <c r="Q171" s="122"/>
      <c r="R171" s="122"/>
      <c r="S171" s="122"/>
      <c r="T171" s="122"/>
      <c r="U171" s="122"/>
      <c r="V171" s="122"/>
      <c r="W171" s="122"/>
      <c r="X171" s="122"/>
      <c r="Y171" s="122"/>
      <c r="Z171" s="122"/>
    </row>
    <row r="172" spans="1:26" ht="12.75" x14ac:dyDescent="0.2">
      <c r="A172" s="122"/>
      <c r="B172" s="122"/>
      <c r="C172" s="122"/>
      <c r="D172" s="122"/>
      <c r="E172" s="122"/>
      <c r="F172" s="122"/>
      <c r="G172" s="122"/>
      <c r="H172" s="122"/>
      <c r="I172" s="122"/>
      <c r="J172" s="122"/>
      <c r="K172" s="122"/>
      <c r="L172" s="122"/>
      <c r="M172" s="122"/>
      <c r="N172" s="122"/>
      <c r="O172" s="122"/>
      <c r="P172" s="122"/>
      <c r="Q172" s="122"/>
      <c r="R172" s="122"/>
      <c r="S172" s="122"/>
      <c r="T172" s="122"/>
      <c r="U172" s="122"/>
      <c r="V172" s="122"/>
      <c r="W172" s="122"/>
      <c r="X172" s="122"/>
      <c r="Y172" s="122"/>
      <c r="Z172" s="122"/>
    </row>
    <row r="173" spans="1:26" ht="12.75" x14ac:dyDescent="0.2">
      <c r="A173" s="145" t="s">
        <v>202</v>
      </c>
      <c r="B173" s="119"/>
      <c r="C173" s="119"/>
      <c r="D173" s="161" t="s">
        <v>174</v>
      </c>
      <c r="E173" s="161"/>
      <c r="F173" s="162">
        <v>0</v>
      </c>
      <c r="G173" s="162">
        <v>1</v>
      </c>
      <c r="H173" s="162">
        <v>2</v>
      </c>
      <c r="I173" s="162">
        <v>3</v>
      </c>
      <c r="J173" s="162">
        <v>4</v>
      </c>
      <c r="K173" s="162">
        <v>5</v>
      </c>
      <c r="L173" s="162">
        <v>6</v>
      </c>
      <c r="M173" s="162">
        <v>7</v>
      </c>
      <c r="N173" s="162">
        <v>8</v>
      </c>
      <c r="O173" s="162">
        <v>9</v>
      </c>
      <c r="P173" s="119"/>
      <c r="Q173" s="119"/>
      <c r="R173" s="119"/>
      <c r="S173" s="119"/>
      <c r="T173" s="119"/>
      <c r="U173" s="119"/>
      <c r="V173" s="119"/>
      <c r="W173" s="119"/>
      <c r="X173" s="119"/>
      <c r="Y173" s="119"/>
      <c r="Z173" s="119"/>
    </row>
    <row r="174" spans="1:26" ht="12.75" x14ac:dyDescent="0.2">
      <c r="A174" s="122"/>
      <c r="B174" s="179" t="s">
        <v>226</v>
      </c>
      <c r="C174" s="180"/>
      <c r="D174" s="180"/>
      <c r="E174" s="180"/>
      <c r="F174" s="180"/>
      <c r="G174" s="180"/>
      <c r="H174" s="180"/>
      <c r="I174" s="180"/>
      <c r="J174" s="180"/>
      <c r="K174" s="180"/>
      <c r="L174" s="180"/>
      <c r="M174" s="180"/>
      <c r="N174" s="180"/>
      <c r="O174" s="180"/>
      <c r="P174" s="122"/>
      <c r="Q174" s="122"/>
      <c r="R174" s="122"/>
      <c r="S174" s="122"/>
      <c r="T174" s="122"/>
      <c r="U174" s="122"/>
      <c r="V174" s="122"/>
      <c r="W174" s="122"/>
      <c r="X174" s="122"/>
      <c r="Y174" s="122"/>
      <c r="Z174" s="122"/>
    </row>
    <row r="175" spans="1:26" ht="12.75" x14ac:dyDescent="0.2">
      <c r="A175" s="122"/>
      <c r="B175" s="180"/>
      <c r="C175" s="181" t="s">
        <v>218</v>
      </c>
      <c r="D175" s="180"/>
      <c r="E175" s="180"/>
      <c r="F175" s="180"/>
      <c r="G175" s="180"/>
      <c r="H175" s="180"/>
      <c r="I175" s="180"/>
      <c r="J175" s="180"/>
      <c r="K175" s="180"/>
      <c r="L175" s="180"/>
      <c r="M175" s="180"/>
      <c r="N175" s="180"/>
      <c r="O175" s="180"/>
      <c r="P175" s="122"/>
      <c r="Q175" s="122"/>
      <c r="R175" s="122"/>
      <c r="S175" s="122"/>
      <c r="T175" s="122"/>
      <c r="U175" s="122"/>
      <c r="V175" s="122"/>
      <c r="W175" s="122"/>
      <c r="X175" s="122"/>
      <c r="Y175" s="122"/>
      <c r="Z175" s="122"/>
    </row>
    <row r="176" spans="1:26" ht="12.75" x14ac:dyDescent="0.2">
      <c r="A176" s="122"/>
      <c r="B176" s="180"/>
      <c r="C176" s="227" t="s">
        <v>272</v>
      </c>
      <c r="D176" s="180"/>
      <c r="E176" s="180"/>
      <c r="F176" s="125">
        <f>$F40*F$140*$F48*F$135*F$120/1000</f>
        <v>5.6147479999999996</v>
      </c>
      <c r="G176" s="125">
        <f>$F40*G$140*$F48*G$135*G$120/1000</f>
        <v>6.0583130919999997</v>
      </c>
      <c r="H176" s="125">
        <f>$F40*H$140*$F48*H$135*H$120/1000</f>
        <v>6.5369198262679982</v>
      </c>
      <c r="I176" s="125">
        <f>$F40*I$140*$F48*I$135*I$120/1000</f>
        <v>7.0533364925431705</v>
      </c>
      <c r="J176" s="125">
        <f>$F40*J$140*$F48*J$135*J$120/1000</f>
        <v>7.610550075454082</v>
      </c>
      <c r="K176" s="125">
        <f>$F40*K$140*$F48*K$135*K$120/1000</f>
        <v>8.2117835314149517</v>
      </c>
      <c r="L176" s="125">
        <f>$F40*L$140*$F48*L$135*L$120/1000</f>
        <v>8.8605144303967354</v>
      </c>
      <c r="M176" s="125">
        <f>$F40*M$140*$F48*M$135*M$120/1000</f>
        <v>9.5604950703980762</v>
      </c>
      <c r="N176" s="125">
        <f>$F40*N$140*$F48*N$135*N$120/1000</f>
        <v>10.315774180959524</v>
      </c>
      <c r="O176" s="125">
        <f>$F40*O$140*$F48*O$135*O$120/1000</f>
        <v>11.130720341255326</v>
      </c>
      <c r="P176" s="122"/>
      <c r="Q176" s="122"/>
      <c r="R176" s="122"/>
      <c r="S176" s="122"/>
      <c r="T176" s="122"/>
      <c r="U176" s="122"/>
      <c r="V176" s="122"/>
      <c r="W176" s="122"/>
      <c r="X176" s="122"/>
      <c r="Y176" s="122"/>
      <c r="Z176" s="122"/>
    </row>
    <row r="177" spans="1:26" ht="12.75" x14ac:dyDescent="0.2">
      <c r="A177" s="122"/>
      <c r="B177" s="180"/>
      <c r="C177" s="227" t="s">
        <v>273</v>
      </c>
      <c r="D177" s="180"/>
      <c r="E177" s="180"/>
      <c r="F177" s="125">
        <f>$F41*F$140*$F49*F$135*F$120/1000</f>
        <v>3.2658929999999997</v>
      </c>
      <c r="G177" s="125">
        <f>$F41*G$140*$F49*G$135*G$120/1000</f>
        <v>3.5238985469999995</v>
      </c>
      <c r="H177" s="125">
        <f>$F41*H$140*$F49*H$135*H$120/1000</f>
        <v>3.8022865322129991</v>
      </c>
      <c r="I177" s="125">
        <f>$F41*I$140*$F49*I$135*I$120/1000</f>
        <v>4.1026671682578266</v>
      </c>
      <c r="J177" s="125">
        <f>$F41*J$140*$F49*J$135*J$120/1000</f>
        <v>4.4267778745501944</v>
      </c>
      <c r="K177" s="125">
        <f>$F41*K$140*$F49*K$135*K$120/1000</f>
        <v>4.7764933266396596</v>
      </c>
      <c r="L177" s="125">
        <f>$F41*L$140*$F49*L$135*L$120/1000</f>
        <v>5.1538362994441922</v>
      </c>
      <c r="M177" s="125">
        <f>$F41*M$140*$F49*M$135*M$120/1000</f>
        <v>5.5609893671002837</v>
      </c>
      <c r="N177" s="125">
        <f>$F41*N$140*$F49*N$135*N$120/1000</f>
        <v>6.0003075271012056</v>
      </c>
      <c r="O177" s="125">
        <f>$F41*O$140*$F49*O$135*O$120/1000</f>
        <v>6.4743318217422008</v>
      </c>
      <c r="P177" s="122"/>
      <c r="Q177" s="122"/>
      <c r="R177" s="122"/>
      <c r="S177" s="122"/>
      <c r="T177" s="122"/>
      <c r="U177" s="122"/>
      <c r="V177" s="122"/>
      <c r="W177" s="122"/>
      <c r="X177" s="122"/>
      <c r="Y177" s="122"/>
      <c r="Z177" s="122"/>
    </row>
    <row r="178" spans="1:26" ht="12.75" x14ac:dyDescent="0.2">
      <c r="A178" s="122"/>
      <c r="B178" s="180"/>
      <c r="C178" s="227" t="s">
        <v>274</v>
      </c>
      <c r="D178" s="180"/>
      <c r="E178" s="180"/>
      <c r="F178" s="125">
        <f>$F42*F$140*$F50*F$135*F$120/1000</f>
        <v>2.8386080000000002</v>
      </c>
      <c r="G178" s="125">
        <f>$F42*G$140*$F50*G$135*G$120/1000</f>
        <v>3.0628580320000003</v>
      </c>
      <c r="H178" s="125">
        <f>$F42*H$140*$F50*H$135*H$120/1000</f>
        <v>3.3048238165280002</v>
      </c>
      <c r="I178" s="125">
        <f>$F42*I$140*$F50*I$135*I$120/1000</f>
        <v>3.565904898033712</v>
      </c>
      <c r="J178" s="125">
        <f>$F42*J$140*$F50*J$135*J$120/1000</f>
        <v>3.8476113849783751</v>
      </c>
      <c r="K178" s="125">
        <f>$F42*K$140*$F50*K$135*K$120/1000</f>
        <v>4.1515726843916667</v>
      </c>
      <c r="L178" s="125">
        <f>$F42*L$140*$F50*L$135*L$120/1000</f>
        <v>4.4795469264586085</v>
      </c>
      <c r="M178" s="125">
        <f>$F42*M$140*$F50*M$135*M$120/1000</f>
        <v>4.8334311336488378</v>
      </c>
      <c r="N178" s="125">
        <f>$F42*N$140*$F50*N$135*N$120/1000</f>
        <v>5.2152721932070962</v>
      </c>
      <c r="O178" s="125">
        <f>$F42*O$140*$F50*O$135*O$120/1000</f>
        <v>5.6272786964704569</v>
      </c>
      <c r="P178" s="122"/>
      <c r="Q178" s="122"/>
      <c r="R178" s="122"/>
      <c r="S178" s="122"/>
      <c r="T178" s="122"/>
      <c r="U178" s="122"/>
      <c r="V178" s="122"/>
      <c r="W178" s="122"/>
      <c r="X178" s="122"/>
      <c r="Y178" s="122"/>
      <c r="Z178" s="122"/>
    </row>
    <row r="179" spans="1:26" ht="12.75" x14ac:dyDescent="0.2">
      <c r="A179" s="122"/>
      <c r="B179" s="180"/>
      <c r="C179" s="227" t="s">
        <v>275</v>
      </c>
      <c r="D179" s="180"/>
      <c r="E179" s="180"/>
      <c r="F179" s="125">
        <f>$F43*F$140*$F51*F$135*F$120/1000</f>
        <v>1.6453139999999999</v>
      </c>
      <c r="G179" s="125">
        <f>$F43*G$140*$F51*G$135*G$120/1000</f>
        <v>1.7752938059999996</v>
      </c>
      <c r="H179" s="125">
        <f>$F43*H$140*$F51*H$135*H$120/1000</f>
        <v>1.9155420166739996</v>
      </c>
      <c r="I179" s="125">
        <f>$F43*I$140*$F51*I$135*I$120/1000</f>
        <v>2.0668698359912456</v>
      </c>
      <c r="J179" s="125">
        <f>$F43*J$140*$F51*J$135*J$120/1000</f>
        <v>2.2301525530345541</v>
      </c>
      <c r="K179" s="125">
        <f>$F43*K$140*$F51*K$135*K$120/1000</f>
        <v>2.4063346047242833</v>
      </c>
      <c r="L179" s="125">
        <f>$F43*L$140*$F51*L$135*L$120/1000</f>
        <v>2.5964350384975017</v>
      </c>
      <c r="M179" s="125">
        <f>$F43*M$140*$F51*M$135*M$120/1000</f>
        <v>2.8015534065388046</v>
      </c>
      <c r="N179" s="125">
        <f>$F43*N$140*$F51*N$135*N$120/1000</f>
        <v>3.0228761256553698</v>
      </c>
      <c r="O179" s="125">
        <f>$F43*O$140*$F51*O$135*O$120/1000</f>
        <v>3.2616833395821443</v>
      </c>
      <c r="P179" s="122"/>
      <c r="Q179" s="122"/>
      <c r="R179" s="122"/>
      <c r="S179" s="122"/>
      <c r="T179" s="122"/>
      <c r="U179" s="122"/>
      <c r="V179" s="122"/>
      <c r="W179" s="122"/>
      <c r="X179" s="122"/>
      <c r="Y179" s="122"/>
      <c r="Z179" s="122"/>
    </row>
    <row r="180" spans="1:26" ht="12.75" x14ac:dyDescent="0.2">
      <c r="A180" s="122"/>
      <c r="B180" s="180"/>
      <c r="C180" s="152" t="s">
        <v>293</v>
      </c>
      <c r="D180" s="180"/>
      <c r="E180" s="180"/>
      <c r="F180" s="125">
        <f>$F44*F$140*$F52*F$135*F$120/1000</f>
        <v>1.6010819999999999</v>
      </c>
      <c r="G180" s="125">
        <f>$F44*G$140*$F52*G$135*G$120/1000</f>
        <v>1.7275674779999997</v>
      </c>
      <c r="H180" s="125">
        <f>$F44*H$140*$F52*H$135*H$120/1000</f>
        <v>1.8640453087619997</v>
      </c>
      <c r="I180" s="125">
        <f>$F44*I$140*$F52*I$135*I$120/1000</f>
        <v>2.0113048881541977</v>
      </c>
      <c r="J180" s="125">
        <f>$F44*J$140*$F52*J$135*J$120/1000</f>
        <v>2.1701979743183792</v>
      </c>
      <c r="K180" s="125">
        <f>$F44*K$140*$F52*K$135*K$120/1000</f>
        <v>2.3416436142895307</v>
      </c>
      <c r="L180" s="125">
        <f>$F44*L$140*$F52*L$135*L$120/1000</f>
        <v>2.5266334598184041</v>
      </c>
      <c r="M180" s="125">
        <f>$F44*M$140*$F52*M$135*M$120/1000</f>
        <v>2.7262375031440578</v>
      </c>
      <c r="N180" s="125">
        <f>$F44*N$140*$F52*N$135*N$120/1000</f>
        <v>2.9416102658924381</v>
      </c>
      <c r="O180" s="125">
        <f>$F44*O$140*$F52*O$135*O$120/1000</f>
        <v>3.1739974768979411</v>
      </c>
      <c r="P180" s="122"/>
      <c r="Q180" s="122"/>
      <c r="R180" s="122"/>
      <c r="S180" s="122"/>
      <c r="T180" s="122"/>
      <c r="U180" s="122"/>
      <c r="V180" s="122"/>
      <c r="W180" s="122"/>
      <c r="X180" s="122"/>
      <c r="Y180" s="122"/>
      <c r="Z180" s="122"/>
    </row>
    <row r="181" spans="1:26" ht="12.75" x14ac:dyDescent="0.2">
      <c r="A181" s="122"/>
      <c r="B181" s="180"/>
      <c r="C181" s="228" t="s">
        <v>278</v>
      </c>
      <c r="D181" s="180"/>
      <c r="E181" s="180"/>
      <c r="F181" s="125">
        <f>$F45*F$140*$F53*F$135*F$120/1000</f>
        <v>12.949499999999999</v>
      </c>
      <c r="G181" s="125">
        <f>$F45*G$140*$F53*G$135*G$120/1000</f>
        <v>13.972510499999997</v>
      </c>
      <c r="H181" s="125">
        <f>$F45*H$140*$F53*H$135*H$120/1000</f>
        <v>15.076338829499997</v>
      </c>
      <c r="I181" s="125">
        <f>$F45*I$140*$F53*I$135*I$120/1000</f>
        <v>16.267369597030495</v>
      </c>
      <c r="J181" s="125">
        <f>$F45*J$140*$F53*J$135*J$120/1000</f>
        <v>17.552491795195905</v>
      </c>
      <c r="K181" s="125">
        <f>$F45*K$140*$F53*K$135*K$120/1000</f>
        <v>18.939138647016382</v>
      </c>
      <c r="L181" s="125">
        <f>$F45*L$140*$F53*L$135*L$120/1000</f>
        <v>20.435330600130673</v>
      </c>
      <c r="M181" s="125">
        <f>$F45*M$140*$F53*M$135*M$120/1000</f>
        <v>22.049721717540997</v>
      </c>
      <c r="N181" s="125">
        <f>$F45*N$140*$F53*N$135*N$120/1000</f>
        <v>23.791649733226734</v>
      </c>
      <c r="O181" s="125">
        <f>$F45*O$140*$F53*O$135*O$120/1000</f>
        <v>25.671190062151648</v>
      </c>
      <c r="P181" s="122"/>
      <c r="Q181" s="122"/>
      <c r="R181" s="122"/>
      <c r="S181" s="122"/>
      <c r="T181" s="122"/>
      <c r="U181" s="122"/>
      <c r="V181" s="122"/>
      <c r="W181" s="122"/>
      <c r="X181" s="122"/>
      <c r="Y181" s="122"/>
      <c r="Z181" s="122"/>
    </row>
    <row r="182" spans="1:26" ht="12.75" x14ac:dyDescent="0.2">
      <c r="A182" s="122"/>
      <c r="B182" s="180"/>
      <c r="C182" s="152" t="s">
        <v>85</v>
      </c>
      <c r="D182" s="180"/>
      <c r="E182" s="180"/>
      <c r="F182" s="125">
        <f>IF(F173&lt;=$I$47,$F46*F$140*$F53*F$135*F$120/1000,0)</f>
        <v>0</v>
      </c>
      <c r="G182" s="125">
        <f>IF(G173&lt;=$I$47,$F46*G$140*$F53*G$135*G$120/1000,0)</f>
        <v>0</v>
      </c>
      <c r="H182" s="125">
        <f>IF(H173&lt;=$I$47,$F46*H$140*$F53*H$135*H$120/1000,0)</f>
        <v>0</v>
      </c>
      <c r="I182" s="125">
        <f>IF(I173&lt;=$I$47,$F46*I$140*$F53*I$135*I$120/1000,0)</f>
        <v>0</v>
      </c>
      <c r="J182" s="125">
        <f>IF(J173&lt;=$I$47,$F46*J$140*$F53*J$135*J$120/1000,0)</f>
        <v>0</v>
      </c>
      <c r="K182" s="125">
        <f>IF(K173&lt;=$I$47,$F46*K$140*$F53*K$135*K$120/1000,0)</f>
        <v>0</v>
      </c>
      <c r="L182" s="125">
        <f>IF(L173&lt;=$I$47,$F46*L$140*$F53*L$135*L$120/1000,0)</f>
        <v>0</v>
      </c>
      <c r="M182" s="125">
        <f>IF(M173&lt;=$I$47,$F46*M$140*$F53*M$135*M$120/1000,0)</f>
        <v>0</v>
      </c>
      <c r="N182" s="125">
        <f>IF(N173&lt;=$I$47,$F46*N$140*$F53*N$135*N$120/1000,0)</f>
        <v>0</v>
      </c>
      <c r="O182" s="125">
        <f>IF(O173&lt;=$I$47,$F46*O$140*$F53*O$135*O$120/1000,0)</f>
        <v>0</v>
      </c>
      <c r="P182" s="122"/>
      <c r="Q182" s="122"/>
      <c r="R182" s="122"/>
      <c r="S182" s="122"/>
      <c r="T182" s="122"/>
      <c r="U182" s="122"/>
      <c r="V182" s="122"/>
      <c r="W182" s="122"/>
      <c r="X182" s="122"/>
      <c r="Y182" s="122"/>
      <c r="Z182" s="122"/>
    </row>
    <row r="183" spans="1:26" ht="12.75" x14ac:dyDescent="0.2">
      <c r="A183" s="122"/>
      <c r="B183" s="180"/>
      <c r="C183" s="199" t="s">
        <v>207</v>
      </c>
      <c r="D183" s="182"/>
      <c r="E183" s="182"/>
      <c r="F183" s="127">
        <f>SUM(F176:F182)</f>
        <v>27.915144999999999</v>
      </c>
      <c r="G183" s="127">
        <f t="shared" ref="G183:O183" si="33">SUM(G176:G182)</f>
        <v>30.120441454999998</v>
      </c>
      <c r="H183" s="127">
        <f t="shared" si="33"/>
        <v>32.499956329944993</v>
      </c>
      <c r="I183" s="127">
        <f t="shared" si="33"/>
        <v>35.067452880010649</v>
      </c>
      <c r="J183" s="127">
        <f t="shared" si="33"/>
        <v>37.837781657531494</v>
      </c>
      <c r="K183" s="127">
        <f t="shared" si="33"/>
        <v>40.826966408476473</v>
      </c>
      <c r="L183" s="127">
        <f t="shared" si="33"/>
        <v>44.052296754746123</v>
      </c>
      <c r="M183" s="127">
        <f t="shared" si="33"/>
        <v>47.532428198371058</v>
      </c>
      <c r="N183" s="127">
        <f t="shared" si="33"/>
        <v>51.287490026042363</v>
      </c>
      <c r="O183" s="127">
        <f t="shared" si="33"/>
        <v>55.339201738099717</v>
      </c>
      <c r="P183" s="122"/>
      <c r="Q183" s="122"/>
      <c r="R183" s="122"/>
      <c r="S183" s="122"/>
      <c r="T183" s="122"/>
      <c r="U183" s="122"/>
      <c r="V183" s="122"/>
      <c r="W183" s="122"/>
      <c r="X183" s="122"/>
      <c r="Y183" s="122"/>
      <c r="Z183" s="122"/>
    </row>
    <row r="184" spans="1:26" ht="12.75" x14ac:dyDescent="0.2">
      <c r="A184" s="122"/>
      <c r="B184" s="180"/>
      <c r="C184" s="152"/>
      <c r="D184" s="180"/>
      <c r="E184" s="180"/>
      <c r="F184" s="183"/>
      <c r="G184" s="183"/>
      <c r="H184" s="183"/>
      <c r="I184" s="183"/>
      <c r="J184" s="183"/>
      <c r="K184" s="183"/>
      <c r="L184" s="183"/>
      <c r="M184" s="183"/>
      <c r="N184" s="183"/>
      <c r="O184" s="183"/>
      <c r="P184" s="122"/>
      <c r="Q184" s="122"/>
      <c r="R184" s="122"/>
      <c r="S184" s="122"/>
      <c r="T184" s="122"/>
      <c r="U184" s="122"/>
      <c r="V184" s="122"/>
      <c r="W184" s="122"/>
      <c r="X184" s="122"/>
      <c r="Y184" s="122"/>
      <c r="Z184" s="122"/>
    </row>
    <row r="185" spans="1:26" ht="12.75" x14ac:dyDescent="0.2">
      <c r="A185" s="122"/>
      <c r="B185" s="180"/>
      <c r="C185" s="188" t="s">
        <v>215</v>
      </c>
      <c r="D185" s="180"/>
      <c r="E185" s="180"/>
      <c r="F185" s="183"/>
      <c r="G185" s="183"/>
      <c r="H185" s="183"/>
      <c r="I185" s="183"/>
      <c r="J185" s="183"/>
      <c r="K185" s="183"/>
      <c r="L185" s="183"/>
      <c r="M185" s="183"/>
      <c r="N185" s="183"/>
      <c r="O185" s="183"/>
      <c r="P185" s="122"/>
      <c r="Q185" s="122"/>
      <c r="R185" s="122"/>
      <c r="S185" s="122"/>
      <c r="T185" s="122"/>
      <c r="U185" s="122"/>
      <c r="V185" s="122"/>
      <c r="W185" s="122"/>
      <c r="X185" s="122"/>
      <c r="Y185" s="122"/>
      <c r="Z185" s="122"/>
    </row>
    <row r="186" spans="1:26" ht="12.75" x14ac:dyDescent="0.2">
      <c r="A186" s="122"/>
      <c r="B186" s="180"/>
      <c r="C186" s="155" t="s">
        <v>110</v>
      </c>
      <c r="D186" s="180"/>
      <c r="E186" s="180"/>
      <c r="F186" s="125">
        <f t="shared" ref="F186:O186" si="34">$F$57*F$140*F$120/1000</f>
        <v>4.6074999999999999</v>
      </c>
      <c r="G186" s="125">
        <f t="shared" si="34"/>
        <v>4.9714924999999992</v>
      </c>
      <c r="H186" s="125">
        <f t="shared" si="34"/>
        <v>5.3642404074999996</v>
      </c>
      <c r="I186" s="125">
        <f t="shared" si="34"/>
        <v>5.7880153996924992</v>
      </c>
      <c r="J186" s="125">
        <f t="shared" si="34"/>
        <v>6.2452686162682065</v>
      </c>
      <c r="K186" s="125">
        <f t="shared" si="34"/>
        <v>6.7386448369533944</v>
      </c>
      <c r="L186" s="125">
        <f t="shared" si="34"/>
        <v>7.2709977790727134</v>
      </c>
      <c r="M186" s="125">
        <f t="shared" si="34"/>
        <v>7.8454066036194572</v>
      </c>
      <c r="N186" s="125">
        <f t="shared" si="34"/>
        <v>8.4651937253053937</v>
      </c>
      <c r="O186" s="125">
        <f t="shared" si="34"/>
        <v>9.1339440296045193</v>
      </c>
      <c r="P186" s="122"/>
      <c r="Q186" s="122"/>
      <c r="R186" s="122"/>
      <c r="S186" s="122"/>
      <c r="T186" s="122"/>
      <c r="U186" s="122"/>
      <c r="V186" s="122"/>
      <c r="W186" s="122"/>
      <c r="X186" s="122"/>
      <c r="Y186" s="122"/>
      <c r="Z186" s="122"/>
    </row>
    <row r="187" spans="1:26" ht="12.75" x14ac:dyDescent="0.2">
      <c r="A187" s="122"/>
      <c r="B187" s="180"/>
      <c r="C187" s="184" t="s">
        <v>283</v>
      </c>
      <c r="D187" s="185"/>
      <c r="E187" s="185"/>
      <c r="F187" s="186">
        <f t="shared" ref="F187:O187" si="35">($F$59+$F$59*(F$140-1)*($F$58))/1000*F$120</f>
        <v>2.1601050000000002</v>
      </c>
      <c r="G187" s="186">
        <f t="shared" si="35"/>
        <v>2.3307532950000001</v>
      </c>
      <c r="H187" s="186">
        <f t="shared" si="35"/>
        <v>2.5148828053050001</v>
      </c>
      <c r="I187" s="186">
        <f t="shared" si="35"/>
        <v>2.7135585469240948</v>
      </c>
      <c r="J187" s="186">
        <f t="shared" si="35"/>
        <v>2.9279296721310986</v>
      </c>
      <c r="K187" s="186">
        <f t="shared" si="35"/>
        <v>3.1592361162294549</v>
      </c>
      <c r="L187" s="186">
        <f t="shared" si="35"/>
        <v>3.4088157694115822</v>
      </c>
      <c r="M187" s="186">
        <f t="shared" si="35"/>
        <v>3.6781122151950969</v>
      </c>
      <c r="N187" s="186">
        <f t="shared" si="35"/>
        <v>3.9686830801955093</v>
      </c>
      <c r="O187" s="186">
        <f t="shared" si="35"/>
        <v>4.2822090435309548</v>
      </c>
      <c r="P187" s="122"/>
      <c r="Q187" s="122"/>
      <c r="R187" s="122"/>
      <c r="S187" s="122"/>
      <c r="T187" s="122"/>
      <c r="U187" s="122"/>
      <c r="V187" s="122"/>
      <c r="W187" s="122"/>
      <c r="X187" s="122"/>
      <c r="Y187" s="122"/>
      <c r="Z187" s="122"/>
    </row>
    <row r="188" spans="1:26" ht="12.75" x14ac:dyDescent="0.2">
      <c r="A188" s="122"/>
      <c r="B188" s="180"/>
      <c r="C188" s="199" t="s">
        <v>216</v>
      </c>
      <c r="D188" s="182"/>
      <c r="E188" s="182"/>
      <c r="F188" s="127">
        <f>SUM(F186:F187)</f>
        <v>6.7676049999999996</v>
      </c>
      <c r="G188" s="127">
        <f t="shared" ref="G188:O188" si="36">SUM(G186:G187)</f>
        <v>7.3022457949999993</v>
      </c>
      <c r="H188" s="127">
        <f t="shared" si="36"/>
        <v>7.8791232128050002</v>
      </c>
      <c r="I188" s="127">
        <f t="shared" si="36"/>
        <v>8.5015739466165936</v>
      </c>
      <c r="J188" s="127">
        <f t="shared" si="36"/>
        <v>9.1731982883993055</v>
      </c>
      <c r="K188" s="127">
        <f t="shared" si="36"/>
        <v>9.8978809531828489</v>
      </c>
      <c r="L188" s="127">
        <f t="shared" si="36"/>
        <v>10.679813548484296</v>
      </c>
      <c r="M188" s="127">
        <f t="shared" si="36"/>
        <v>11.523518818814555</v>
      </c>
      <c r="N188" s="127">
        <f t="shared" si="36"/>
        <v>12.433876805500903</v>
      </c>
      <c r="O188" s="127">
        <f t="shared" si="36"/>
        <v>13.416153073135474</v>
      </c>
      <c r="P188" s="122"/>
      <c r="Q188" s="122"/>
      <c r="R188" s="122"/>
      <c r="S188" s="122"/>
      <c r="T188" s="122"/>
      <c r="U188" s="122"/>
      <c r="V188" s="122"/>
      <c r="W188" s="122"/>
      <c r="X188" s="122"/>
      <c r="Y188" s="122"/>
      <c r="Z188" s="122"/>
    </row>
    <row r="189" spans="1:26" ht="12.75" x14ac:dyDescent="0.2">
      <c r="A189" s="122"/>
      <c r="B189" s="180"/>
      <c r="C189" s="155"/>
      <c r="D189" s="180"/>
      <c r="E189" s="180"/>
      <c r="F189" s="183"/>
      <c r="G189" s="183"/>
      <c r="H189" s="183"/>
      <c r="I189" s="183"/>
      <c r="J189" s="183"/>
      <c r="K189" s="183"/>
      <c r="L189" s="183"/>
      <c r="M189" s="183"/>
      <c r="N189" s="183"/>
      <c r="O189" s="183"/>
      <c r="P189" s="122"/>
      <c r="Q189" s="122"/>
      <c r="R189" s="122"/>
      <c r="S189" s="122"/>
      <c r="T189" s="122"/>
      <c r="U189" s="122"/>
      <c r="V189" s="122"/>
      <c r="W189" s="122"/>
      <c r="X189" s="122"/>
      <c r="Y189" s="122"/>
      <c r="Z189" s="122"/>
    </row>
    <row r="190" spans="1:26" ht="12.75" x14ac:dyDescent="0.2">
      <c r="A190" s="122"/>
      <c r="B190" s="180"/>
      <c r="C190" s="188" t="s">
        <v>219</v>
      </c>
      <c r="D190" s="180"/>
      <c r="E190" s="180"/>
      <c r="F190" s="183"/>
      <c r="G190" s="183"/>
      <c r="H190" s="183"/>
      <c r="I190" s="183"/>
      <c r="J190" s="183"/>
      <c r="K190" s="183"/>
      <c r="L190" s="183"/>
      <c r="M190" s="183"/>
      <c r="N190" s="183"/>
      <c r="O190" s="183"/>
      <c r="P190" s="122"/>
      <c r="Q190" s="122"/>
      <c r="R190" s="122"/>
      <c r="S190" s="122"/>
      <c r="T190" s="122"/>
      <c r="U190" s="122"/>
      <c r="V190" s="122"/>
      <c r="W190" s="122"/>
      <c r="X190" s="122"/>
      <c r="Y190" s="122"/>
      <c r="Z190" s="122"/>
    </row>
    <row r="191" spans="1:26" ht="12.75" x14ac:dyDescent="0.2">
      <c r="A191" s="122"/>
      <c r="B191" s="180"/>
      <c r="C191" s="152" t="s">
        <v>92</v>
      </c>
      <c r="D191" s="180"/>
      <c r="E191" s="180"/>
      <c r="F191" s="125">
        <f>F163*(1+$F$77)</f>
        <v>1.8187500000000001</v>
      </c>
      <c r="G191" s="125">
        <f>G163*(1+$F$77)</f>
        <v>1.9624312500000001</v>
      </c>
      <c r="H191" s="125">
        <f>H163*(1+$F$77)</f>
        <v>2.11746331875</v>
      </c>
      <c r="I191" s="125">
        <f>I163*(1+$F$77)</f>
        <v>2.28474292093125</v>
      </c>
      <c r="J191" s="125">
        <f>J163*(1+$F$77)</f>
        <v>2.4652376116848185</v>
      </c>
      <c r="K191" s="125">
        <f>K163*(1+$F$77)</f>
        <v>2.6599913830079194</v>
      </c>
      <c r="L191" s="125">
        <f>L163*(1+$F$77)</f>
        <v>2.8701307022655449</v>
      </c>
      <c r="M191" s="125">
        <f>M163*(1+$F$77)</f>
        <v>3.0968710277445228</v>
      </c>
      <c r="N191" s="125">
        <f>N163*(1+$F$77)</f>
        <v>3.34152383893634</v>
      </c>
      <c r="O191" s="125">
        <f>O163*(1+$F$77)</f>
        <v>3.6055042222123106</v>
      </c>
      <c r="P191" s="122"/>
      <c r="Q191" s="122"/>
      <c r="R191" s="122"/>
      <c r="S191" s="122"/>
      <c r="T191" s="122"/>
      <c r="U191" s="122"/>
      <c r="V191" s="122"/>
      <c r="W191" s="122"/>
      <c r="X191" s="122"/>
      <c r="Y191" s="122"/>
      <c r="Z191" s="122"/>
    </row>
    <row r="192" spans="1:26" ht="12.75" x14ac:dyDescent="0.2">
      <c r="A192" s="122"/>
      <c r="B192" s="180"/>
      <c r="C192" s="152" t="s">
        <v>96</v>
      </c>
      <c r="D192" s="180"/>
      <c r="E192" s="180"/>
      <c r="F192" s="125">
        <f>$F63*F$140*$F71/1000*F$120*F$137*(1+$F$77)</f>
        <v>0.42486000000000002</v>
      </c>
      <c r="G192" s="125">
        <f>$F63*G$140*$F71/1000*G$120*G$137*(1+$F$77)</f>
        <v>0.45842393999999997</v>
      </c>
      <c r="H192" s="125">
        <f>$F63*H$140*$F71/1000*H$120*H$137*(1+$F$77)</f>
        <v>0.49463943125999998</v>
      </c>
      <c r="I192" s="125">
        <f>$F63*I$140*$F71/1000*I$120*I$137*(1+$F$77)</f>
        <v>0.53371594632954</v>
      </c>
      <c r="J192" s="125">
        <f>$F63*J$140*$F71/1000*J$120*J$137*(1+$F$77)</f>
        <v>0.57587950608957361</v>
      </c>
      <c r="K192" s="125">
        <f>$F63*K$140*$F71/1000*K$120*K$137*(1+$F$77)</f>
        <v>0.62137398707064995</v>
      </c>
      <c r="L192" s="125">
        <f>$F63*L$140*$F71/1000*L$120*L$137*(1+$F$77)</f>
        <v>0.67046253204923123</v>
      </c>
      <c r="M192" s="125">
        <f>$F63*M$140*$F71/1000*M$120*M$137*(1+$F$77)</f>
        <v>0.72342907208112051</v>
      </c>
      <c r="N192" s="125">
        <f>$F63*N$140*$F71/1000*N$120*N$137*(1+$F$77)</f>
        <v>0.78057996877552893</v>
      </c>
      <c r="O192" s="125">
        <f>$F63*O$140*$F71/1000*O$120*O$137*(1+$F$77)</f>
        <v>0.84224578630879576</v>
      </c>
      <c r="P192" s="122"/>
      <c r="Q192" s="122"/>
      <c r="R192" s="122"/>
      <c r="S192" s="122"/>
      <c r="T192" s="122"/>
      <c r="U192" s="122"/>
      <c r="V192" s="122"/>
      <c r="W192" s="122"/>
      <c r="X192" s="122"/>
      <c r="Y192" s="122"/>
      <c r="Z192" s="122"/>
    </row>
    <row r="193" spans="1:26" ht="12.75" x14ac:dyDescent="0.2">
      <c r="A193" s="122"/>
      <c r="B193" s="180"/>
      <c r="C193" s="152" t="s">
        <v>99</v>
      </c>
      <c r="D193" s="180"/>
      <c r="E193" s="180"/>
      <c r="F193" s="125">
        <f>$F64*F$140*$F72/1000*F$122*(1+$F$77)*F$127</f>
        <v>5.1687739712000003</v>
      </c>
      <c r="G193" s="125">
        <f>$F64*G$140*$F72/1000*G$122*(1+$F$77)*G$127</f>
        <v>5.5771071149247993</v>
      </c>
      <c r="H193" s="125">
        <f>$F64*H$140*$F72/1000*H$122*(1+$F$77)*H$127</f>
        <v>6.0176985770038582</v>
      </c>
      <c r="I193" s="125">
        <f>$F64*I$140*$F72/1000*I$122*(1+$F$77)*I$127</f>
        <v>6.4930967645871647</v>
      </c>
      <c r="J193" s="125">
        <f>$F64*J$140*$F72/1000*J$122*(1+$F$77)*J$127</f>
        <v>7.0060514089895491</v>
      </c>
      <c r="K193" s="125">
        <f>$F64*K$140*$F72/1000*K$122*(1+$F$77)*K$127</f>
        <v>7.5595294702997231</v>
      </c>
      <c r="L193" s="125">
        <f>$F64*L$140*$F72/1000*L$122*(1+$F$77)*L$127</f>
        <v>8.1567322984534023</v>
      </c>
      <c r="M193" s="125">
        <f>$F64*M$140*$F72/1000*M$122*(1+$F$77)*M$127</f>
        <v>8.8011141500312213</v>
      </c>
      <c r="N193" s="125">
        <f>$F64*N$140*$F72/1000*N$122*(1+$F$77)*N$127</f>
        <v>9.4964021678836854</v>
      </c>
      <c r="O193" s="125">
        <f>$F64*O$140*$F72/1000*O$122*(1+$F$77)*O$127</f>
        <v>10.246617939146498</v>
      </c>
      <c r="P193" s="122"/>
      <c r="Q193" s="122"/>
      <c r="R193" s="122"/>
      <c r="S193" s="122"/>
      <c r="T193" s="122"/>
      <c r="U193" s="122"/>
      <c r="V193" s="122"/>
      <c r="W193" s="122"/>
      <c r="X193" s="122"/>
      <c r="Y193" s="122"/>
      <c r="Z193" s="122"/>
    </row>
    <row r="194" spans="1:26" ht="12.75" x14ac:dyDescent="0.2">
      <c r="A194" s="122"/>
      <c r="B194" s="180"/>
      <c r="C194" s="152" t="s">
        <v>102</v>
      </c>
      <c r="D194" s="180"/>
      <c r="E194" s="180"/>
      <c r="F194" s="125">
        <f>$F65*F$140*$F73/1000*F$122*(1+$F$77)*F$127</f>
        <v>5.0254346267999992</v>
      </c>
      <c r="G194" s="125">
        <f>$F65*G$140*$F73/1000*G$122*(1+$F$77)*G$127</f>
        <v>5.4224439623171996</v>
      </c>
      <c r="H194" s="125">
        <f>$F65*H$140*$F73/1000*H$122*(1+$F$77)*H$127</f>
        <v>5.8508170353402562</v>
      </c>
      <c r="I194" s="125">
        <f>$F65*I$140*$F73/1000*I$122*(1+$F$77)*I$127</f>
        <v>6.3130315811321385</v>
      </c>
      <c r="J194" s="125">
        <f>$F65*J$140*$F73/1000*J$122*(1+$F$77)*J$127</f>
        <v>6.8117610760415763</v>
      </c>
      <c r="K194" s="125">
        <f>$F65*K$140*$F73/1000*K$122*(1+$F$77)*K$127</f>
        <v>7.3498902010488614</v>
      </c>
      <c r="L194" s="125">
        <f>$F65*L$140*$F73/1000*L$122*(1+$F$77)*L$127</f>
        <v>7.9305315269317198</v>
      </c>
      <c r="M194" s="125">
        <f>$F65*M$140*$F73/1000*M$122*(1+$F$77)*M$127</f>
        <v>8.5570435175593271</v>
      </c>
      <c r="N194" s="125">
        <f>$F65*N$140*$F73/1000*N$122*(1+$F$77)*N$127</f>
        <v>9.2330499554465124</v>
      </c>
      <c r="O194" s="125">
        <f>$F65*O$140*$F73/1000*O$122*(1+$F$77)*O$127</f>
        <v>9.9624609019267858</v>
      </c>
      <c r="P194" s="122"/>
      <c r="Q194" s="122"/>
      <c r="R194" s="122"/>
      <c r="S194" s="122"/>
      <c r="T194" s="122"/>
      <c r="U194" s="122"/>
      <c r="V194" s="122"/>
      <c r="W194" s="122"/>
      <c r="X194" s="122"/>
      <c r="Y194" s="122"/>
      <c r="Z194" s="122"/>
    </row>
    <row r="195" spans="1:26" ht="12.75" x14ac:dyDescent="0.2">
      <c r="A195" s="122"/>
      <c r="B195" s="180"/>
      <c r="C195" s="152" t="s">
        <v>105</v>
      </c>
      <c r="D195" s="180"/>
      <c r="E195" s="180"/>
      <c r="F195" s="125">
        <f>$F66*F$140*$F74/1000*F$122*(1+$F$77)*F$127</f>
        <v>2.13788</v>
      </c>
      <c r="G195" s="125">
        <f>$F66*G$140*$F74/1000*G$122*(1+$F$77)*G$127</f>
        <v>2.3067725199999995</v>
      </c>
      <c r="H195" s="125">
        <f>$F66*H$140*$F74/1000*H$122*(1+$F$77)*H$127</f>
        <v>2.4890075490799992</v>
      </c>
      <c r="I195" s="125">
        <f>$F66*I$140*$F74/1000*I$122*(1+$F$77)*I$127</f>
        <v>2.6856391454573196</v>
      </c>
      <c r="J195" s="125">
        <f>$F66*J$140*$F74/1000*J$122*(1+$F$77)*J$127</f>
        <v>2.8978046379484477</v>
      </c>
      <c r="K195" s="125">
        <f>$F66*K$140*$F74/1000*K$122*(1+$F$77)*K$127</f>
        <v>3.1267312043463753</v>
      </c>
      <c r="L195" s="125">
        <f>$F66*L$140*$F74/1000*L$122*(1+$F$77)*L$127</f>
        <v>3.3737429694897392</v>
      </c>
      <c r="M195" s="125">
        <f>$F66*M$140*$F74/1000*M$122*(1+$F$77)*M$127</f>
        <v>3.6402686640794282</v>
      </c>
      <c r="N195" s="125">
        <f>$F66*N$140*$F74/1000*N$122*(1+$F$77)*N$127</f>
        <v>3.9278498885417026</v>
      </c>
      <c r="O195" s="125">
        <f>$F66*O$140*$F74/1000*O$122*(1+$F$77)*O$127</f>
        <v>4.2381500297364969</v>
      </c>
      <c r="P195" s="122"/>
      <c r="Q195" s="122"/>
      <c r="R195" s="122"/>
      <c r="S195" s="122"/>
      <c r="T195" s="122"/>
      <c r="U195" s="122"/>
      <c r="V195" s="122"/>
      <c r="W195" s="122"/>
      <c r="X195" s="122"/>
      <c r="Y195" s="122"/>
      <c r="Z195" s="122"/>
    </row>
    <row r="196" spans="1:26" ht="12.75" x14ac:dyDescent="0.2">
      <c r="A196" s="122"/>
      <c r="B196" s="180"/>
      <c r="C196" s="152" t="s">
        <v>108</v>
      </c>
      <c r="D196" s="180"/>
      <c r="E196" s="180"/>
      <c r="F196" s="125">
        <f>ROUNDUP(F150*1000/$F$67,0)*$F75/1000*F$120</f>
        <v>1.4</v>
      </c>
      <c r="G196" s="125">
        <f>ROUNDUP(G150*1000/$F$67,0)*$F75/1000*G$120</f>
        <v>1.5105999999999999</v>
      </c>
      <c r="H196" s="125">
        <f>ROUNDUP(H150*1000/$F$67,0)*$F75/1000*H$120</f>
        <v>1.6299373999999998</v>
      </c>
      <c r="I196" s="125">
        <f>ROUNDUP(I150*1000/$F$67,0)*$F75/1000*I$120</f>
        <v>1.7587024545999996</v>
      </c>
      <c r="J196" s="125">
        <f>ROUNDUP(J150*1000/$F$67,0)*$F75/1000*J$120</f>
        <v>2.0331856591215001</v>
      </c>
      <c r="K196" s="125">
        <f>ROUNDUP(K150*1000/$F$67,0)*$F75/1000*K$120</f>
        <v>2.1938073261920983</v>
      </c>
      <c r="L196" s="125">
        <f>ROUNDUP(L150*1000/$F$67,0)*$F75/1000*L$120</f>
        <v>2.3671181049612739</v>
      </c>
      <c r="M196" s="125">
        <f>ROUNDUP(M150*1000/$F$67,0)*$F75/1000*M$120</f>
        <v>2.5541204352532145</v>
      </c>
      <c r="N196" s="125">
        <f>ROUNDUP(N150*1000/$F$67,0)*$F75/1000*N$120</f>
        <v>2.9396223462807662</v>
      </c>
      <c r="O196" s="125">
        <f>ROUNDUP(O150*1000/$F$67,0)*$F75/1000*O$120</f>
        <v>3.1718525116369469</v>
      </c>
      <c r="P196" s="122"/>
      <c r="Q196" s="122"/>
      <c r="R196" s="122"/>
      <c r="S196" s="122"/>
      <c r="T196" s="122"/>
      <c r="U196" s="122"/>
      <c r="V196" s="122"/>
      <c r="W196" s="122"/>
      <c r="X196" s="122"/>
      <c r="Y196" s="122"/>
      <c r="Z196" s="122"/>
    </row>
    <row r="197" spans="1:26" ht="12.75" x14ac:dyDescent="0.2">
      <c r="A197" s="122"/>
      <c r="B197" s="180"/>
      <c r="C197" s="198" t="s">
        <v>217</v>
      </c>
      <c r="D197" s="182"/>
      <c r="E197" s="182"/>
      <c r="F197" s="187">
        <f t="shared" ref="F197:O197" si="37">SUM(F191:F196)</f>
        <v>15.975698597999999</v>
      </c>
      <c r="G197" s="187">
        <f t="shared" si="37"/>
        <v>17.237778787241997</v>
      </c>
      <c r="H197" s="187">
        <f t="shared" si="37"/>
        <v>18.599563311434114</v>
      </c>
      <c r="I197" s="187">
        <f t="shared" si="37"/>
        <v>20.068928813037413</v>
      </c>
      <c r="J197" s="187">
        <f t="shared" si="37"/>
        <v>21.789919899875464</v>
      </c>
      <c r="K197" s="187">
        <f t="shared" si="37"/>
        <v>23.511323571965626</v>
      </c>
      <c r="L197" s="187">
        <f t="shared" si="37"/>
        <v>25.368718134150914</v>
      </c>
      <c r="M197" s="187">
        <f t="shared" si="37"/>
        <v>27.372846866748834</v>
      </c>
      <c r="N197" s="187">
        <f t="shared" si="37"/>
        <v>29.719028165864533</v>
      </c>
      <c r="O197" s="187">
        <f t="shared" si="37"/>
        <v>32.066831390967835</v>
      </c>
      <c r="P197" s="122"/>
      <c r="Q197" s="122"/>
      <c r="R197" s="122"/>
      <c r="S197" s="122"/>
      <c r="T197" s="122"/>
      <c r="U197" s="122"/>
      <c r="V197" s="122"/>
      <c r="W197" s="122"/>
      <c r="X197" s="122"/>
      <c r="Y197" s="122"/>
      <c r="Z197" s="122"/>
    </row>
    <row r="198" spans="1:26" ht="12.75" x14ac:dyDescent="0.2">
      <c r="A198" s="122"/>
      <c r="B198" s="180"/>
      <c r="C198" s="189"/>
      <c r="D198" s="201"/>
      <c r="E198" s="201"/>
      <c r="F198" s="202"/>
      <c r="G198" s="202"/>
      <c r="H198" s="202"/>
      <c r="I198" s="202"/>
      <c r="J198" s="202"/>
      <c r="K198" s="202"/>
      <c r="L198" s="202"/>
      <c r="M198" s="202"/>
      <c r="N198" s="202"/>
      <c r="O198" s="202"/>
      <c r="P198" s="122"/>
      <c r="Q198" s="122"/>
      <c r="R198" s="122"/>
      <c r="S198" s="122"/>
      <c r="T198" s="122"/>
      <c r="U198" s="122"/>
      <c r="V198" s="122"/>
      <c r="W198" s="122"/>
      <c r="X198" s="122"/>
      <c r="Y198" s="122"/>
      <c r="Z198" s="122"/>
    </row>
    <row r="199" spans="1:26" ht="12.75" x14ac:dyDescent="0.2">
      <c r="A199" s="122"/>
      <c r="B199" s="180"/>
      <c r="C199" s="188" t="s">
        <v>287</v>
      </c>
      <c r="D199" s="201"/>
      <c r="E199" s="201"/>
      <c r="F199" s="202"/>
      <c r="G199" s="202"/>
      <c r="H199" s="202"/>
      <c r="I199" s="202"/>
      <c r="J199" s="202"/>
      <c r="K199" s="202"/>
      <c r="L199" s="202"/>
      <c r="M199" s="202"/>
      <c r="N199" s="202"/>
      <c r="O199" s="202"/>
      <c r="P199" s="122"/>
      <c r="Q199" s="122"/>
      <c r="R199" s="122"/>
      <c r="S199" s="122"/>
      <c r="T199" s="122"/>
      <c r="U199" s="122"/>
      <c r="V199" s="122"/>
      <c r="W199" s="122"/>
      <c r="X199" s="122"/>
      <c r="Y199" s="122"/>
      <c r="Z199" s="122"/>
    </row>
    <row r="200" spans="1:26" ht="12.75" x14ac:dyDescent="0.2">
      <c r="A200" s="122"/>
      <c r="B200" s="180"/>
      <c r="C200" s="155" t="s">
        <v>375</v>
      </c>
      <c r="D200" s="201"/>
      <c r="E200" s="201"/>
      <c r="F200" s="190">
        <f>$F84*F$120/1000*F$150</f>
        <v>0.9405491043307086</v>
      </c>
      <c r="G200" s="190">
        <f>$F84*G$120/1000*G$150</f>
        <v>1.0349964478678346</v>
      </c>
      <c r="H200" s="190">
        <f>$F84*H$120/1000*H$150</f>
        <v>1.1387573287733899</v>
      </c>
      <c r="I200" s="190">
        <f>$F84*I$120/1000*I$150</f>
        <v>1.2527378223302932</v>
      </c>
      <c r="J200" s="190">
        <f>$F84*J$120/1000*J$150</f>
        <v>1.3779312430493427</v>
      </c>
      <c r="K200" s="190">
        <f>$F84*K$120/1000*K$150</f>
        <v>1.5154264764077505</v>
      </c>
      <c r="L200" s="190">
        <f>$F84*L$120/1000*L$150</f>
        <v>1.6664171011853752</v>
      </c>
      <c r="M200" s="190">
        <f>$F84*M$120/1000*M$150</f>
        <v>1.8322113770289186</v>
      </c>
      <c r="N200" s="190">
        <f>$F84*N$120/1000*N$150</f>
        <v>2.0142431788894002</v>
      </c>
      <c r="O200" s="190">
        <f>$F84*O$120/1000*O$150</f>
        <v>2.214083967650418</v>
      </c>
      <c r="P200" s="122"/>
      <c r="Q200" s="122"/>
      <c r="R200" s="122"/>
      <c r="S200" s="122"/>
      <c r="T200" s="122"/>
      <c r="U200" s="122"/>
      <c r="V200" s="122"/>
      <c r="W200" s="122"/>
      <c r="X200" s="122"/>
      <c r="Y200" s="122"/>
      <c r="Z200" s="122"/>
    </row>
    <row r="201" spans="1:26" ht="12.75" x14ac:dyDescent="0.2">
      <c r="A201" s="122"/>
      <c r="B201" s="180"/>
      <c r="C201" s="184" t="s">
        <v>284</v>
      </c>
      <c r="D201" s="185"/>
      <c r="E201" s="185"/>
      <c r="F201" s="186">
        <f>$F85*F$120/1000*(F$150+F$148+F$149)</f>
        <v>0.67221000000000009</v>
      </c>
      <c r="G201" s="186">
        <f>$F85*G$120/1000*(G$150+G$148+G$149)</f>
        <v>0.73401836508000018</v>
      </c>
      <c r="H201" s="186">
        <f>$F85*H$120/1000*(H$150+H$148+H$149)</f>
        <v>0.8015098857123758</v>
      </c>
      <c r="I201" s="186">
        <f>$F85*I$120/1000*(I$150+I$148+I$149)</f>
        <v>0.87520711668385753</v>
      </c>
      <c r="J201" s="186">
        <f>$F85*J$120/1000*(J$150+J$148+J$149)</f>
        <v>0.95568066064870472</v>
      </c>
      <c r="K201" s="186">
        <f>$F85*K$120/1000*(K$150+K$148+K$149)</f>
        <v>1.0435535860340317</v>
      </c>
      <c r="L201" s="186">
        <f>$F85*L$120/1000*(L$150+L$148+L$149)</f>
        <v>1.139506251162689</v>
      </c>
      <c r="M201" s="186">
        <f>$F85*M$120/1000*(M$150+M$148+M$149)</f>
        <v>1.2442815719445959</v>
      </c>
      <c r="N201" s="186">
        <f>$F85*N$120/1000*(N$150+N$148+N$149)</f>
        <v>1.3586907739217571</v>
      </c>
      <c r="O201" s="186">
        <f>$F85*O$120/1000*(O$150+O$148+O$149)</f>
        <v>1.4836196732023146</v>
      </c>
      <c r="P201" s="122"/>
      <c r="Q201" s="122"/>
      <c r="R201" s="122"/>
      <c r="S201" s="122"/>
      <c r="T201" s="122"/>
      <c r="U201" s="122"/>
      <c r="V201" s="122"/>
      <c r="W201" s="122"/>
      <c r="X201" s="122"/>
      <c r="Y201" s="122"/>
      <c r="Z201" s="122"/>
    </row>
    <row r="202" spans="1:26" ht="12.75" x14ac:dyDescent="0.2">
      <c r="A202" s="122"/>
      <c r="B202" s="180"/>
      <c r="C202" s="189" t="s">
        <v>289</v>
      </c>
      <c r="D202" s="201"/>
      <c r="E202" s="201"/>
      <c r="F202" s="202">
        <f>SUM(F200:F201)</f>
        <v>1.6127591043307086</v>
      </c>
      <c r="G202" s="202">
        <f t="shared" ref="G202:O202" si="38">SUM(G200:G201)</f>
        <v>1.7690148129478347</v>
      </c>
      <c r="H202" s="202">
        <f t="shared" si="38"/>
        <v>1.9402672144857656</v>
      </c>
      <c r="I202" s="202">
        <f t="shared" si="38"/>
        <v>2.1279449390141507</v>
      </c>
      <c r="J202" s="202">
        <f t="shared" si="38"/>
        <v>2.3336119036980474</v>
      </c>
      <c r="K202" s="202">
        <f t="shared" si="38"/>
        <v>2.5589800624417824</v>
      </c>
      <c r="L202" s="202">
        <f t="shared" si="38"/>
        <v>2.8059233523480644</v>
      </c>
      <c r="M202" s="202">
        <f t="shared" si="38"/>
        <v>3.0764929489735144</v>
      </c>
      <c r="N202" s="202">
        <f t="shared" si="38"/>
        <v>3.3729339528111573</v>
      </c>
      <c r="O202" s="202">
        <f t="shared" si="38"/>
        <v>3.6977036408527324</v>
      </c>
      <c r="P202" s="122"/>
      <c r="Q202" s="122"/>
      <c r="R202" s="122"/>
      <c r="S202" s="122"/>
      <c r="T202" s="122"/>
      <c r="U202" s="122"/>
      <c r="V202" s="122"/>
      <c r="W202" s="122"/>
      <c r="X202" s="122"/>
      <c r="Y202" s="122"/>
      <c r="Z202" s="122"/>
    </row>
    <row r="203" spans="1:26" ht="12.75" x14ac:dyDescent="0.2">
      <c r="A203" s="122"/>
      <c r="B203" s="122"/>
      <c r="C203" s="122"/>
      <c r="D203" s="122"/>
      <c r="E203" s="122"/>
      <c r="F203" s="122"/>
      <c r="G203" s="122"/>
      <c r="H203" s="122"/>
      <c r="I203" s="122"/>
      <c r="J203" s="122"/>
      <c r="K203" s="122"/>
      <c r="L203" s="122"/>
      <c r="M203" s="122"/>
      <c r="N203" s="122"/>
      <c r="O203" s="122"/>
      <c r="P203" s="122"/>
      <c r="Q203" s="122"/>
      <c r="R203" s="122"/>
      <c r="S203" s="122"/>
      <c r="T203" s="122"/>
      <c r="U203" s="122"/>
      <c r="V203" s="122"/>
      <c r="W203" s="122"/>
      <c r="X203" s="122"/>
      <c r="Y203" s="122"/>
      <c r="Z203" s="122"/>
    </row>
    <row r="204" spans="1:26" ht="12.75" x14ac:dyDescent="0.2">
      <c r="A204" s="122"/>
      <c r="B204" s="179" t="s">
        <v>227</v>
      </c>
      <c r="C204" s="155"/>
      <c r="D204" s="180"/>
      <c r="E204" s="180"/>
      <c r="F204" s="180"/>
      <c r="G204" s="180"/>
      <c r="H204" s="180"/>
      <c r="I204" s="180"/>
      <c r="J204" s="180"/>
      <c r="K204" s="180"/>
      <c r="L204" s="180"/>
      <c r="M204" s="180"/>
      <c r="N204" s="180"/>
      <c r="O204" s="180"/>
      <c r="P204" s="122"/>
      <c r="Q204" s="122"/>
      <c r="R204" s="122"/>
      <c r="S204" s="122"/>
      <c r="T204" s="122"/>
      <c r="U204" s="122"/>
      <c r="V204" s="122"/>
      <c r="W204" s="122"/>
      <c r="X204" s="122"/>
      <c r="Y204" s="122"/>
      <c r="Z204" s="122"/>
    </row>
    <row r="205" spans="1:26" ht="12.75" x14ac:dyDescent="0.2">
      <c r="A205" s="122"/>
      <c r="B205" s="180"/>
      <c r="C205" s="188" t="s">
        <v>218</v>
      </c>
      <c r="D205" s="180"/>
      <c r="E205" s="180"/>
      <c r="F205" s="180"/>
      <c r="G205" s="180"/>
      <c r="H205" s="180"/>
      <c r="I205" s="180"/>
      <c r="J205" s="180"/>
      <c r="K205" s="180"/>
      <c r="L205" s="180"/>
      <c r="M205" s="180"/>
      <c r="N205" s="180"/>
      <c r="O205" s="180"/>
      <c r="P205" s="122"/>
      <c r="Q205" s="122"/>
      <c r="R205" s="122"/>
      <c r="S205" s="122"/>
      <c r="T205" s="122"/>
      <c r="U205" s="122"/>
      <c r="V205" s="122"/>
      <c r="W205" s="122"/>
      <c r="X205" s="122"/>
      <c r="Y205" s="122"/>
      <c r="Z205" s="122"/>
    </row>
    <row r="206" spans="1:26" ht="12.75" x14ac:dyDescent="0.2">
      <c r="A206" s="122"/>
      <c r="B206" s="180"/>
      <c r="C206" s="228" t="s">
        <v>272</v>
      </c>
      <c r="D206" s="180"/>
      <c r="E206" s="180"/>
      <c r="F206" s="125">
        <f>$I40*F$141*$I48*F$135*F$120/1000</f>
        <v>8.4221219999999981</v>
      </c>
      <c r="G206" s="125">
        <f>$I40*G$141*$I48*G$135*G$120/1000</f>
        <v>9.0874696379999964</v>
      </c>
      <c r="H206" s="125">
        <f>$I40*H$141*$I48*H$135*H$120/1000</f>
        <v>9.8053797394019959</v>
      </c>
      <c r="I206" s="125">
        <f>$I40*I$141*$I48*I$135*I$120/1000</f>
        <v>10.580004738814754</v>
      </c>
      <c r="J206" s="125">
        <f>$I40*J$141*$I48*J$135*J$120/1000</f>
        <v>11.415825113181119</v>
      </c>
      <c r="K206" s="125">
        <f>$I40*K$141*$I48*K$135*K$120/1000</f>
        <v>12.317675297122427</v>
      </c>
      <c r="L206" s="125">
        <f>$I40*L$141*$I48*L$135*L$120/1000</f>
        <v>13.290771645595099</v>
      </c>
      <c r="M206" s="125">
        <f>$I40*M$141*$I48*M$135*M$120/1000</f>
        <v>14.340742605597113</v>
      </c>
      <c r="N206" s="125">
        <f>$I40*N$141*$I48*N$135*N$120/1000</f>
        <v>15.473661271439283</v>
      </c>
      <c r="O206" s="125">
        <f>$I40*O$141*$I48*O$135*O$120/1000</f>
        <v>16.696080511882986</v>
      </c>
      <c r="P206" s="122"/>
      <c r="Q206" s="122"/>
      <c r="R206" s="122"/>
      <c r="S206" s="122"/>
      <c r="T206" s="122"/>
      <c r="U206" s="122"/>
      <c r="V206" s="122"/>
      <c r="W206" s="122"/>
      <c r="X206" s="122"/>
      <c r="Y206" s="122"/>
      <c r="Z206" s="122"/>
    </row>
    <row r="207" spans="1:26" ht="12.75" x14ac:dyDescent="0.2">
      <c r="A207" s="122"/>
      <c r="B207" s="180"/>
      <c r="C207" s="228" t="s">
        <v>273</v>
      </c>
      <c r="D207" s="180"/>
      <c r="E207" s="180"/>
      <c r="F207" s="125">
        <f>$I41*F$141*$I49*F$135*F$120/1000</f>
        <v>4.8988394999999993</v>
      </c>
      <c r="G207" s="125">
        <f>$I41*G$141*$I49*G$135*G$120/1000</f>
        <v>5.285847820499999</v>
      </c>
      <c r="H207" s="125">
        <f>$I41*H$141*$I49*H$135*H$120/1000</f>
        <v>5.7034297983194984</v>
      </c>
      <c r="I207" s="125">
        <f>$I41*I$141*$I49*I$135*I$120/1000</f>
        <v>6.1540007523867386</v>
      </c>
      <c r="J207" s="125">
        <f>$I41*J$141*$I49*J$135*J$120/1000</f>
        <v>6.6401668118252912</v>
      </c>
      <c r="K207" s="125">
        <f>$I41*K$141*$I49*K$135*K$120/1000</f>
        <v>7.1647399899594886</v>
      </c>
      <c r="L207" s="125">
        <f>$I41*L$141*$I49*L$135*L$120/1000</f>
        <v>7.7307544491662883</v>
      </c>
      <c r="M207" s="125">
        <f>$I41*M$141*$I49*M$135*M$120/1000</f>
        <v>8.3414840506504238</v>
      </c>
      <c r="N207" s="125">
        <f>$I41*N$141*$I49*N$135*N$120/1000</f>
        <v>9.000461290651808</v>
      </c>
      <c r="O207" s="125">
        <f>$I41*O$141*$I49*O$135*O$120/1000</f>
        <v>9.7114977326133012</v>
      </c>
      <c r="P207" s="122"/>
      <c r="Q207" s="122"/>
      <c r="R207" s="122"/>
      <c r="S207" s="122"/>
      <c r="T207" s="122"/>
      <c r="U207" s="122"/>
      <c r="V207" s="122"/>
      <c r="W207" s="122"/>
      <c r="X207" s="122"/>
      <c r="Y207" s="122"/>
      <c r="Z207" s="122"/>
    </row>
    <row r="208" spans="1:26" ht="12.75" x14ac:dyDescent="0.2">
      <c r="A208" s="122"/>
      <c r="B208" s="180"/>
      <c r="C208" s="228" t="s">
        <v>274</v>
      </c>
      <c r="D208" s="180"/>
      <c r="E208" s="180"/>
      <c r="F208" s="125">
        <f>$I42*F$141*$I50*F$135*F$120/1000</f>
        <v>4.2579120000000001</v>
      </c>
      <c r="G208" s="125">
        <f>$I42*G$141*$I50*G$135*G$120/1000</f>
        <v>4.594287048</v>
      </c>
      <c r="H208" s="125">
        <f>$I42*H$141*$I50*H$135*H$120/1000</f>
        <v>4.9572357247919996</v>
      </c>
      <c r="I208" s="125">
        <f>$I42*I$141*$I50*I$135*I$120/1000</f>
        <v>5.3488573470505676</v>
      </c>
      <c r="J208" s="125">
        <f>$I42*J$141*$I50*J$135*J$120/1000</f>
        <v>5.7714170774675635</v>
      </c>
      <c r="K208" s="125">
        <f>$I42*K$141*$I50*K$135*K$120/1000</f>
        <v>6.2273590265875001</v>
      </c>
      <c r="L208" s="125">
        <f>$I42*L$141*$I50*L$135*L$120/1000</f>
        <v>6.7193203896879119</v>
      </c>
      <c r="M208" s="125">
        <f>$I42*M$141*$I50*M$135*M$120/1000</f>
        <v>7.2501467004732572</v>
      </c>
      <c r="N208" s="125">
        <f>$I42*N$141*$I50*N$135*N$120/1000</f>
        <v>7.8229082898106439</v>
      </c>
      <c r="O208" s="125">
        <f>$I42*O$141*$I50*O$135*O$120/1000</f>
        <v>8.4409180447056844</v>
      </c>
      <c r="P208" s="122"/>
      <c r="Q208" s="122"/>
      <c r="R208" s="122"/>
      <c r="S208" s="122"/>
      <c r="T208" s="122"/>
      <c r="U208" s="122"/>
      <c r="V208" s="122"/>
      <c r="W208" s="122"/>
      <c r="X208" s="122"/>
      <c r="Y208" s="122"/>
      <c r="Z208" s="122"/>
    </row>
    <row r="209" spans="1:26" ht="12.75" x14ac:dyDescent="0.2">
      <c r="A209" s="122"/>
      <c r="B209" s="180"/>
      <c r="C209" s="228" t="s">
        <v>275</v>
      </c>
      <c r="D209" s="180"/>
      <c r="E209" s="180"/>
      <c r="F209" s="125">
        <f>$I43*F$141*$I51*F$135*F$120/1000</f>
        <v>2.5910456692913386</v>
      </c>
      <c r="G209" s="125">
        <f>$I43*G$141*$I51*G$135*G$120/1000</f>
        <v>2.7957382771653543</v>
      </c>
      <c r="H209" s="125">
        <f>$I43*H$141*$I51*H$135*H$120/1000</f>
        <v>3.0166016010614172</v>
      </c>
      <c r="I209" s="125">
        <f>$I43*I$141*$I51*I$135*I$120/1000</f>
        <v>3.2549131275452692</v>
      </c>
      <c r="J209" s="125">
        <f>$I43*J$141*$I51*J$135*J$120/1000</f>
        <v>3.5120512646213453</v>
      </c>
      <c r="K209" s="125">
        <f>$I43*K$141*$I51*K$135*K$120/1000</f>
        <v>3.789503314526431</v>
      </c>
      <c r="L209" s="125">
        <f>$I43*L$141*$I51*L$135*L$120/1000</f>
        <v>4.0888740763740197</v>
      </c>
      <c r="M209" s="125">
        <f>$I43*M$141*$I51*M$135*M$120/1000</f>
        <v>4.4118951284075667</v>
      </c>
      <c r="N209" s="125">
        <f>$I43*N$141*$I51*N$135*N$120/1000</f>
        <v>4.7604348435517645</v>
      </c>
      <c r="O209" s="125">
        <f>$I43*O$141*$I51*O$135*O$120/1000</f>
        <v>5.1365091961923532</v>
      </c>
      <c r="P209" s="122"/>
      <c r="Q209" s="122"/>
      <c r="R209" s="122"/>
      <c r="S209" s="122"/>
      <c r="T209" s="122"/>
      <c r="U209" s="122"/>
      <c r="V209" s="122"/>
      <c r="W209" s="122"/>
      <c r="X209" s="122"/>
      <c r="Y209" s="122"/>
      <c r="Z209" s="122"/>
    </row>
    <row r="210" spans="1:26" ht="12.75" x14ac:dyDescent="0.2">
      <c r="A210" s="122"/>
      <c r="B210" s="180"/>
      <c r="C210" s="152" t="s">
        <v>293</v>
      </c>
      <c r="D210" s="180"/>
      <c r="E210" s="180"/>
      <c r="F210" s="125">
        <f>$I44*F$141*$I52*F$135*F$120/1000</f>
        <v>2.4016229999999994</v>
      </c>
      <c r="G210" s="125">
        <f>$I44*G$141*$I52*G$135*G$120/1000</f>
        <v>2.5913512169999993</v>
      </c>
      <c r="H210" s="125">
        <f>$I44*H$141*$I52*H$135*H$120/1000</f>
        <v>2.7960679631429994</v>
      </c>
      <c r="I210" s="125">
        <f>$I44*I$141*$I52*I$135*I$120/1000</f>
        <v>3.0169573322312964</v>
      </c>
      <c r="J210" s="125">
        <f>$I44*J$141*$I52*J$135*J$120/1000</f>
        <v>3.2552969614775686</v>
      </c>
      <c r="K210" s="125">
        <f>$I44*K$141*$I52*K$135*K$120/1000</f>
        <v>3.5124654214342965</v>
      </c>
      <c r="L210" s="125">
        <f>$I44*L$141*$I52*L$135*L$120/1000</f>
        <v>3.7899501897276058</v>
      </c>
      <c r="M210" s="125">
        <f>$I44*M$141*$I52*M$135*M$120/1000</f>
        <v>4.089356254716086</v>
      </c>
      <c r="N210" s="125">
        <f>$I44*N$141*$I52*N$135*N$120/1000</f>
        <v>4.4124153988386574</v>
      </c>
      <c r="O210" s="125">
        <f>$I44*O$141*$I52*O$135*O$120/1000</f>
        <v>4.7609962153469105</v>
      </c>
      <c r="P210" s="122"/>
      <c r="Q210" s="122"/>
      <c r="R210" s="122"/>
      <c r="S210" s="122"/>
      <c r="T210" s="122"/>
      <c r="U210" s="122"/>
      <c r="V210" s="122"/>
      <c r="W210" s="122"/>
      <c r="X210" s="122"/>
      <c r="Y210" s="122"/>
      <c r="Z210" s="122"/>
    </row>
    <row r="211" spans="1:26" ht="12.75" x14ac:dyDescent="0.2">
      <c r="A211" s="122"/>
      <c r="B211" s="180"/>
      <c r="C211" s="228" t="s">
        <v>278</v>
      </c>
      <c r="D211" s="180"/>
      <c r="E211" s="180"/>
      <c r="F211" s="125">
        <f>$I45*F$141*$I53*F$135*F$120/1000</f>
        <v>12.949499999999999</v>
      </c>
      <c r="G211" s="125">
        <f>$I45*G$141*$I53*G$135*G$120/1000</f>
        <v>13.972510499999997</v>
      </c>
      <c r="H211" s="125">
        <f>$I45*H$141*$I53*H$135*H$120/1000</f>
        <v>15.076338829499997</v>
      </c>
      <c r="I211" s="125">
        <f>$I45*I$141*$I53*I$135*I$120/1000</f>
        <v>16.267369597030495</v>
      </c>
      <c r="J211" s="125">
        <f>$I45*J$141*$I53*J$135*J$120/1000</f>
        <v>17.552491795195905</v>
      </c>
      <c r="K211" s="125">
        <f>$I45*K$141*$I53*K$135*K$120/1000</f>
        <v>18.939138647016382</v>
      </c>
      <c r="L211" s="125">
        <f>$I45*L$141*$I53*L$135*L$120/1000</f>
        <v>20.435330600130673</v>
      </c>
      <c r="M211" s="125">
        <f>$I45*M$141*$I53*M$135*M$120/1000</f>
        <v>22.049721717540997</v>
      </c>
      <c r="N211" s="125">
        <f>$I45*N$141*$I53*N$135*N$120/1000</f>
        <v>23.791649733226734</v>
      </c>
      <c r="O211" s="125">
        <f>$I45*O$141*$I53*O$135*O$120/1000</f>
        <v>25.671190062151648</v>
      </c>
      <c r="P211" s="122"/>
      <c r="Q211" s="122"/>
      <c r="R211" s="122"/>
      <c r="S211" s="122"/>
      <c r="T211" s="122"/>
      <c r="U211" s="122"/>
      <c r="V211" s="122"/>
      <c r="W211" s="122"/>
      <c r="X211" s="122"/>
      <c r="Y211" s="122"/>
      <c r="Z211" s="122"/>
    </row>
    <row r="212" spans="1:26" ht="12.75" x14ac:dyDescent="0.2">
      <c r="A212" s="122"/>
      <c r="B212" s="180"/>
      <c r="C212" s="152" t="s">
        <v>85</v>
      </c>
      <c r="D212" s="180"/>
      <c r="E212" s="180"/>
      <c r="F212" s="125">
        <f t="shared" ref="F212:O212" si="39">IF(F173&lt;$I$47,$I$46*$I$53*F$135*F$120/1000,0)</f>
        <v>5</v>
      </c>
      <c r="G212" s="125">
        <f t="shared" si="39"/>
        <v>5.3949999999999996</v>
      </c>
      <c r="H212" s="125">
        <f t="shared" si="39"/>
        <v>5.8212049999999991</v>
      </c>
      <c r="I212" s="125">
        <f t="shared" si="39"/>
        <v>6.2810801949999995</v>
      </c>
      <c r="J212" s="125">
        <f t="shared" si="39"/>
        <v>0</v>
      </c>
      <c r="K212" s="125">
        <f t="shared" si="39"/>
        <v>0</v>
      </c>
      <c r="L212" s="125">
        <f t="shared" si="39"/>
        <v>0</v>
      </c>
      <c r="M212" s="125">
        <f t="shared" si="39"/>
        <v>0</v>
      </c>
      <c r="N212" s="125">
        <f t="shared" si="39"/>
        <v>0</v>
      </c>
      <c r="O212" s="125">
        <f t="shared" si="39"/>
        <v>0</v>
      </c>
      <c r="P212" s="122"/>
      <c r="Q212" s="122"/>
      <c r="R212" s="122"/>
      <c r="S212" s="122"/>
      <c r="T212" s="122"/>
      <c r="U212" s="122"/>
      <c r="V212" s="122"/>
      <c r="W212" s="122"/>
      <c r="X212" s="122"/>
      <c r="Y212" s="122"/>
      <c r="Z212" s="122"/>
    </row>
    <row r="213" spans="1:26" ht="12.75" x14ac:dyDescent="0.2">
      <c r="A213" s="122"/>
      <c r="B213" s="180"/>
      <c r="C213" s="199" t="s">
        <v>207</v>
      </c>
      <c r="D213" s="182"/>
      <c r="E213" s="182"/>
      <c r="F213" s="127">
        <f>SUM(F206:F212)</f>
        <v>40.521042169291334</v>
      </c>
      <c r="G213" s="127">
        <f t="shared" ref="G213:O213" si="40">SUM(G206:G212)</f>
        <v>43.722204500665342</v>
      </c>
      <c r="H213" s="127">
        <f t="shared" si="40"/>
        <v>47.176258656217904</v>
      </c>
      <c r="I213" s="127">
        <f t="shared" si="40"/>
        <v>50.903183090059123</v>
      </c>
      <c r="J213" s="127">
        <f t="shared" si="40"/>
        <v>48.147249023768794</v>
      </c>
      <c r="K213" s="127">
        <f t="shared" si="40"/>
        <v>51.950881696646533</v>
      </c>
      <c r="L213" s="127">
        <f t="shared" si="40"/>
        <v>56.055001350681593</v>
      </c>
      <c r="M213" s="127">
        <f t="shared" si="40"/>
        <v>60.483346457385444</v>
      </c>
      <c r="N213" s="127">
        <f t="shared" si="40"/>
        <v>65.261530827518882</v>
      </c>
      <c r="O213" s="127">
        <f t="shared" si="40"/>
        <v>70.417191762892884</v>
      </c>
      <c r="P213" s="122"/>
      <c r="Q213" s="122"/>
      <c r="R213" s="122"/>
      <c r="S213" s="122"/>
      <c r="T213" s="122"/>
      <c r="U213" s="122"/>
      <c r="V213" s="122"/>
      <c r="W213" s="122"/>
      <c r="X213" s="122"/>
      <c r="Y213" s="122"/>
      <c r="Z213" s="122"/>
    </row>
    <row r="214" spans="1:26" ht="12.75" x14ac:dyDescent="0.2">
      <c r="A214" s="122"/>
      <c r="B214" s="180"/>
      <c r="C214" s="152"/>
      <c r="D214" s="180"/>
      <c r="E214" s="180"/>
      <c r="F214" s="183"/>
      <c r="G214" s="183"/>
      <c r="H214" s="183"/>
      <c r="I214" s="183"/>
      <c r="J214" s="183"/>
      <c r="K214" s="183"/>
      <c r="L214" s="183"/>
      <c r="M214" s="183"/>
      <c r="N214" s="183"/>
      <c r="O214" s="183"/>
      <c r="P214" s="122"/>
      <c r="Q214" s="122"/>
      <c r="R214" s="122"/>
      <c r="S214" s="122"/>
      <c r="T214" s="122"/>
      <c r="U214" s="122"/>
      <c r="V214" s="122"/>
      <c r="W214" s="122"/>
      <c r="X214" s="122"/>
      <c r="Y214" s="122"/>
      <c r="Z214" s="122"/>
    </row>
    <row r="215" spans="1:26" ht="12.75" x14ac:dyDescent="0.2">
      <c r="A215" s="122"/>
      <c r="B215" s="180"/>
      <c r="C215" s="188" t="s">
        <v>215</v>
      </c>
      <c r="D215" s="180"/>
      <c r="E215" s="180"/>
      <c r="F215" s="183"/>
      <c r="G215" s="183"/>
      <c r="H215" s="183"/>
      <c r="I215" s="183"/>
      <c r="J215" s="183"/>
      <c r="K215" s="183"/>
      <c r="L215" s="183"/>
      <c r="M215" s="183"/>
      <c r="N215" s="183"/>
      <c r="O215" s="183"/>
      <c r="P215" s="122"/>
      <c r="Q215" s="122"/>
      <c r="R215" s="122"/>
      <c r="S215" s="122"/>
      <c r="T215" s="122"/>
      <c r="U215" s="122"/>
      <c r="V215" s="122"/>
      <c r="W215" s="122"/>
      <c r="X215" s="122"/>
      <c r="Y215" s="122"/>
      <c r="Z215" s="122"/>
    </row>
    <row r="216" spans="1:26" ht="12.75" x14ac:dyDescent="0.2">
      <c r="A216" s="122"/>
      <c r="B216" s="180"/>
      <c r="C216" s="155" t="s">
        <v>110</v>
      </c>
      <c r="D216" s="180"/>
      <c r="E216" s="180"/>
      <c r="F216" s="125">
        <f t="shared" ref="F216:O216" si="41">$I$57*F$141*F$120/1000</f>
        <v>4.6074999999999999</v>
      </c>
      <c r="G216" s="125">
        <f t="shared" si="41"/>
        <v>4.9714924999999992</v>
      </c>
      <c r="H216" s="125">
        <f t="shared" si="41"/>
        <v>5.3642404074999996</v>
      </c>
      <c r="I216" s="125">
        <f t="shared" si="41"/>
        <v>5.7880153996924992</v>
      </c>
      <c r="J216" s="125">
        <f t="shared" si="41"/>
        <v>6.2452686162682065</v>
      </c>
      <c r="K216" s="125">
        <f t="shared" si="41"/>
        <v>6.7386448369533944</v>
      </c>
      <c r="L216" s="125">
        <f t="shared" si="41"/>
        <v>7.2709977790727134</v>
      </c>
      <c r="M216" s="125">
        <f t="shared" si="41"/>
        <v>7.8454066036194572</v>
      </c>
      <c r="N216" s="125">
        <f t="shared" si="41"/>
        <v>8.4651937253053937</v>
      </c>
      <c r="O216" s="125">
        <f t="shared" si="41"/>
        <v>9.1339440296045193</v>
      </c>
      <c r="P216" s="122"/>
      <c r="Q216" s="122"/>
      <c r="R216" s="122"/>
      <c r="S216" s="122"/>
      <c r="T216" s="122"/>
      <c r="U216" s="122"/>
      <c r="V216" s="122"/>
      <c r="W216" s="122"/>
      <c r="X216" s="122"/>
      <c r="Y216" s="122"/>
      <c r="Z216" s="122"/>
    </row>
    <row r="217" spans="1:26" ht="12.75" x14ac:dyDescent="0.2">
      <c r="A217" s="122"/>
      <c r="B217" s="180"/>
      <c r="C217" s="184" t="s">
        <v>283</v>
      </c>
      <c r="D217" s="185"/>
      <c r="E217" s="185"/>
      <c r="F217" s="186">
        <f t="shared" ref="F217:O217" si="42">($F$59+$F$59*(F$141-1)*($F$58))/1000*F$120</f>
        <v>2.1601050000000002</v>
      </c>
      <c r="G217" s="186">
        <f t="shared" si="42"/>
        <v>2.3307532950000001</v>
      </c>
      <c r="H217" s="186">
        <f t="shared" si="42"/>
        <v>2.5148828053050001</v>
      </c>
      <c r="I217" s="186">
        <f t="shared" si="42"/>
        <v>2.7135585469240948</v>
      </c>
      <c r="J217" s="186">
        <f t="shared" si="42"/>
        <v>2.9279296721310986</v>
      </c>
      <c r="K217" s="186">
        <f t="shared" si="42"/>
        <v>3.1592361162294549</v>
      </c>
      <c r="L217" s="186">
        <f t="shared" si="42"/>
        <v>3.4088157694115822</v>
      </c>
      <c r="M217" s="186">
        <f t="shared" si="42"/>
        <v>3.6781122151950969</v>
      </c>
      <c r="N217" s="186">
        <f t="shared" si="42"/>
        <v>3.9686830801955093</v>
      </c>
      <c r="O217" s="186">
        <f t="shared" si="42"/>
        <v>4.2822090435309548</v>
      </c>
      <c r="P217" s="122"/>
      <c r="Q217" s="122"/>
      <c r="R217" s="122"/>
      <c r="S217" s="122"/>
      <c r="T217" s="122"/>
      <c r="U217" s="122"/>
      <c r="V217" s="122"/>
      <c r="W217" s="122"/>
      <c r="X217" s="122"/>
      <c r="Y217" s="122"/>
      <c r="Z217" s="122"/>
    </row>
    <row r="218" spans="1:26" ht="12.75" x14ac:dyDescent="0.2">
      <c r="A218" s="122"/>
      <c r="B218" s="180"/>
      <c r="C218" s="199" t="s">
        <v>216</v>
      </c>
      <c r="D218" s="182"/>
      <c r="E218" s="182"/>
      <c r="F218" s="127">
        <f>SUM(F216:F217)</f>
        <v>6.7676049999999996</v>
      </c>
      <c r="G218" s="127">
        <f t="shared" ref="G218:O218" si="43">SUM(G216:G217)</f>
        <v>7.3022457949999993</v>
      </c>
      <c r="H218" s="127">
        <f t="shared" si="43"/>
        <v>7.8791232128050002</v>
      </c>
      <c r="I218" s="127">
        <f t="shared" si="43"/>
        <v>8.5015739466165936</v>
      </c>
      <c r="J218" s="127">
        <f t="shared" si="43"/>
        <v>9.1731982883993055</v>
      </c>
      <c r="K218" s="127">
        <f t="shared" si="43"/>
        <v>9.8978809531828489</v>
      </c>
      <c r="L218" s="127">
        <f t="shared" si="43"/>
        <v>10.679813548484296</v>
      </c>
      <c r="M218" s="127">
        <f t="shared" si="43"/>
        <v>11.523518818814555</v>
      </c>
      <c r="N218" s="127">
        <f t="shared" si="43"/>
        <v>12.433876805500903</v>
      </c>
      <c r="O218" s="127">
        <f t="shared" si="43"/>
        <v>13.416153073135474</v>
      </c>
      <c r="P218" s="122"/>
      <c r="Q218" s="122"/>
      <c r="R218" s="122"/>
      <c r="S218" s="122"/>
      <c r="T218" s="122"/>
      <c r="U218" s="122"/>
      <c r="V218" s="122"/>
      <c r="W218" s="122"/>
      <c r="X218" s="122"/>
      <c r="Y218" s="122"/>
      <c r="Z218" s="122"/>
    </row>
    <row r="219" spans="1:26" ht="12.75" x14ac:dyDescent="0.2">
      <c r="A219" s="122"/>
      <c r="B219" s="180"/>
      <c r="C219" s="155"/>
      <c r="D219" s="180"/>
      <c r="E219" s="180"/>
      <c r="F219" s="183"/>
      <c r="G219" s="183"/>
      <c r="H219" s="183"/>
      <c r="I219" s="183"/>
      <c r="J219" s="183"/>
      <c r="K219" s="183"/>
      <c r="L219" s="183"/>
      <c r="M219" s="183"/>
      <c r="N219" s="183"/>
      <c r="O219" s="183"/>
      <c r="P219" s="122"/>
      <c r="Q219" s="122"/>
      <c r="R219" s="122"/>
      <c r="S219" s="122"/>
      <c r="T219" s="122"/>
      <c r="U219" s="122"/>
      <c r="V219" s="122"/>
      <c r="W219" s="122"/>
      <c r="X219" s="122"/>
      <c r="Y219" s="122"/>
      <c r="Z219" s="122"/>
    </row>
    <row r="220" spans="1:26" ht="12.75" x14ac:dyDescent="0.2">
      <c r="A220" s="122"/>
      <c r="B220" s="180"/>
      <c r="C220" s="188" t="s">
        <v>219</v>
      </c>
      <c r="D220" s="180"/>
      <c r="E220" s="180"/>
      <c r="F220" s="183"/>
      <c r="G220" s="183"/>
      <c r="H220" s="183"/>
      <c r="I220" s="183"/>
      <c r="J220" s="183"/>
      <c r="K220" s="183"/>
      <c r="L220" s="183"/>
      <c r="M220" s="183"/>
      <c r="N220" s="183"/>
      <c r="O220" s="183"/>
      <c r="P220" s="122"/>
      <c r="Q220" s="122"/>
      <c r="R220" s="122"/>
      <c r="S220" s="122"/>
      <c r="T220" s="122"/>
      <c r="U220" s="122"/>
      <c r="V220" s="122"/>
      <c r="W220" s="122"/>
      <c r="X220" s="122"/>
      <c r="Y220" s="122"/>
      <c r="Z220" s="122"/>
    </row>
    <row r="221" spans="1:26" ht="12.75" x14ac:dyDescent="0.2">
      <c r="A221" s="122"/>
      <c r="B221" s="180"/>
      <c r="C221" s="152" t="s">
        <v>92</v>
      </c>
      <c r="D221" s="180"/>
      <c r="E221" s="180"/>
      <c r="F221" s="125">
        <f>F170*(1+$F$77)</f>
        <v>0.36374999999999996</v>
      </c>
      <c r="G221" s="125">
        <f>G170*(1+$F$77)</f>
        <v>0.39248624999999993</v>
      </c>
      <c r="H221" s="125">
        <f>H170*(1+$F$77)</f>
        <v>0.42349266374999989</v>
      </c>
      <c r="I221" s="125">
        <f>I170*(1+$F$77)</f>
        <v>0.4569485841862499</v>
      </c>
      <c r="J221" s="125">
        <f>J170*(1+$F$77)</f>
        <v>0.49304752233696364</v>
      </c>
      <c r="K221" s="125">
        <f>K170*(1+$F$77)</f>
        <v>0.53199827660158372</v>
      </c>
      <c r="L221" s="125">
        <f>L170*(1+$F$77)</f>
        <v>0.57402614045310885</v>
      </c>
      <c r="M221" s="125">
        <f>M170*(1+$F$77)</f>
        <v>0.61937420554890443</v>
      </c>
      <c r="N221" s="125">
        <f>N170*(1+$F$77)</f>
        <v>0.66830476778726788</v>
      </c>
      <c r="O221" s="125">
        <f>O170*(1+$F$77)</f>
        <v>0.72110084444246203</v>
      </c>
      <c r="P221" s="122"/>
      <c r="Q221" s="122"/>
      <c r="R221" s="122"/>
      <c r="S221" s="122"/>
      <c r="T221" s="122"/>
      <c r="U221" s="122"/>
      <c r="V221" s="122"/>
      <c r="W221" s="122"/>
      <c r="X221" s="122"/>
      <c r="Y221" s="122"/>
      <c r="Z221" s="122"/>
    </row>
    <row r="222" spans="1:26" ht="12.75" x14ac:dyDescent="0.2">
      <c r="A222" s="122"/>
      <c r="B222" s="180"/>
      <c r="C222" s="152" t="s">
        <v>96</v>
      </c>
      <c r="D222" s="180"/>
      <c r="E222" s="180"/>
      <c r="F222" s="125">
        <f>$I63*F$141*$I71/1000*F$120*F$137*(1+$F$77)</f>
        <v>5.3107499999999996</v>
      </c>
      <c r="G222" s="125">
        <f>$I63*G$141*$I71/1000*G$120*G$137*(1+$F$77)</f>
        <v>5.730299249999999</v>
      </c>
      <c r="H222" s="125">
        <f>$I63*H$141*$I71/1000*H$120*H$137*(1+$F$77)</f>
        <v>6.1829928907499987</v>
      </c>
      <c r="I222" s="125">
        <f>$I63*I$141*$I71/1000*I$120*I$137*(1+$F$77)</f>
        <v>6.6714493291192491</v>
      </c>
      <c r="J222" s="125">
        <f>$I63*J$141*$I71/1000*J$120*J$137*(1+$F$77)</f>
        <v>7.1984938261196696</v>
      </c>
      <c r="K222" s="125">
        <f>$I63*K$141*$I71/1000*K$120*K$137*(1+$F$77)</f>
        <v>7.7671748383831227</v>
      </c>
      <c r="L222" s="125">
        <f>$I63*L$141*$I71/1000*L$120*L$137*(1+$F$77)</f>
        <v>8.3807816506153898</v>
      </c>
      <c r="M222" s="125">
        <f>$I63*M$141*$I71/1000*M$120*M$137*(1+$F$77)</f>
        <v>9.0428634010140048</v>
      </c>
      <c r="N222" s="125">
        <f>$I63*N$141*$I71/1000*N$120*N$137*(1+$F$77)</f>
        <v>9.7572496096941119</v>
      </c>
      <c r="O222" s="125">
        <f>$I63*O$141*$I71/1000*O$120*O$137*(1+$F$77)</f>
        <v>10.528072328859945</v>
      </c>
      <c r="P222" s="122"/>
      <c r="Q222" s="122"/>
      <c r="R222" s="122"/>
      <c r="S222" s="122"/>
      <c r="T222" s="122"/>
      <c r="U222" s="122"/>
      <c r="V222" s="122"/>
      <c r="W222" s="122"/>
      <c r="X222" s="122"/>
      <c r="Y222" s="122"/>
      <c r="Z222" s="122"/>
    </row>
    <row r="223" spans="1:26" ht="12.75" x14ac:dyDescent="0.2">
      <c r="A223" s="122"/>
      <c r="B223" s="180"/>
      <c r="C223" s="152" t="s">
        <v>99</v>
      </c>
      <c r="D223" s="180"/>
      <c r="E223" s="180"/>
      <c r="F223" s="125">
        <f>$I64*F$141*$I72/1000*F$122*(1+$F$77)*F$127</f>
        <v>18.459907040000001</v>
      </c>
      <c r="G223" s="125">
        <f>$I64*G$141*$I72/1000*G$122*(1+$F$77)*G$127</f>
        <v>19.918239696159997</v>
      </c>
      <c r="H223" s="125">
        <f>$I64*H$141*$I72/1000*H$122*(1+$F$77)*H$127</f>
        <v>21.491780632156633</v>
      </c>
      <c r="I223" s="125">
        <f>$I64*I$141*$I72/1000*I$122*(1+$F$77)*I$127</f>
        <v>23.189631302097013</v>
      </c>
      <c r="J223" s="125">
        <f>$I64*J$141*$I72/1000*J$122*(1+$F$77)*J$127</f>
        <v>25.021612174962673</v>
      </c>
      <c r="K223" s="125">
        <f>$I64*K$141*$I72/1000*K$122*(1+$F$77)*K$127</f>
        <v>26.998319536784727</v>
      </c>
      <c r="L223" s="125">
        <f>$I64*L$141*$I72/1000*L$122*(1+$F$77)*L$127</f>
        <v>29.131186780190717</v>
      </c>
      <c r="M223" s="125">
        <f>$I64*M$141*$I72/1000*M$122*(1+$F$77)*M$127</f>
        <v>31.432550535825786</v>
      </c>
      <c r="N223" s="125">
        <f>$I64*N$141*$I72/1000*N$122*(1+$F$77)*N$127</f>
        <v>33.915722028156026</v>
      </c>
      <c r="O223" s="125">
        <f>$I64*O$141*$I72/1000*O$122*(1+$F$77)*O$127</f>
        <v>36.595064068380346</v>
      </c>
      <c r="P223" s="122"/>
      <c r="Q223" s="122"/>
      <c r="R223" s="122"/>
      <c r="S223" s="122"/>
      <c r="T223" s="122"/>
      <c r="U223" s="122"/>
      <c r="V223" s="122"/>
      <c r="W223" s="122"/>
      <c r="X223" s="122"/>
      <c r="Y223" s="122"/>
      <c r="Z223" s="122"/>
    </row>
    <row r="224" spans="1:26" ht="12.75" x14ac:dyDescent="0.2">
      <c r="A224" s="122"/>
      <c r="B224" s="180"/>
      <c r="C224" s="152" t="s">
        <v>102</v>
      </c>
      <c r="D224" s="180"/>
      <c r="E224" s="180"/>
      <c r="F224" s="125">
        <f>$I65*F$141*$I73/1000*F$122*(1+$F$77)*F$127</f>
        <v>9.306360419999999</v>
      </c>
      <c r="G224" s="125">
        <f>$I65*G$141*$I73/1000*G$122*(1+$F$77)*G$127</f>
        <v>10.041562893179998</v>
      </c>
      <c r="H224" s="125">
        <f>$I65*H$141*$I73/1000*H$122*(1+$F$77)*H$127</f>
        <v>10.834846361741217</v>
      </c>
      <c r="I224" s="125">
        <f>$I65*I$141*$I73/1000*I$122*(1+$F$77)*I$127</f>
        <v>11.690799224318775</v>
      </c>
      <c r="J224" s="125">
        <f>$I65*J$141*$I73/1000*J$122*(1+$F$77)*J$127</f>
        <v>12.614372363039958</v>
      </c>
      <c r="K224" s="125">
        <f>$I65*K$141*$I73/1000*K$122*(1+$F$77)*K$127</f>
        <v>13.610907779720113</v>
      </c>
      <c r="L224" s="125">
        <f>$I65*L$141*$I73/1000*L$122*(1+$F$77)*L$127</f>
        <v>14.686169494318003</v>
      </c>
      <c r="M224" s="125">
        <f>$I65*M$141*$I73/1000*M$122*(1+$F$77)*M$127</f>
        <v>15.846376884369123</v>
      </c>
      <c r="N224" s="125">
        <f>$I65*N$141*$I73/1000*N$122*(1+$F$77)*N$127</f>
        <v>17.098240658234285</v>
      </c>
      <c r="O224" s="125">
        <f>$I65*O$141*$I73/1000*O$122*(1+$F$77)*O$127</f>
        <v>18.449001670234789</v>
      </c>
      <c r="P224" s="122"/>
      <c r="Q224" s="122"/>
      <c r="R224" s="122"/>
      <c r="S224" s="122"/>
      <c r="T224" s="122"/>
      <c r="U224" s="122"/>
      <c r="V224" s="122"/>
      <c r="W224" s="122"/>
      <c r="X224" s="122"/>
      <c r="Y224" s="122"/>
      <c r="Z224" s="122"/>
    </row>
    <row r="225" spans="1:26" ht="12.75" x14ac:dyDescent="0.2">
      <c r="A225" s="122"/>
      <c r="B225" s="180"/>
      <c r="C225" s="152" t="s">
        <v>105</v>
      </c>
      <c r="D225" s="180"/>
      <c r="E225" s="180"/>
      <c r="F225" s="125">
        <f>$I66*F$141*$I74/1000*F$122*(1+$F$77)*F$127</f>
        <v>2.13788</v>
      </c>
      <c r="G225" s="125">
        <f>$I66*G$141*$I74/1000*G$122*(1+$F$77)*G$127</f>
        <v>2.3067725199999995</v>
      </c>
      <c r="H225" s="125">
        <f>$I66*H$141*$I74/1000*H$122*(1+$F$77)*H$127</f>
        <v>2.4890075490799992</v>
      </c>
      <c r="I225" s="125">
        <f>$I66*I$141*$I74/1000*I$122*(1+$F$77)*I$127</f>
        <v>2.6856391454573196</v>
      </c>
      <c r="J225" s="125">
        <f>$I66*J$141*$I74/1000*J$122*(1+$F$77)*J$127</f>
        <v>2.8978046379484477</v>
      </c>
      <c r="K225" s="125">
        <f>$I66*K$141*$I74/1000*K$122*(1+$F$77)*K$127</f>
        <v>3.1267312043463753</v>
      </c>
      <c r="L225" s="125">
        <f>$I66*L$141*$I74/1000*L$122*(1+$F$77)*L$127</f>
        <v>3.3737429694897392</v>
      </c>
      <c r="M225" s="125">
        <f>$I66*M$141*$I74/1000*M$122*(1+$F$77)*M$127</f>
        <v>3.6402686640794282</v>
      </c>
      <c r="N225" s="125">
        <f>$I66*N$141*$I74/1000*N$122*(1+$F$77)*N$127</f>
        <v>3.9278498885417026</v>
      </c>
      <c r="O225" s="125">
        <f>$I66*O$141*$I74/1000*O$122*(1+$F$77)*O$127</f>
        <v>4.2381500297364969</v>
      </c>
      <c r="P225" s="122"/>
      <c r="Q225" s="122"/>
      <c r="R225" s="122"/>
      <c r="S225" s="122"/>
      <c r="T225" s="122"/>
      <c r="U225" s="122"/>
      <c r="V225" s="122"/>
      <c r="W225" s="122"/>
      <c r="X225" s="122"/>
      <c r="Y225" s="122"/>
      <c r="Z225" s="122"/>
    </row>
    <row r="226" spans="1:26" ht="12.75" x14ac:dyDescent="0.2">
      <c r="A226" s="122"/>
      <c r="B226" s="180"/>
      <c r="C226" s="152" t="s">
        <v>108</v>
      </c>
      <c r="D226" s="180"/>
      <c r="E226" s="180"/>
      <c r="F226" s="125">
        <f>ROUNDUP(F157*1000/$F$67,0)*$I75/1000*F$120</f>
        <v>2.5</v>
      </c>
      <c r="G226" s="125">
        <f>ROUNDUP(G157*1000/$F$67,0)*$I75/1000*G$120</f>
        <v>2.8054000000000001</v>
      </c>
      <c r="H226" s="125">
        <f>ROUNDUP(H157*1000/$F$67,0)*$I75/1000*H$120</f>
        <v>3.0270265999999997</v>
      </c>
      <c r="I226" s="125">
        <f>ROUNDUP(I157*1000/$F$67,0)*$I75/1000*I$120</f>
        <v>3.3917833053000002</v>
      </c>
      <c r="J226" s="125">
        <f>ROUNDUP(J157*1000/$F$67,0)*$I75/1000*J$120</f>
        <v>3.7952798970267994</v>
      </c>
      <c r="K226" s="125">
        <f>ROUNDUP(K157*1000/$F$67,0)*$I75/1000*K$120</f>
        <v>4.2413608306380564</v>
      </c>
      <c r="L226" s="125">
        <f>ROUNDUP(L157*1000/$F$67,0)*$I75/1000*L$120</f>
        <v>4.7342362099225479</v>
      </c>
      <c r="M226" s="125">
        <f>ROUNDUP(M157*1000/$F$67,0)*$I75/1000*M$120</f>
        <v>5.2785155661899763</v>
      </c>
      <c r="N226" s="125">
        <f>ROUNDUP(N157*1000/$F$67,0)*$I75/1000*N$120</f>
        <v>5.8792446925615325</v>
      </c>
      <c r="O226" s="125">
        <f>ROUNDUP(O157*1000/$F$67,0)*$I75/1000*O$120</f>
        <v>6.5419458052512018</v>
      </c>
      <c r="P226" s="122"/>
      <c r="Q226" s="122"/>
      <c r="R226" s="122"/>
      <c r="S226" s="122"/>
      <c r="T226" s="122"/>
      <c r="U226" s="122"/>
      <c r="V226" s="122"/>
      <c r="W226" s="122"/>
      <c r="X226" s="122"/>
      <c r="Y226" s="122"/>
      <c r="Z226" s="122"/>
    </row>
    <row r="227" spans="1:26" ht="12.75" x14ac:dyDescent="0.2">
      <c r="A227" s="122"/>
      <c r="B227" s="180"/>
      <c r="C227" s="198" t="s">
        <v>217</v>
      </c>
      <c r="D227" s="182"/>
      <c r="E227" s="182"/>
      <c r="F227" s="187">
        <f t="shared" ref="F227:O227" si="44">SUM(F221:F226)</f>
        <v>38.078647459999999</v>
      </c>
      <c r="G227" s="187">
        <f t="shared" si="44"/>
        <v>41.194760609339994</v>
      </c>
      <c r="H227" s="187">
        <f t="shared" si="44"/>
        <v>44.449146697477843</v>
      </c>
      <c r="I227" s="187">
        <f t="shared" si="44"/>
        <v>48.08625089047861</v>
      </c>
      <c r="J227" s="187">
        <f t="shared" si="44"/>
        <v>52.020610421434519</v>
      </c>
      <c r="K227" s="187">
        <f t="shared" si="44"/>
        <v>56.276492466473982</v>
      </c>
      <c r="L227" s="187">
        <f t="shared" si="44"/>
        <v>60.880143244989505</v>
      </c>
      <c r="M227" s="187">
        <f t="shared" si="44"/>
        <v>65.859949257027225</v>
      </c>
      <c r="N227" s="187">
        <f t="shared" si="44"/>
        <v>71.246611644974919</v>
      </c>
      <c r="O227" s="187">
        <f t="shared" si="44"/>
        <v>77.073334746905246</v>
      </c>
      <c r="P227" s="122"/>
      <c r="Q227" s="122"/>
      <c r="R227" s="122"/>
      <c r="S227" s="122"/>
      <c r="T227" s="122"/>
      <c r="U227" s="122"/>
      <c r="V227" s="122"/>
      <c r="W227" s="122"/>
      <c r="X227" s="122"/>
      <c r="Y227" s="122"/>
      <c r="Z227" s="122"/>
    </row>
    <row r="228" spans="1:26" ht="12.75" x14ac:dyDescent="0.2">
      <c r="A228" s="122"/>
      <c r="B228" s="155"/>
      <c r="C228" s="155"/>
      <c r="D228" s="155"/>
      <c r="E228" s="155"/>
      <c r="F228" s="155"/>
      <c r="G228" s="155"/>
      <c r="H228" s="155"/>
      <c r="I228" s="155"/>
      <c r="J228" s="155"/>
      <c r="K228" s="155"/>
      <c r="L228" s="155"/>
      <c r="M228" s="155"/>
      <c r="N228" s="155"/>
      <c r="O228" s="155"/>
      <c r="P228" s="122"/>
      <c r="Q228" s="122"/>
      <c r="R228" s="122"/>
      <c r="S228" s="122"/>
      <c r="T228" s="122"/>
      <c r="U228" s="122"/>
      <c r="V228" s="122"/>
      <c r="W228" s="122"/>
      <c r="X228" s="122"/>
      <c r="Y228" s="122"/>
      <c r="Z228" s="122"/>
    </row>
    <row r="229" spans="1:26" ht="12.75" x14ac:dyDescent="0.2">
      <c r="A229" s="122"/>
      <c r="B229" s="180"/>
      <c r="C229" s="188" t="s">
        <v>287</v>
      </c>
      <c r="D229" s="201"/>
      <c r="E229" s="201"/>
      <c r="F229" s="202"/>
      <c r="G229" s="202"/>
      <c r="H229" s="202"/>
      <c r="I229" s="202"/>
      <c r="J229" s="202"/>
      <c r="K229" s="202"/>
      <c r="L229" s="202"/>
      <c r="M229" s="202"/>
      <c r="N229" s="202"/>
      <c r="O229" s="202"/>
      <c r="P229" s="122"/>
      <c r="Q229" s="122"/>
      <c r="R229" s="122"/>
      <c r="S229" s="122"/>
      <c r="T229" s="122"/>
      <c r="U229" s="122"/>
      <c r="V229" s="122"/>
      <c r="W229" s="122"/>
      <c r="X229" s="122"/>
      <c r="Y229" s="122"/>
      <c r="Z229" s="122"/>
    </row>
    <row r="230" spans="1:26" ht="12.75" x14ac:dyDescent="0.2">
      <c r="A230" s="122"/>
      <c r="B230" s="180"/>
      <c r="C230" s="155" t="s">
        <v>375</v>
      </c>
      <c r="D230" s="201"/>
      <c r="E230" s="201"/>
      <c r="F230" s="190">
        <f>$I84*F$120/1000*F$157</f>
        <v>1.7467624015748031</v>
      </c>
      <c r="G230" s="190">
        <f>$I84*G$120/1000*G$157</f>
        <v>1.9508457530019678</v>
      </c>
      <c r="H230" s="190">
        <f>$I84*H$120/1000*H$157</f>
        <v>2.1780554838643287</v>
      </c>
      <c r="I230" s="190">
        <f>$I84*I$120/1000*I$157</f>
        <v>2.4309608052776785</v>
      </c>
      <c r="J230" s="190">
        <f>$I84*J$120/1000*J$157</f>
        <v>2.7124125535571628</v>
      </c>
      <c r="K230" s="190">
        <f>$I84*K$120/1000*K$157</f>
        <v>3.0255737743388407</v>
      </c>
      <c r="L230" s="190">
        <f>$I84*L$120/1000*L$157</f>
        <v>3.3739536062259141</v>
      </c>
      <c r="M230" s="190">
        <f>$I84*M$120/1000*M$157</f>
        <v>3.761444818238191</v>
      </c>
      <c r="N230" s="190">
        <f>$I84*N$120/1000*N$157</f>
        <v>4.1923653932522731</v>
      </c>
      <c r="O230" s="190">
        <f>$I84*O$120/1000*O$157</f>
        <v>4.6715045915751752</v>
      </c>
      <c r="P230" s="122"/>
      <c r="Q230" s="122"/>
      <c r="R230" s="122"/>
      <c r="S230" s="122"/>
      <c r="T230" s="122"/>
      <c r="U230" s="122"/>
      <c r="V230" s="122"/>
      <c r="W230" s="122"/>
      <c r="X230" s="122"/>
      <c r="Y230" s="122"/>
      <c r="Z230" s="122"/>
    </row>
    <row r="231" spans="1:26" ht="12.75" x14ac:dyDescent="0.2">
      <c r="A231" s="122"/>
      <c r="B231" s="180"/>
      <c r="C231" s="184" t="s">
        <v>284</v>
      </c>
      <c r="D231" s="185"/>
      <c r="E231" s="185"/>
      <c r="F231" s="186">
        <f>$I85*F$120/1000*(F$157+F$156+F$155)</f>
        <v>1.0585984251968503</v>
      </c>
      <c r="G231" s="186">
        <f>$I85*G$120/1000*(G$157+G$156+G$155)</f>
        <v>1.1707833933070864</v>
      </c>
      <c r="H231" s="186">
        <f>$I85*H$120/1000*(H$157+H$156+H$155)</f>
        <v>1.2948571634128048</v>
      </c>
      <c r="I231" s="186">
        <f>$I85*I$120/1000*(I$157+I$156+I$155)</f>
        <v>1.4320796513054768</v>
      </c>
      <c r="J231" s="186">
        <f>$I85*J$120/1000*(J$157+J$156+J$155)</f>
        <v>1.5838442923525744</v>
      </c>
      <c r="K231" s="186">
        <f>$I85*K$120/1000*(K$157+K$156+K$155)</f>
        <v>1.7516921912346386</v>
      </c>
      <c r="L231" s="186">
        <f>$I85*L$120/1000*(L$157+L$156+L$155)</f>
        <v>1.9373277712007289</v>
      </c>
      <c r="M231" s="186">
        <f>$I85*M$120/1000*(M$157+M$156+M$155)</f>
        <v>2.142636081753726</v>
      </c>
      <c r="N231" s="186">
        <f>$I85*N$120/1000*(N$157+N$156+N$155)</f>
        <v>2.3697019405175763</v>
      </c>
      <c r="O231" s="186">
        <f>$I85*O$120/1000*(O$157+O$156+O$155)</f>
        <v>2.6208311036639262</v>
      </c>
      <c r="P231" s="122"/>
      <c r="Q231" s="122"/>
      <c r="R231" s="122"/>
      <c r="S231" s="122"/>
      <c r="T231" s="122"/>
      <c r="U231" s="122"/>
      <c r="V231" s="122"/>
      <c r="W231" s="122"/>
      <c r="X231" s="122"/>
      <c r="Y231" s="122"/>
      <c r="Z231" s="122"/>
    </row>
    <row r="232" spans="1:26" ht="12.75" x14ac:dyDescent="0.2">
      <c r="A232" s="122"/>
      <c r="B232" s="180"/>
      <c r="C232" s="189" t="s">
        <v>289</v>
      </c>
      <c r="D232" s="201"/>
      <c r="E232" s="201"/>
      <c r="F232" s="202">
        <f t="shared" ref="F232:O232" si="45">SUM(F230:F231)</f>
        <v>2.8053608267716532</v>
      </c>
      <c r="G232" s="202">
        <f t="shared" si="45"/>
        <v>3.1216291463090542</v>
      </c>
      <c r="H232" s="202">
        <f t="shared" si="45"/>
        <v>3.4729126472771332</v>
      </c>
      <c r="I232" s="202">
        <f t="shared" si="45"/>
        <v>3.8630404565831551</v>
      </c>
      <c r="J232" s="202">
        <f t="shared" si="45"/>
        <v>4.2962568459097374</v>
      </c>
      <c r="K232" s="202">
        <f t="shared" si="45"/>
        <v>4.7772659655734788</v>
      </c>
      <c r="L232" s="202">
        <f t="shared" si="45"/>
        <v>5.311281377426643</v>
      </c>
      <c r="M232" s="202">
        <f t="shared" si="45"/>
        <v>5.904080899991917</v>
      </c>
      <c r="N232" s="202">
        <f t="shared" si="45"/>
        <v>6.5620673337698499</v>
      </c>
      <c r="O232" s="202">
        <f t="shared" si="45"/>
        <v>7.2923356952391014</v>
      </c>
      <c r="P232" s="122"/>
      <c r="Q232" s="122"/>
      <c r="R232" s="122"/>
      <c r="S232" s="122"/>
      <c r="T232" s="122"/>
      <c r="U232" s="122"/>
      <c r="V232" s="122"/>
      <c r="W232" s="122"/>
      <c r="X232" s="122"/>
      <c r="Y232" s="122"/>
      <c r="Z232" s="122"/>
    </row>
    <row r="233" spans="1:26" ht="12.75" x14ac:dyDescent="0.2">
      <c r="A233" s="122"/>
      <c r="B233" s="122"/>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row>
    <row r="234" spans="1:26" ht="12.75" x14ac:dyDescent="0.2">
      <c r="A234" s="145" t="s">
        <v>221</v>
      </c>
      <c r="B234" s="119"/>
      <c r="C234" s="150"/>
      <c r="D234" s="161" t="s">
        <v>174</v>
      </c>
      <c r="E234" s="161"/>
      <c r="F234" s="162">
        <v>0</v>
      </c>
      <c r="G234" s="162">
        <v>1</v>
      </c>
      <c r="H234" s="162">
        <v>2</v>
      </c>
      <c r="I234" s="162">
        <v>3</v>
      </c>
      <c r="J234" s="162">
        <v>4</v>
      </c>
      <c r="K234" s="162">
        <v>5</v>
      </c>
      <c r="L234" s="162">
        <v>6</v>
      </c>
      <c r="M234" s="162">
        <v>7</v>
      </c>
      <c r="N234" s="162">
        <v>8</v>
      </c>
      <c r="O234" s="162">
        <v>9</v>
      </c>
      <c r="P234" s="119"/>
      <c r="Q234" s="119"/>
      <c r="R234" s="119"/>
      <c r="S234" s="119"/>
      <c r="T234" s="119"/>
      <c r="U234" s="119"/>
      <c r="V234" s="119"/>
      <c r="W234" s="119"/>
      <c r="X234" s="119"/>
      <c r="Y234" s="119"/>
      <c r="Z234" s="119"/>
    </row>
    <row r="235" spans="1:26" ht="12.75" x14ac:dyDescent="0.2">
      <c r="A235" s="122"/>
      <c r="B235" s="154" t="s">
        <v>244</v>
      </c>
      <c r="C235" s="155"/>
      <c r="D235" s="155"/>
      <c r="E235" s="155"/>
      <c r="F235" s="155"/>
      <c r="G235" s="155"/>
      <c r="H235" s="155"/>
      <c r="I235" s="155"/>
      <c r="J235" s="155"/>
      <c r="K235" s="155"/>
      <c r="L235" s="155"/>
      <c r="M235" s="155"/>
      <c r="N235" s="155"/>
      <c r="O235" s="155"/>
      <c r="P235" s="122"/>
      <c r="Q235" s="122"/>
      <c r="R235" s="122"/>
      <c r="S235" s="122"/>
      <c r="T235" s="122"/>
      <c r="U235" s="122"/>
      <c r="V235" s="122"/>
      <c r="W235" s="122"/>
      <c r="X235" s="122"/>
      <c r="Y235" s="122"/>
      <c r="Z235" s="122"/>
    </row>
    <row r="236" spans="1:26" ht="12.75" x14ac:dyDescent="0.2">
      <c r="A236" s="122"/>
      <c r="B236" s="122"/>
      <c r="C236" s="122"/>
      <c r="D236" s="122"/>
      <c r="E236" s="122"/>
      <c r="F236" s="122"/>
      <c r="G236" s="122"/>
      <c r="H236" s="122"/>
      <c r="I236" s="122"/>
      <c r="J236" s="122"/>
      <c r="K236" s="122"/>
      <c r="L236" s="122"/>
      <c r="M236" s="122"/>
      <c r="N236" s="122"/>
      <c r="O236" s="122"/>
      <c r="P236" s="122"/>
      <c r="Q236" s="122"/>
      <c r="R236" s="122"/>
      <c r="S236" s="122"/>
      <c r="T236" s="122"/>
      <c r="U236" s="122"/>
      <c r="V236" s="122"/>
      <c r="W236" s="122"/>
      <c r="X236" s="122"/>
      <c r="Y236" s="122"/>
      <c r="Z236" s="122"/>
    </row>
    <row r="237" spans="1:26" ht="12.75" x14ac:dyDescent="0.2">
      <c r="A237" s="122"/>
      <c r="B237" s="179" t="s">
        <v>229</v>
      </c>
      <c r="C237" s="155"/>
      <c r="D237" s="180"/>
      <c r="E237" s="180"/>
      <c r="F237" s="180"/>
      <c r="G237" s="180"/>
      <c r="H237" s="180"/>
      <c r="I237" s="180"/>
      <c r="J237" s="180"/>
      <c r="K237" s="180"/>
      <c r="L237" s="180"/>
      <c r="M237" s="180"/>
      <c r="N237" s="180"/>
      <c r="O237" s="180"/>
      <c r="P237" s="122"/>
      <c r="Q237" s="122"/>
      <c r="R237" s="122"/>
      <c r="S237" s="122"/>
      <c r="T237" s="122"/>
      <c r="U237" s="122"/>
      <c r="V237" s="122"/>
      <c r="W237" s="122"/>
      <c r="X237" s="122"/>
      <c r="Y237" s="122"/>
      <c r="Z237" s="122"/>
    </row>
    <row r="238" spans="1:26" ht="12.75" x14ac:dyDescent="0.2">
      <c r="A238" s="122"/>
      <c r="C238" s="232" t="s">
        <v>222</v>
      </c>
      <c r="D238" s="180"/>
      <c r="E238" s="180"/>
      <c r="F238" s="180"/>
      <c r="G238" s="180"/>
      <c r="H238" s="180"/>
      <c r="I238" s="180"/>
      <c r="J238" s="180"/>
      <c r="K238" s="180"/>
      <c r="L238" s="180"/>
      <c r="M238" s="180"/>
      <c r="N238" s="180"/>
      <c r="O238" s="180"/>
      <c r="P238" s="122"/>
      <c r="Q238" s="122"/>
      <c r="R238" s="122"/>
      <c r="S238" s="122"/>
      <c r="T238" s="122"/>
      <c r="U238" s="122"/>
      <c r="V238" s="122"/>
      <c r="W238" s="122"/>
      <c r="X238" s="122"/>
      <c r="Y238" s="122"/>
      <c r="Z238" s="122"/>
    </row>
    <row r="239" spans="1:26" ht="12.75" x14ac:dyDescent="0.2">
      <c r="A239" s="122"/>
      <c r="B239" s="192"/>
      <c r="C239" s="188" t="s">
        <v>409</v>
      </c>
      <c r="D239" s="180"/>
      <c r="E239" s="180"/>
      <c r="F239" s="180"/>
      <c r="G239" s="180"/>
      <c r="H239" s="180"/>
      <c r="I239" s="180"/>
      <c r="J239" s="180"/>
      <c r="K239" s="180"/>
      <c r="L239" s="180"/>
      <c r="M239" s="180"/>
      <c r="N239" s="180"/>
      <c r="O239" s="180"/>
      <c r="P239" s="122"/>
      <c r="Q239" s="122"/>
      <c r="R239" s="122"/>
      <c r="S239" s="122"/>
      <c r="T239" s="122"/>
      <c r="U239" s="122"/>
      <c r="V239" s="122"/>
      <c r="W239" s="122"/>
      <c r="X239" s="122"/>
      <c r="Y239" s="122"/>
      <c r="Z239" s="122"/>
    </row>
    <row r="240" spans="1:26" ht="12.75" x14ac:dyDescent="0.2">
      <c r="A240" s="122"/>
      <c r="B240" s="180"/>
      <c r="C240" s="152" t="s">
        <v>405</v>
      </c>
      <c r="D240" s="180"/>
      <c r="E240" s="180"/>
      <c r="F240" s="125">
        <f>F160/F$120</f>
        <v>92.392499999999998</v>
      </c>
      <c r="G240" s="125">
        <f>G160/G$120</f>
        <v>93.50121</v>
      </c>
      <c r="H240" s="125">
        <f>H160/H$120</f>
        <v>94.623224519999994</v>
      </c>
      <c r="I240" s="125">
        <f>I160/I$120</f>
        <v>95.758703214240001</v>
      </c>
      <c r="J240" s="125">
        <f>J160/J$120</f>
        <v>96.907807652810888</v>
      </c>
      <c r="K240" s="125">
        <f>K160/K$120</f>
        <v>98.070701344644604</v>
      </c>
      <c r="L240" s="125">
        <f>L160/L$120</f>
        <v>99.247549760780359</v>
      </c>
      <c r="M240" s="125">
        <f>M160/M$120</f>
        <v>100.43852035790971</v>
      </c>
      <c r="N240" s="125">
        <f>N160/N$120</f>
        <v>101.64378260220464</v>
      </c>
      <c r="O240" s="125">
        <f>O160/O$120</f>
        <v>102.86350799343107</v>
      </c>
      <c r="P240" s="122"/>
      <c r="Q240" s="122"/>
      <c r="R240" s="122"/>
      <c r="S240" s="122"/>
      <c r="T240" s="122"/>
      <c r="U240" s="122"/>
      <c r="V240" s="122"/>
      <c r="W240" s="122"/>
      <c r="X240" s="122"/>
      <c r="Y240" s="122"/>
      <c r="Z240" s="122"/>
    </row>
    <row r="241" spans="1:26" ht="12.75" x14ac:dyDescent="0.2">
      <c r="A241" s="122"/>
      <c r="B241" s="180"/>
      <c r="C241" s="152" t="s">
        <v>231</v>
      </c>
      <c r="D241" s="180"/>
      <c r="E241" s="180"/>
      <c r="F241" s="125">
        <f>F161/F$120</f>
        <v>11.5490625</v>
      </c>
      <c r="G241" s="125">
        <f>G161/G$120</f>
        <v>11.68765125</v>
      </c>
      <c r="H241" s="125">
        <f>H161/H$120</f>
        <v>11.827903064999999</v>
      </c>
      <c r="I241" s="125">
        <f>I161/I$120</f>
        <v>11.96983790178</v>
      </c>
      <c r="J241" s="125">
        <f>J161/J$120</f>
        <v>12.113475956601361</v>
      </c>
      <c r="K241" s="125">
        <f>K161/K$120</f>
        <v>12.258837668080576</v>
      </c>
      <c r="L241" s="125">
        <f>L161/L$120</f>
        <v>12.405943720097545</v>
      </c>
      <c r="M241" s="125">
        <f>M161/M$120</f>
        <v>12.554815044738714</v>
      </c>
      <c r="N241" s="125">
        <f>N161/N$120</f>
        <v>12.70547282527558</v>
      </c>
      <c r="O241" s="125">
        <f>O161/O$120</f>
        <v>12.857938499178884</v>
      </c>
      <c r="P241" s="122"/>
      <c r="Q241" s="122"/>
      <c r="R241" s="122"/>
      <c r="S241" s="122"/>
      <c r="T241" s="122"/>
      <c r="U241" s="122"/>
      <c r="V241" s="122"/>
      <c r="W241" s="122"/>
      <c r="X241" s="122"/>
      <c r="Y241" s="122"/>
      <c r="Z241" s="122"/>
    </row>
    <row r="242" spans="1:26" ht="12.75" x14ac:dyDescent="0.2">
      <c r="A242" s="122"/>
      <c r="B242" s="180"/>
      <c r="C242" s="198" t="s">
        <v>410</v>
      </c>
      <c r="D242" s="182"/>
      <c r="E242" s="182"/>
      <c r="F242" s="193">
        <f t="shared" ref="F242:O242" si="46">F240-F241</f>
        <v>80.843437499999993</v>
      </c>
      <c r="G242" s="193">
        <f t="shared" si="46"/>
        <v>81.813558749999999</v>
      </c>
      <c r="H242" s="193">
        <f t="shared" si="46"/>
        <v>82.795321454999993</v>
      </c>
      <c r="I242" s="193">
        <f t="shared" si="46"/>
        <v>83.788865312460004</v>
      </c>
      <c r="J242" s="193">
        <f t="shared" si="46"/>
        <v>84.794331696209525</v>
      </c>
      <c r="K242" s="193">
        <f t="shared" si="46"/>
        <v>85.81186367656403</v>
      </c>
      <c r="L242" s="193">
        <f t="shared" si="46"/>
        <v>86.841606040682819</v>
      </c>
      <c r="M242" s="193">
        <f t="shared" si="46"/>
        <v>87.883705313170992</v>
      </c>
      <c r="N242" s="193">
        <f t="shared" si="46"/>
        <v>88.93830977692906</v>
      </c>
      <c r="O242" s="193">
        <f t="shared" si="46"/>
        <v>90.005569494252185</v>
      </c>
      <c r="P242" s="122"/>
      <c r="Q242" s="122"/>
      <c r="R242" s="122"/>
      <c r="S242" s="122"/>
      <c r="T242" s="122"/>
      <c r="U242" s="122"/>
      <c r="V242" s="122"/>
      <c r="W242" s="122"/>
      <c r="X242" s="122"/>
      <c r="Y242" s="122"/>
      <c r="Z242" s="122"/>
    </row>
    <row r="243" spans="1:26" ht="12.75" x14ac:dyDescent="0.2">
      <c r="A243" s="122"/>
      <c r="B243" s="180"/>
      <c r="C243" s="152"/>
      <c r="D243" s="180"/>
      <c r="E243" s="180"/>
      <c r="F243" s="194"/>
      <c r="G243" s="194"/>
      <c r="H243" s="194"/>
      <c r="I243" s="194"/>
      <c r="J243" s="194"/>
      <c r="K243" s="194"/>
      <c r="L243" s="194"/>
      <c r="M243" s="194"/>
      <c r="N243" s="194"/>
      <c r="O243" s="194"/>
      <c r="P243" s="122"/>
      <c r="Q243" s="122"/>
      <c r="R243" s="122"/>
      <c r="S243" s="122"/>
      <c r="T243" s="122"/>
      <c r="U243" s="122"/>
      <c r="V243" s="122"/>
      <c r="W243" s="122"/>
      <c r="X243" s="122"/>
      <c r="Y243" s="122"/>
      <c r="Z243" s="122"/>
    </row>
    <row r="244" spans="1:26" ht="12.75" x14ac:dyDescent="0.2">
      <c r="A244" s="122"/>
      <c r="B244" s="180"/>
      <c r="C244" s="188" t="s">
        <v>266</v>
      </c>
      <c r="D244" s="180"/>
      <c r="E244" s="180"/>
      <c r="F244" s="194"/>
      <c r="G244" s="194"/>
      <c r="H244" s="194"/>
      <c r="I244" s="194"/>
      <c r="J244" s="194"/>
      <c r="K244" s="194"/>
      <c r="L244" s="194"/>
      <c r="M244" s="194"/>
      <c r="N244" s="194"/>
      <c r="O244" s="194"/>
      <c r="P244" s="122"/>
      <c r="Q244" s="122"/>
      <c r="R244" s="122"/>
      <c r="S244" s="122"/>
      <c r="T244" s="122"/>
      <c r="U244" s="122"/>
      <c r="V244" s="122"/>
      <c r="W244" s="122"/>
      <c r="X244" s="122"/>
      <c r="Y244" s="122"/>
      <c r="Z244" s="122"/>
    </row>
    <row r="245" spans="1:26" ht="12.75" x14ac:dyDescent="0.2">
      <c r="A245" s="122"/>
      <c r="B245" s="180"/>
      <c r="C245" s="155" t="s">
        <v>267</v>
      </c>
      <c r="D245" s="180"/>
      <c r="E245" s="180"/>
      <c r="F245" s="125">
        <f>$F$95/1000</f>
        <v>0</v>
      </c>
      <c r="G245" s="125">
        <f t="shared" ref="G245:O245" si="47">$F$95/1000</f>
        <v>0</v>
      </c>
      <c r="H245" s="125">
        <f t="shared" si="47"/>
        <v>0</v>
      </c>
      <c r="I245" s="125">
        <f t="shared" si="47"/>
        <v>0</v>
      </c>
      <c r="J245" s="125">
        <f t="shared" si="47"/>
        <v>0</v>
      </c>
      <c r="K245" s="125">
        <f t="shared" si="47"/>
        <v>0</v>
      </c>
      <c r="L245" s="125">
        <f t="shared" si="47"/>
        <v>0</v>
      </c>
      <c r="M245" s="125">
        <f t="shared" si="47"/>
        <v>0</v>
      </c>
      <c r="N245" s="125">
        <f t="shared" si="47"/>
        <v>0</v>
      </c>
      <c r="O245" s="125">
        <f t="shared" si="47"/>
        <v>0</v>
      </c>
      <c r="P245" s="122"/>
      <c r="Q245" s="122"/>
      <c r="R245" s="122"/>
      <c r="S245" s="122"/>
      <c r="T245" s="122"/>
      <c r="U245" s="122"/>
      <c r="V245" s="122"/>
      <c r="W245" s="122"/>
      <c r="X245" s="122"/>
      <c r="Y245" s="122"/>
      <c r="Z245" s="122"/>
    </row>
    <row r="246" spans="1:26" ht="12.75" x14ac:dyDescent="0.2">
      <c r="A246" s="122"/>
      <c r="B246" s="180"/>
      <c r="C246" s="155" t="s">
        <v>138</v>
      </c>
      <c r="D246" s="180"/>
      <c r="E246" s="180"/>
      <c r="F246" s="125">
        <f>$F$91/1000</f>
        <v>0</v>
      </c>
      <c r="G246" s="125">
        <f t="shared" ref="G246:O246" si="48">$F$91/1000</f>
        <v>0</v>
      </c>
      <c r="H246" s="125">
        <f t="shared" si="48"/>
        <v>0</v>
      </c>
      <c r="I246" s="125">
        <f t="shared" si="48"/>
        <v>0</v>
      </c>
      <c r="J246" s="125">
        <f t="shared" si="48"/>
        <v>0</v>
      </c>
      <c r="K246" s="125">
        <f t="shared" si="48"/>
        <v>0</v>
      </c>
      <c r="L246" s="125">
        <f t="shared" si="48"/>
        <v>0</v>
      </c>
      <c r="M246" s="125">
        <f t="shared" si="48"/>
        <v>0</v>
      </c>
      <c r="N246" s="125">
        <f t="shared" si="48"/>
        <v>0</v>
      </c>
      <c r="O246" s="125">
        <f t="shared" si="48"/>
        <v>0</v>
      </c>
      <c r="P246" s="122"/>
      <c r="Q246" s="122"/>
      <c r="R246" s="122"/>
      <c r="S246" s="122"/>
      <c r="T246" s="122"/>
      <c r="U246" s="122"/>
      <c r="V246" s="122"/>
      <c r="W246" s="122"/>
      <c r="X246" s="122"/>
      <c r="Y246" s="122"/>
      <c r="Z246" s="122"/>
    </row>
    <row r="247" spans="1:26" ht="12.75" x14ac:dyDescent="0.2">
      <c r="A247" s="122"/>
      <c r="B247" s="180"/>
      <c r="C247" s="198" t="s">
        <v>247</v>
      </c>
      <c r="D247" s="182"/>
      <c r="E247" s="182"/>
      <c r="F247" s="193">
        <f>SUM(F245:F246)</f>
        <v>0</v>
      </c>
      <c r="G247" s="193">
        <f t="shared" ref="G247:O247" si="49">SUM(G245:G246)</f>
        <v>0</v>
      </c>
      <c r="H247" s="193">
        <f t="shared" si="49"/>
        <v>0</v>
      </c>
      <c r="I247" s="193">
        <f t="shared" si="49"/>
        <v>0</v>
      </c>
      <c r="J247" s="193">
        <f t="shared" si="49"/>
        <v>0</v>
      </c>
      <c r="K247" s="193">
        <f t="shared" si="49"/>
        <v>0</v>
      </c>
      <c r="L247" s="193">
        <f t="shared" si="49"/>
        <v>0</v>
      </c>
      <c r="M247" s="193">
        <f t="shared" si="49"/>
        <v>0</v>
      </c>
      <c r="N247" s="193">
        <f t="shared" si="49"/>
        <v>0</v>
      </c>
      <c r="O247" s="193">
        <f t="shared" si="49"/>
        <v>0</v>
      </c>
      <c r="P247" s="122"/>
      <c r="Q247" s="122"/>
      <c r="R247" s="122"/>
      <c r="S247" s="122"/>
      <c r="T247" s="122"/>
      <c r="U247" s="122"/>
      <c r="V247" s="122"/>
      <c r="W247" s="122"/>
      <c r="X247" s="122"/>
      <c r="Y247" s="122"/>
      <c r="Z247" s="122"/>
    </row>
    <row r="248" spans="1:26" ht="12.75" x14ac:dyDescent="0.2">
      <c r="A248" s="122"/>
      <c r="B248" s="180"/>
      <c r="C248" s="152"/>
      <c r="D248" s="180"/>
      <c r="E248" s="180"/>
      <c r="F248" s="194"/>
      <c r="G248" s="194"/>
      <c r="H248" s="194"/>
      <c r="I248" s="194"/>
      <c r="J248" s="194"/>
      <c r="K248" s="194"/>
      <c r="L248" s="194"/>
      <c r="M248" s="194"/>
      <c r="N248" s="194"/>
      <c r="O248" s="194"/>
      <c r="P248" s="122"/>
      <c r="Q248" s="122"/>
      <c r="R248" s="122"/>
      <c r="S248" s="122"/>
      <c r="T248" s="122"/>
      <c r="U248" s="122"/>
      <c r="V248" s="122"/>
      <c r="W248" s="122"/>
      <c r="X248" s="122"/>
      <c r="Y248" s="122"/>
      <c r="Z248" s="122"/>
    </row>
    <row r="249" spans="1:26" ht="12.75" x14ac:dyDescent="0.2">
      <c r="A249" s="122"/>
      <c r="B249" s="180"/>
      <c r="C249" s="203" t="s">
        <v>230</v>
      </c>
      <c r="D249" s="195"/>
      <c r="E249" s="195"/>
      <c r="F249" s="196">
        <f>F242+F247</f>
        <v>80.843437499999993</v>
      </c>
      <c r="G249" s="196">
        <f t="shared" ref="G249:O249" si="50">G242+G247</f>
        <v>81.813558749999999</v>
      </c>
      <c r="H249" s="196">
        <f t="shared" si="50"/>
        <v>82.795321454999993</v>
      </c>
      <c r="I249" s="196">
        <f t="shared" si="50"/>
        <v>83.788865312460004</v>
      </c>
      <c r="J249" s="196">
        <f t="shared" si="50"/>
        <v>84.794331696209525</v>
      </c>
      <c r="K249" s="196">
        <f t="shared" si="50"/>
        <v>85.81186367656403</v>
      </c>
      <c r="L249" s="196">
        <f t="shared" si="50"/>
        <v>86.841606040682819</v>
      </c>
      <c r="M249" s="196">
        <f t="shared" si="50"/>
        <v>87.883705313170992</v>
      </c>
      <c r="N249" s="196">
        <f t="shared" si="50"/>
        <v>88.93830977692906</v>
      </c>
      <c r="O249" s="196">
        <f t="shared" si="50"/>
        <v>90.005569494252185</v>
      </c>
      <c r="P249" s="122"/>
      <c r="Q249" s="122"/>
      <c r="R249" s="122"/>
      <c r="S249" s="122"/>
      <c r="T249" s="122"/>
      <c r="U249" s="122"/>
      <c r="V249" s="122"/>
      <c r="W249" s="122"/>
      <c r="X249" s="122"/>
      <c r="Y249" s="122"/>
      <c r="Z249" s="122"/>
    </row>
    <row r="250" spans="1:26" ht="12.75" x14ac:dyDescent="0.2">
      <c r="A250" s="122"/>
      <c r="B250" s="180"/>
      <c r="C250" s="155"/>
      <c r="D250" s="180"/>
      <c r="E250" s="180"/>
      <c r="F250" s="180"/>
      <c r="G250" s="180"/>
      <c r="H250" s="180"/>
      <c r="I250" s="180"/>
      <c r="J250" s="180"/>
      <c r="K250" s="180"/>
      <c r="L250" s="180"/>
      <c r="M250" s="180"/>
      <c r="N250" s="180"/>
      <c r="O250" s="180"/>
      <c r="P250" s="122"/>
      <c r="Q250" s="122"/>
      <c r="R250" s="122"/>
      <c r="S250" s="122"/>
      <c r="T250" s="122"/>
      <c r="U250" s="122"/>
      <c r="V250" s="122"/>
      <c r="W250" s="122"/>
      <c r="X250" s="122"/>
      <c r="Y250" s="122"/>
      <c r="Z250" s="122"/>
    </row>
    <row r="251" spans="1:26" ht="12.75" x14ac:dyDescent="0.2">
      <c r="A251" s="122"/>
      <c r="C251" s="232" t="s">
        <v>235</v>
      </c>
      <c r="D251" s="180"/>
      <c r="E251" s="180"/>
      <c r="F251" s="180"/>
      <c r="G251" s="180"/>
      <c r="H251" s="180"/>
      <c r="I251" s="180"/>
      <c r="J251" s="180"/>
      <c r="K251" s="180"/>
      <c r="L251" s="180"/>
      <c r="M251" s="180"/>
      <c r="N251" s="180"/>
      <c r="O251" s="180"/>
      <c r="P251" s="122"/>
      <c r="Q251" s="122"/>
      <c r="R251" s="122"/>
      <c r="S251" s="122"/>
      <c r="T251" s="122"/>
      <c r="U251" s="122"/>
      <c r="V251" s="122"/>
      <c r="W251" s="122"/>
      <c r="X251" s="122"/>
      <c r="Y251" s="122"/>
      <c r="Z251" s="122"/>
    </row>
    <row r="252" spans="1:26" ht="12.75" x14ac:dyDescent="0.2">
      <c r="A252" s="122"/>
      <c r="B252" s="192"/>
      <c r="C252" s="188" t="s">
        <v>144</v>
      </c>
      <c r="D252" s="180"/>
      <c r="E252" s="180"/>
      <c r="F252" s="180"/>
      <c r="G252" s="180"/>
      <c r="H252" s="180"/>
      <c r="I252" s="180"/>
      <c r="J252" s="180"/>
      <c r="K252" s="180"/>
      <c r="L252" s="180"/>
      <c r="M252" s="180"/>
      <c r="N252" s="180"/>
      <c r="O252" s="180"/>
      <c r="P252" s="122"/>
      <c r="Q252" s="122"/>
      <c r="R252" s="122"/>
      <c r="S252" s="122"/>
      <c r="T252" s="122"/>
      <c r="U252" s="122"/>
      <c r="V252" s="122"/>
      <c r="W252" s="122"/>
      <c r="X252" s="122"/>
      <c r="Y252" s="122"/>
      <c r="Z252" s="122"/>
    </row>
    <row r="253" spans="1:26" ht="12.75" x14ac:dyDescent="0.2">
      <c r="A253" s="122"/>
      <c r="B253" s="192"/>
      <c r="C253" s="155" t="s">
        <v>245</v>
      </c>
      <c r="D253" s="180"/>
      <c r="E253" s="180"/>
      <c r="F253" s="125">
        <f>$F$95*(1+$F$96)/1000</f>
        <v>0</v>
      </c>
      <c r="G253" s="125">
        <f t="shared" ref="G253:O253" si="51">$F$95*(1+$F$96)/1000</f>
        <v>0</v>
      </c>
      <c r="H253" s="125">
        <f t="shared" si="51"/>
        <v>0</v>
      </c>
      <c r="I253" s="125">
        <f t="shared" si="51"/>
        <v>0</v>
      </c>
      <c r="J253" s="125">
        <f t="shared" si="51"/>
        <v>0</v>
      </c>
      <c r="K253" s="125">
        <f t="shared" si="51"/>
        <v>0</v>
      </c>
      <c r="L253" s="125">
        <f t="shared" si="51"/>
        <v>0</v>
      </c>
      <c r="M253" s="125">
        <f t="shared" si="51"/>
        <v>0</v>
      </c>
      <c r="N253" s="125">
        <f t="shared" si="51"/>
        <v>0</v>
      </c>
      <c r="O253" s="125">
        <f t="shared" si="51"/>
        <v>0</v>
      </c>
      <c r="P253" s="122"/>
      <c r="Q253" s="122"/>
      <c r="R253" s="122"/>
      <c r="S253" s="122"/>
      <c r="T253" s="122"/>
      <c r="U253" s="122"/>
      <c r="V253" s="122"/>
      <c r="W253" s="122"/>
      <c r="X253" s="122"/>
      <c r="Y253" s="122"/>
      <c r="Z253" s="122"/>
    </row>
    <row r="254" spans="1:26" ht="12.75" x14ac:dyDescent="0.2">
      <c r="A254" s="122"/>
      <c r="B254" s="192"/>
      <c r="C254" s="198" t="s">
        <v>245</v>
      </c>
      <c r="D254" s="182"/>
      <c r="E254" s="182"/>
      <c r="F254" s="193">
        <f>F253</f>
        <v>0</v>
      </c>
      <c r="G254" s="193">
        <f t="shared" ref="G254:O254" si="52">G253</f>
        <v>0</v>
      </c>
      <c r="H254" s="193">
        <f t="shared" si="52"/>
        <v>0</v>
      </c>
      <c r="I254" s="193">
        <f t="shared" si="52"/>
        <v>0</v>
      </c>
      <c r="J254" s="193">
        <f t="shared" si="52"/>
        <v>0</v>
      </c>
      <c r="K254" s="193">
        <f t="shared" si="52"/>
        <v>0</v>
      </c>
      <c r="L254" s="193">
        <f t="shared" si="52"/>
        <v>0</v>
      </c>
      <c r="M254" s="193">
        <f t="shared" si="52"/>
        <v>0</v>
      </c>
      <c r="N254" s="193">
        <f t="shared" si="52"/>
        <v>0</v>
      </c>
      <c r="O254" s="193">
        <f t="shared" si="52"/>
        <v>0</v>
      </c>
      <c r="P254" s="122"/>
      <c r="Q254" s="122"/>
      <c r="R254" s="122"/>
      <c r="S254" s="122"/>
      <c r="T254" s="122"/>
      <c r="U254" s="122"/>
      <c r="V254" s="122"/>
      <c r="W254" s="122"/>
      <c r="X254" s="122"/>
      <c r="Y254" s="122"/>
      <c r="Z254" s="122"/>
    </row>
    <row r="255" spans="1:26" ht="12.75" x14ac:dyDescent="0.2">
      <c r="A255" s="122"/>
      <c r="B255" s="192"/>
      <c r="C255" s="232"/>
      <c r="D255" s="180"/>
      <c r="E255" s="180"/>
      <c r="F255" s="180"/>
      <c r="G255" s="180"/>
      <c r="H255" s="180"/>
      <c r="I255" s="180"/>
      <c r="J255" s="180"/>
      <c r="K255" s="180"/>
      <c r="L255" s="180"/>
      <c r="M255" s="180"/>
      <c r="N255" s="180"/>
      <c r="O255" s="180"/>
      <c r="P255" s="122"/>
      <c r="Q255" s="122"/>
      <c r="R255" s="122"/>
      <c r="S255" s="122"/>
      <c r="T255" s="122"/>
      <c r="U255" s="122"/>
      <c r="V255" s="122"/>
      <c r="W255" s="122"/>
      <c r="X255" s="122"/>
      <c r="Y255" s="122"/>
      <c r="Z255" s="122"/>
    </row>
    <row r="256" spans="1:26" ht="12.75" x14ac:dyDescent="0.2">
      <c r="A256" s="122"/>
      <c r="B256" s="180"/>
      <c r="C256" s="188" t="s">
        <v>218</v>
      </c>
      <c r="D256" s="180"/>
      <c r="E256" s="180"/>
      <c r="F256" s="180"/>
      <c r="G256" s="180"/>
      <c r="H256" s="180"/>
      <c r="I256" s="180"/>
      <c r="J256" s="180"/>
      <c r="K256" s="180"/>
      <c r="L256" s="180"/>
      <c r="M256" s="180"/>
      <c r="N256" s="180"/>
      <c r="O256" s="180"/>
      <c r="P256" s="122"/>
      <c r="Q256" s="122"/>
      <c r="R256" s="122"/>
      <c r="S256" s="122"/>
      <c r="T256" s="122"/>
      <c r="U256" s="122"/>
      <c r="V256" s="122"/>
      <c r="W256" s="122"/>
      <c r="X256" s="122"/>
      <c r="Y256" s="122"/>
      <c r="Z256" s="122"/>
    </row>
    <row r="257" spans="1:26" ht="12.75" x14ac:dyDescent="0.2">
      <c r="A257" s="122"/>
      <c r="B257" s="180"/>
      <c r="C257" s="228" t="s">
        <v>272</v>
      </c>
      <c r="D257" s="180"/>
      <c r="E257" s="180"/>
      <c r="F257" s="125">
        <f>F176/F$120</f>
        <v>5.6147479999999996</v>
      </c>
      <c r="G257" s="125">
        <f>G176/G$120</f>
        <v>5.6147479999999996</v>
      </c>
      <c r="H257" s="125">
        <f>H176/H$120</f>
        <v>5.6147479999999987</v>
      </c>
      <c r="I257" s="125">
        <f>I176/I$120</f>
        <v>5.6147479999999996</v>
      </c>
      <c r="J257" s="125">
        <f>J176/J$120</f>
        <v>5.6147479999999996</v>
      </c>
      <c r="K257" s="125">
        <f>K176/K$120</f>
        <v>5.6147479999999987</v>
      </c>
      <c r="L257" s="125">
        <f>L176/L$120</f>
        <v>5.6147479999999996</v>
      </c>
      <c r="M257" s="125">
        <f>M176/M$120</f>
        <v>5.6147479999999996</v>
      </c>
      <c r="N257" s="125">
        <f>N176/N$120</f>
        <v>5.6147479999999996</v>
      </c>
      <c r="O257" s="125">
        <f>O176/O$120</f>
        <v>5.6147479999999996</v>
      </c>
      <c r="P257" s="122"/>
      <c r="Q257" s="122"/>
      <c r="R257" s="122"/>
      <c r="S257" s="122"/>
      <c r="T257" s="122"/>
      <c r="U257" s="122"/>
      <c r="V257" s="122"/>
      <c r="W257" s="122"/>
      <c r="X257" s="122"/>
      <c r="Y257" s="122"/>
      <c r="Z257" s="122"/>
    </row>
    <row r="258" spans="1:26" ht="12.75" x14ac:dyDescent="0.2">
      <c r="A258" s="122"/>
      <c r="B258" s="180"/>
      <c r="C258" s="228" t="s">
        <v>273</v>
      </c>
      <c r="D258" s="180"/>
      <c r="E258" s="180"/>
      <c r="F258" s="125">
        <f>F177/F$120</f>
        <v>3.2658929999999997</v>
      </c>
      <c r="G258" s="125">
        <f>G177/G$120</f>
        <v>3.2658929999999997</v>
      </c>
      <c r="H258" s="125">
        <f>H177/H$120</f>
        <v>3.2658929999999997</v>
      </c>
      <c r="I258" s="125">
        <f>I177/I$120</f>
        <v>3.2658930000000002</v>
      </c>
      <c r="J258" s="125">
        <f>J177/J$120</f>
        <v>3.2658929999999997</v>
      </c>
      <c r="K258" s="125">
        <f>K177/K$120</f>
        <v>3.2658929999999997</v>
      </c>
      <c r="L258" s="125">
        <f>L177/L$120</f>
        <v>3.2658929999999993</v>
      </c>
      <c r="M258" s="125">
        <f>M177/M$120</f>
        <v>3.2658929999999997</v>
      </c>
      <c r="N258" s="125">
        <f>N177/N$120</f>
        <v>3.2658929999999997</v>
      </c>
      <c r="O258" s="125">
        <f>O177/O$120</f>
        <v>3.2658929999999997</v>
      </c>
      <c r="P258" s="122"/>
      <c r="Q258" s="122"/>
      <c r="R258" s="122"/>
      <c r="S258" s="122"/>
      <c r="T258" s="122"/>
      <c r="U258" s="122"/>
      <c r="V258" s="122"/>
      <c r="W258" s="122"/>
      <c r="X258" s="122"/>
      <c r="Y258" s="122"/>
      <c r="Z258" s="122"/>
    </row>
    <row r="259" spans="1:26" ht="12.75" x14ac:dyDescent="0.2">
      <c r="A259" s="122"/>
      <c r="B259" s="180"/>
      <c r="C259" s="228" t="s">
        <v>274</v>
      </c>
      <c r="D259" s="180"/>
      <c r="E259" s="180"/>
      <c r="F259" s="125">
        <f>F178/F$120</f>
        <v>2.8386080000000002</v>
      </c>
      <c r="G259" s="125">
        <f>G178/G$120</f>
        <v>2.8386080000000002</v>
      </c>
      <c r="H259" s="125">
        <f>H178/H$120</f>
        <v>2.8386080000000007</v>
      </c>
      <c r="I259" s="125">
        <f>I178/I$120</f>
        <v>2.8386080000000002</v>
      </c>
      <c r="J259" s="125">
        <f>J178/J$120</f>
        <v>2.8386080000000002</v>
      </c>
      <c r="K259" s="125">
        <f>K178/K$120</f>
        <v>2.8386080000000002</v>
      </c>
      <c r="L259" s="125">
        <f>L178/L$120</f>
        <v>2.8386080000000002</v>
      </c>
      <c r="M259" s="125">
        <f>M178/M$120</f>
        <v>2.8386080000000002</v>
      </c>
      <c r="N259" s="125">
        <f>N178/N$120</f>
        <v>2.8386080000000002</v>
      </c>
      <c r="O259" s="125">
        <f>O178/O$120</f>
        <v>2.8386080000000002</v>
      </c>
      <c r="P259" s="122"/>
      <c r="Q259" s="122"/>
      <c r="R259" s="122"/>
      <c r="S259" s="122"/>
      <c r="T259" s="122"/>
      <c r="U259" s="122"/>
      <c r="V259" s="122"/>
      <c r="W259" s="122"/>
      <c r="X259" s="122"/>
      <c r="Y259" s="122"/>
      <c r="Z259" s="122"/>
    </row>
    <row r="260" spans="1:26" ht="12.75" x14ac:dyDescent="0.2">
      <c r="A260" s="122"/>
      <c r="B260" s="180"/>
      <c r="C260" s="228" t="s">
        <v>275</v>
      </c>
      <c r="D260" s="180"/>
      <c r="E260" s="180"/>
      <c r="F260" s="125">
        <f>F179/F$120</f>
        <v>1.6453139999999999</v>
      </c>
      <c r="G260" s="125">
        <f>G179/G$120</f>
        <v>1.6453139999999997</v>
      </c>
      <c r="H260" s="125">
        <f>H179/H$120</f>
        <v>1.6453139999999999</v>
      </c>
      <c r="I260" s="125">
        <f>I179/I$120</f>
        <v>1.6453139999999999</v>
      </c>
      <c r="J260" s="125">
        <f>J179/J$120</f>
        <v>1.6453139999999999</v>
      </c>
      <c r="K260" s="125">
        <f>K179/K$120</f>
        <v>1.6453139999999995</v>
      </c>
      <c r="L260" s="125">
        <f>L179/L$120</f>
        <v>1.6453139999999995</v>
      </c>
      <c r="M260" s="125">
        <f>M179/M$120</f>
        <v>1.6453139999999999</v>
      </c>
      <c r="N260" s="125">
        <f>N179/N$120</f>
        <v>1.6453139999999997</v>
      </c>
      <c r="O260" s="125">
        <f>O179/O$120</f>
        <v>1.6453139999999999</v>
      </c>
      <c r="P260" s="122"/>
      <c r="Q260" s="122"/>
      <c r="R260" s="122"/>
      <c r="S260" s="122"/>
      <c r="T260" s="122"/>
      <c r="U260" s="122"/>
      <c r="V260" s="122"/>
      <c r="W260" s="122"/>
      <c r="X260" s="122"/>
      <c r="Y260" s="122"/>
      <c r="Z260" s="122"/>
    </row>
    <row r="261" spans="1:26" ht="12.75" x14ac:dyDescent="0.2">
      <c r="A261" s="122"/>
      <c r="B261" s="180"/>
      <c r="C261" s="152" t="s">
        <v>293</v>
      </c>
      <c r="D261" s="180"/>
      <c r="E261" s="180"/>
      <c r="F261" s="125">
        <f>F180/F$120</f>
        <v>1.6010819999999999</v>
      </c>
      <c r="G261" s="125">
        <f>G180/G$120</f>
        <v>1.6010819999999997</v>
      </c>
      <c r="H261" s="125">
        <f>H180/H$120</f>
        <v>1.6010819999999999</v>
      </c>
      <c r="I261" s="125">
        <f>I180/I$120</f>
        <v>1.6010819999999999</v>
      </c>
      <c r="J261" s="125">
        <f>J180/J$120</f>
        <v>1.6010819999999999</v>
      </c>
      <c r="K261" s="125">
        <f>K180/K$120</f>
        <v>1.6010819999999997</v>
      </c>
      <c r="L261" s="125">
        <f>L180/L$120</f>
        <v>1.6010819999999999</v>
      </c>
      <c r="M261" s="125">
        <f>M180/M$120</f>
        <v>1.6010819999999999</v>
      </c>
      <c r="N261" s="125">
        <f>N180/N$120</f>
        <v>1.6010819999999999</v>
      </c>
      <c r="O261" s="125">
        <f>O180/O$120</f>
        <v>1.6010819999999999</v>
      </c>
      <c r="P261" s="122"/>
      <c r="Q261" s="122"/>
      <c r="R261" s="122"/>
      <c r="S261" s="122"/>
      <c r="T261" s="122"/>
      <c r="U261" s="122"/>
      <c r="V261" s="122"/>
      <c r="W261" s="122"/>
      <c r="X261" s="122"/>
      <c r="Y261" s="122"/>
      <c r="Z261" s="122"/>
    </row>
    <row r="262" spans="1:26" ht="12.75" x14ac:dyDescent="0.2">
      <c r="A262" s="122"/>
      <c r="B262" s="180"/>
      <c r="C262" s="228" t="s">
        <v>278</v>
      </c>
      <c r="D262" s="180"/>
      <c r="E262" s="180"/>
      <c r="F262" s="125">
        <f>F181/F$120</f>
        <v>12.949499999999999</v>
      </c>
      <c r="G262" s="125">
        <f>G181/G$120</f>
        <v>12.949499999999997</v>
      </c>
      <c r="H262" s="125">
        <f>H181/H$120</f>
        <v>12.949499999999999</v>
      </c>
      <c r="I262" s="125">
        <f>I181/I$120</f>
        <v>12.949499999999997</v>
      </c>
      <c r="J262" s="125">
        <f>J181/J$120</f>
        <v>12.949499999999999</v>
      </c>
      <c r="K262" s="125">
        <f>K181/K$120</f>
        <v>12.949499999999999</v>
      </c>
      <c r="L262" s="125">
        <f>L181/L$120</f>
        <v>12.949499999999997</v>
      </c>
      <c r="M262" s="125">
        <f>M181/M$120</f>
        <v>12.949499999999999</v>
      </c>
      <c r="N262" s="125">
        <f>N181/N$120</f>
        <v>12.949499999999997</v>
      </c>
      <c r="O262" s="125">
        <f>O181/O$120</f>
        <v>12.949499999999999</v>
      </c>
      <c r="P262" s="122"/>
      <c r="Q262" s="122"/>
      <c r="R262" s="122"/>
      <c r="S262" s="122"/>
      <c r="T262" s="122"/>
      <c r="U262" s="122"/>
      <c r="V262" s="122"/>
      <c r="W262" s="122"/>
      <c r="X262" s="122"/>
      <c r="Y262" s="122"/>
      <c r="Z262" s="122"/>
    </row>
    <row r="263" spans="1:26" ht="12.75" x14ac:dyDescent="0.2">
      <c r="A263" s="122"/>
      <c r="B263" s="180"/>
      <c r="C263" s="152" t="s">
        <v>85</v>
      </c>
      <c r="D263" s="180"/>
      <c r="E263" s="180"/>
      <c r="F263" s="125">
        <f>F182/F$120</f>
        <v>0</v>
      </c>
      <c r="G263" s="125">
        <f>G182/G$120</f>
        <v>0</v>
      </c>
      <c r="H263" s="125">
        <f>H182/H$120</f>
        <v>0</v>
      </c>
      <c r="I263" s="125">
        <f>I182/I$120</f>
        <v>0</v>
      </c>
      <c r="J263" s="125">
        <f>J182/J$120</f>
        <v>0</v>
      </c>
      <c r="K263" s="125">
        <f>K182/K$120</f>
        <v>0</v>
      </c>
      <c r="L263" s="125">
        <f>L182/L$120</f>
        <v>0</v>
      </c>
      <c r="M263" s="125">
        <f>M182/M$120</f>
        <v>0</v>
      </c>
      <c r="N263" s="125">
        <f>N182/N$120</f>
        <v>0</v>
      </c>
      <c r="O263" s="125">
        <f>O182/O$120</f>
        <v>0</v>
      </c>
      <c r="P263" s="122"/>
      <c r="Q263" s="122"/>
      <c r="R263" s="122"/>
      <c r="S263" s="122"/>
      <c r="T263" s="122"/>
      <c r="U263" s="122"/>
      <c r="V263" s="122"/>
      <c r="W263" s="122"/>
      <c r="X263" s="122"/>
      <c r="Y263" s="122"/>
      <c r="Z263" s="122"/>
    </row>
    <row r="264" spans="1:26" ht="12.75" x14ac:dyDescent="0.2">
      <c r="A264" s="122"/>
      <c r="B264" s="180"/>
      <c r="C264" s="198" t="s">
        <v>207</v>
      </c>
      <c r="D264" s="182"/>
      <c r="E264" s="182"/>
      <c r="F264" s="193">
        <f>SUM(F257:F263)</f>
        <v>27.915144999999999</v>
      </c>
      <c r="G264" s="193">
        <f t="shared" ref="G264:O264" si="53">SUM(G257:G263)</f>
        <v>27.915144999999995</v>
      </c>
      <c r="H264" s="193">
        <f t="shared" si="53"/>
        <v>27.915144999999999</v>
      </c>
      <c r="I264" s="193">
        <f t="shared" si="53"/>
        <v>27.915144999999995</v>
      </c>
      <c r="J264" s="193">
        <f t="shared" si="53"/>
        <v>27.915144999999999</v>
      </c>
      <c r="K264" s="193">
        <f t="shared" si="53"/>
        <v>27.915144999999995</v>
      </c>
      <c r="L264" s="193">
        <f t="shared" si="53"/>
        <v>27.915144999999995</v>
      </c>
      <c r="M264" s="193">
        <f t="shared" si="53"/>
        <v>27.915144999999999</v>
      </c>
      <c r="N264" s="193">
        <f t="shared" si="53"/>
        <v>27.915144999999995</v>
      </c>
      <c r="O264" s="193">
        <f t="shared" si="53"/>
        <v>27.915144999999999</v>
      </c>
      <c r="P264" s="122"/>
      <c r="Q264" s="122"/>
      <c r="R264" s="122"/>
      <c r="S264" s="122"/>
      <c r="T264" s="122"/>
      <c r="U264" s="122"/>
      <c r="V264" s="122"/>
      <c r="W264" s="122"/>
      <c r="X264" s="122"/>
      <c r="Y264" s="122"/>
      <c r="Z264" s="122"/>
    </row>
    <row r="265" spans="1:26" ht="12.75" x14ac:dyDescent="0.2">
      <c r="A265" s="122"/>
      <c r="B265" s="180"/>
      <c r="C265" s="155"/>
      <c r="D265" s="180"/>
      <c r="E265" s="180"/>
      <c r="F265" s="180"/>
      <c r="G265" s="180"/>
      <c r="H265" s="180"/>
      <c r="I265" s="180"/>
      <c r="J265" s="180"/>
      <c r="K265" s="180"/>
      <c r="L265" s="180"/>
      <c r="M265" s="180"/>
      <c r="N265" s="180"/>
      <c r="O265" s="180"/>
      <c r="P265" s="122"/>
      <c r="Q265" s="122"/>
      <c r="R265" s="122"/>
      <c r="S265" s="122"/>
      <c r="T265" s="122"/>
      <c r="U265" s="122"/>
      <c r="V265" s="122"/>
      <c r="W265" s="122"/>
      <c r="X265" s="122"/>
      <c r="Y265" s="122"/>
      <c r="Z265" s="122"/>
    </row>
    <row r="266" spans="1:26" ht="12.75" x14ac:dyDescent="0.2">
      <c r="A266" s="122"/>
      <c r="B266" s="180"/>
      <c r="C266" s="188" t="s">
        <v>215</v>
      </c>
      <c r="D266" s="180"/>
      <c r="E266" s="180"/>
      <c r="F266" s="183"/>
      <c r="G266" s="183"/>
      <c r="H266" s="183"/>
      <c r="I266" s="183"/>
      <c r="J266" s="183"/>
      <c r="K266" s="183"/>
      <c r="L266" s="183"/>
      <c r="M266" s="183"/>
      <c r="N266" s="183"/>
      <c r="O266" s="183"/>
      <c r="P266" s="122"/>
      <c r="Q266" s="122"/>
      <c r="R266" s="122"/>
      <c r="S266" s="122"/>
      <c r="T266" s="122"/>
      <c r="U266" s="122"/>
      <c r="V266" s="122"/>
      <c r="W266" s="122"/>
      <c r="X266" s="122"/>
      <c r="Y266" s="122"/>
      <c r="Z266" s="122"/>
    </row>
    <row r="267" spans="1:26" ht="12.75" x14ac:dyDescent="0.2">
      <c r="A267" s="122"/>
      <c r="B267" s="180"/>
      <c r="C267" s="155" t="s">
        <v>110</v>
      </c>
      <c r="D267" s="180"/>
      <c r="E267" s="180"/>
      <c r="F267" s="125">
        <f>F186/F$120</f>
        <v>4.6074999999999999</v>
      </c>
      <c r="G267" s="125">
        <f>G186/G$120</f>
        <v>4.607499999999999</v>
      </c>
      <c r="H267" s="125">
        <f>H186/H$120</f>
        <v>4.6074999999999999</v>
      </c>
      <c r="I267" s="125">
        <f>I186/I$120</f>
        <v>4.6074999999999999</v>
      </c>
      <c r="J267" s="125">
        <f>J186/J$120</f>
        <v>4.6074999999999999</v>
      </c>
      <c r="K267" s="125">
        <f>K186/K$120</f>
        <v>4.6074999999999999</v>
      </c>
      <c r="L267" s="125">
        <f>L186/L$120</f>
        <v>4.6074999999999999</v>
      </c>
      <c r="M267" s="125">
        <f>M186/M$120</f>
        <v>4.6074999999999999</v>
      </c>
      <c r="N267" s="125">
        <f>N186/N$120</f>
        <v>4.6074999999999999</v>
      </c>
      <c r="O267" s="125">
        <f>O186/O$120</f>
        <v>4.6074999999999999</v>
      </c>
      <c r="P267" s="122"/>
      <c r="Q267" s="122"/>
      <c r="R267" s="122"/>
      <c r="S267" s="122"/>
      <c r="T267" s="122"/>
      <c r="U267" s="122"/>
      <c r="V267" s="122"/>
      <c r="W267" s="122"/>
      <c r="X267" s="122"/>
      <c r="Y267" s="122"/>
      <c r="Z267" s="122"/>
    </row>
    <row r="268" spans="1:26" ht="12.75" x14ac:dyDescent="0.2">
      <c r="A268" s="122"/>
      <c r="B268" s="155"/>
      <c r="C268" s="184" t="s">
        <v>283</v>
      </c>
      <c r="D268" s="184"/>
      <c r="E268" s="184"/>
      <c r="F268" s="125">
        <f>F187/F$120</f>
        <v>2.1601050000000002</v>
      </c>
      <c r="G268" s="125">
        <f>G187/G$120</f>
        <v>2.1601050000000002</v>
      </c>
      <c r="H268" s="125">
        <f>H187/H$120</f>
        <v>2.1601050000000002</v>
      </c>
      <c r="I268" s="125">
        <f>I187/I$120</f>
        <v>2.1601050000000002</v>
      </c>
      <c r="J268" s="125">
        <f>J187/J$120</f>
        <v>2.1601050000000002</v>
      </c>
      <c r="K268" s="125">
        <f>K187/K$120</f>
        <v>2.1601050000000002</v>
      </c>
      <c r="L268" s="125">
        <f>L187/L$120</f>
        <v>2.1601050000000002</v>
      </c>
      <c r="M268" s="125">
        <f>M187/M$120</f>
        <v>2.1601050000000002</v>
      </c>
      <c r="N268" s="125">
        <f>N187/N$120</f>
        <v>2.1601050000000002</v>
      </c>
      <c r="O268" s="125">
        <f>O187/O$120</f>
        <v>2.1601050000000002</v>
      </c>
      <c r="P268" s="122"/>
      <c r="Q268" s="122"/>
      <c r="R268" s="122"/>
      <c r="S268" s="122"/>
      <c r="T268" s="122"/>
      <c r="U268" s="122"/>
      <c r="V268" s="122"/>
      <c r="W268" s="122"/>
      <c r="X268" s="122"/>
      <c r="Y268" s="122"/>
      <c r="Z268" s="122"/>
    </row>
    <row r="269" spans="1:26" ht="12.75" x14ac:dyDescent="0.2">
      <c r="A269" s="122"/>
      <c r="B269" s="180"/>
      <c r="C269" s="199" t="s">
        <v>216</v>
      </c>
      <c r="D269" s="182"/>
      <c r="E269" s="182"/>
      <c r="F269" s="127">
        <f>SUM(F267:F268)</f>
        <v>6.7676049999999996</v>
      </c>
      <c r="G269" s="127">
        <f t="shared" ref="G269:O269" si="54">SUM(G267:G268)</f>
        <v>6.7676049999999996</v>
      </c>
      <c r="H269" s="127">
        <f t="shared" si="54"/>
        <v>6.7676049999999996</v>
      </c>
      <c r="I269" s="127">
        <f t="shared" si="54"/>
        <v>6.7676049999999996</v>
      </c>
      <c r="J269" s="127">
        <f t="shared" si="54"/>
        <v>6.7676049999999996</v>
      </c>
      <c r="K269" s="127">
        <f t="shared" si="54"/>
        <v>6.7676049999999996</v>
      </c>
      <c r="L269" s="127">
        <f t="shared" si="54"/>
        <v>6.7676049999999996</v>
      </c>
      <c r="M269" s="127">
        <f t="shared" si="54"/>
        <v>6.7676049999999996</v>
      </c>
      <c r="N269" s="127">
        <f t="shared" si="54"/>
        <v>6.7676049999999996</v>
      </c>
      <c r="O269" s="127">
        <f t="shared" si="54"/>
        <v>6.7676049999999996</v>
      </c>
      <c r="P269" s="122"/>
      <c r="Q269" s="122"/>
      <c r="R269" s="122"/>
      <c r="S269" s="122"/>
      <c r="T269" s="122"/>
      <c r="U269" s="122"/>
      <c r="V269" s="122"/>
      <c r="W269" s="122"/>
      <c r="X269" s="122"/>
      <c r="Y269" s="122"/>
      <c r="Z269" s="122"/>
    </row>
    <row r="270" spans="1:26" ht="12.75" x14ac:dyDescent="0.2">
      <c r="A270" s="122"/>
      <c r="B270" s="180"/>
      <c r="C270" s="155"/>
      <c r="D270" s="180"/>
      <c r="E270" s="180"/>
      <c r="F270" s="183"/>
      <c r="G270" s="183"/>
      <c r="H270" s="183"/>
      <c r="I270" s="183"/>
      <c r="J270" s="183"/>
      <c r="K270" s="183"/>
      <c r="L270" s="183"/>
      <c r="M270" s="183"/>
      <c r="N270" s="183"/>
      <c r="O270" s="183"/>
      <c r="P270" s="122"/>
      <c r="Q270" s="122"/>
      <c r="R270" s="122"/>
      <c r="S270" s="122"/>
      <c r="T270" s="122"/>
      <c r="U270" s="122"/>
      <c r="V270" s="122"/>
      <c r="W270" s="122"/>
      <c r="X270" s="122"/>
      <c r="Y270" s="122"/>
      <c r="Z270" s="122"/>
    </row>
    <row r="271" spans="1:26" ht="12.75" x14ac:dyDescent="0.2">
      <c r="A271" s="122"/>
      <c r="B271" s="180"/>
      <c r="C271" s="188" t="s">
        <v>219</v>
      </c>
      <c r="D271" s="180"/>
      <c r="E271" s="180"/>
      <c r="F271" s="183"/>
      <c r="G271" s="183"/>
      <c r="H271" s="183"/>
      <c r="I271" s="183"/>
      <c r="J271" s="183"/>
      <c r="K271" s="183"/>
      <c r="L271" s="183"/>
      <c r="M271" s="183"/>
      <c r="N271" s="183"/>
      <c r="O271" s="183"/>
      <c r="P271" s="122"/>
      <c r="Q271" s="122"/>
      <c r="R271" s="122"/>
      <c r="S271" s="122"/>
      <c r="T271" s="122"/>
      <c r="U271" s="122"/>
      <c r="V271" s="122"/>
      <c r="W271" s="122"/>
      <c r="X271" s="122"/>
      <c r="Y271" s="122"/>
      <c r="Z271" s="122"/>
    </row>
    <row r="272" spans="1:26" ht="12.75" x14ac:dyDescent="0.2">
      <c r="A272" s="122"/>
      <c r="B272" s="180"/>
      <c r="C272" s="152" t="s">
        <v>92</v>
      </c>
      <c r="D272" s="180"/>
      <c r="E272" s="180"/>
      <c r="F272" s="125">
        <f>F191/F$120</f>
        <v>1.8187500000000001</v>
      </c>
      <c r="G272" s="125">
        <f>G191/G$120</f>
        <v>1.8187500000000001</v>
      </c>
      <c r="H272" s="125">
        <f>H191/H$120</f>
        <v>1.8187500000000003</v>
      </c>
      <c r="I272" s="125">
        <f>I191/I$120</f>
        <v>1.8187500000000001</v>
      </c>
      <c r="J272" s="125">
        <f>J191/J$120</f>
        <v>1.8187499999999999</v>
      </c>
      <c r="K272" s="125">
        <f>K191/K$120</f>
        <v>1.8187500000000003</v>
      </c>
      <c r="L272" s="125">
        <f>L191/L$120</f>
        <v>1.8187500000000001</v>
      </c>
      <c r="M272" s="125">
        <f>M191/M$120</f>
        <v>1.8187500000000003</v>
      </c>
      <c r="N272" s="125">
        <f>N191/N$120</f>
        <v>1.8187500000000001</v>
      </c>
      <c r="O272" s="125">
        <f>O191/O$120</f>
        <v>1.8187500000000001</v>
      </c>
      <c r="P272" s="122"/>
      <c r="Q272" s="122"/>
      <c r="R272" s="122"/>
      <c r="S272" s="122"/>
      <c r="T272" s="122"/>
      <c r="U272" s="122"/>
      <c r="V272" s="122"/>
      <c r="W272" s="122"/>
      <c r="X272" s="122"/>
      <c r="Y272" s="122"/>
      <c r="Z272" s="122"/>
    </row>
    <row r="273" spans="1:26" ht="12.75" x14ac:dyDescent="0.2">
      <c r="A273" s="122"/>
      <c r="B273" s="180"/>
      <c r="C273" s="152" t="s">
        <v>96</v>
      </c>
      <c r="D273" s="180"/>
      <c r="E273" s="180"/>
      <c r="F273" s="125">
        <f>F192/F$120</f>
        <v>0.42486000000000002</v>
      </c>
      <c r="G273" s="125">
        <f>G192/G$120</f>
        <v>0.42486000000000002</v>
      </c>
      <c r="H273" s="125">
        <f>H192/H$120</f>
        <v>0.42486000000000002</v>
      </c>
      <c r="I273" s="125">
        <f>I192/I$120</f>
        <v>0.42486000000000002</v>
      </c>
      <c r="J273" s="125">
        <f>J192/J$120</f>
        <v>0.42486000000000002</v>
      </c>
      <c r="K273" s="125">
        <f>K192/K$120</f>
        <v>0.42486000000000002</v>
      </c>
      <c r="L273" s="125">
        <f>L192/L$120</f>
        <v>0.42486000000000002</v>
      </c>
      <c r="M273" s="125">
        <f>M192/M$120</f>
        <v>0.42486000000000002</v>
      </c>
      <c r="N273" s="125">
        <f>N192/N$120</f>
        <v>0.42486000000000002</v>
      </c>
      <c r="O273" s="125">
        <f>O192/O$120</f>
        <v>0.42486000000000002</v>
      </c>
      <c r="P273" s="122"/>
      <c r="Q273" s="122"/>
      <c r="R273" s="122"/>
      <c r="S273" s="122"/>
      <c r="T273" s="122"/>
      <c r="U273" s="122"/>
      <c r="V273" s="122"/>
      <c r="W273" s="122"/>
      <c r="X273" s="122"/>
      <c r="Y273" s="122"/>
      <c r="Z273" s="122"/>
    </row>
    <row r="274" spans="1:26" ht="12.75" x14ac:dyDescent="0.2">
      <c r="A274" s="122"/>
      <c r="B274" s="180"/>
      <c r="C274" s="152" t="s">
        <v>99</v>
      </c>
      <c r="D274" s="180"/>
      <c r="E274" s="180"/>
      <c r="F274" s="125">
        <f>F193/F$120</f>
        <v>5.1687739712000003</v>
      </c>
      <c r="G274" s="125">
        <f>G193/G$120</f>
        <v>5.1687739711999994</v>
      </c>
      <c r="H274" s="125">
        <f>H193/H$120</f>
        <v>5.1687739711999994</v>
      </c>
      <c r="I274" s="125">
        <f>I193/I$120</f>
        <v>5.1687739712000011</v>
      </c>
      <c r="J274" s="125">
        <f>J193/J$120</f>
        <v>5.1687739711999994</v>
      </c>
      <c r="K274" s="125">
        <f>K193/K$120</f>
        <v>5.1687739712000003</v>
      </c>
      <c r="L274" s="125">
        <f>L193/L$120</f>
        <v>5.1687739712000003</v>
      </c>
      <c r="M274" s="125">
        <f>M193/M$120</f>
        <v>5.1687739712000011</v>
      </c>
      <c r="N274" s="125">
        <f>N193/N$120</f>
        <v>5.1687739711999994</v>
      </c>
      <c r="O274" s="125">
        <f>O193/O$120</f>
        <v>5.1687739712000003</v>
      </c>
      <c r="P274" s="122"/>
      <c r="Q274" s="122"/>
      <c r="R274" s="122"/>
      <c r="S274" s="122"/>
      <c r="T274" s="122"/>
      <c r="U274" s="122"/>
      <c r="V274" s="122"/>
      <c r="W274" s="122"/>
      <c r="X274" s="122"/>
      <c r="Y274" s="122"/>
      <c r="Z274" s="122"/>
    </row>
    <row r="275" spans="1:26" ht="12.75" x14ac:dyDescent="0.2">
      <c r="A275" s="122"/>
      <c r="B275" s="180"/>
      <c r="C275" s="152" t="s">
        <v>102</v>
      </c>
      <c r="D275" s="180"/>
      <c r="E275" s="180"/>
      <c r="F275" s="125">
        <f>F194/F$120</f>
        <v>5.0254346267999992</v>
      </c>
      <c r="G275" s="125">
        <f>G194/G$120</f>
        <v>5.0254346268000001</v>
      </c>
      <c r="H275" s="125">
        <f>H194/H$120</f>
        <v>5.0254346267999983</v>
      </c>
      <c r="I275" s="125">
        <f>I194/I$120</f>
        <v>5.0254346268000001</v>
      </c>
      <c r="J275" s="125">
        <f>J194/J$120</f>
        <v>5.0254346267999992</v>
      </c>
      <c r="K275" s="125">
        <f>K194/K$120</f>
        <v>5.0254346268000001</v>
      </c>
      <c r="L275" s="125">
        <f>L194/L$120</f>
        <v>5.0254346267999983</v>
      </c>
      <c r="M275" s="125">
        <f>M194/M$120</f>
        <v>5.0254346268000001</v>
      </c>
      <c r="N275" s="125">
        <f>N194/N$120</f>
        <v>5.0254346267999992</v>
      </c>
      <c r="O275" s="125">
        <f>O194/O$120</f>
        <v>5.0254346267999983</v>
      </c>
      <c r="P275" s="122"/>
      <c r="Q275" s="122"/>
      <c r="R275" s="122"/>
      <c r="S275" s="122"/>
      <c r="T275" s="122"/>
      <c r="U275" s="122"/>
      <c r="V275" s="122"/>
      <c r="W275" s="122"/>
      <c r="X275" s="122"/>
      <c r="Y275" s="122"/>
      <c r="Z275" s="122"/>
    </row>
    <row r="276" spans="1:26" ht="12.75" x14ac:dyDescent="0.2">
      <c r="A276" s="122"/>
      <c r="B276" s="180"/>
      <c r="C276" s="152" t="s">
        <v>105</v>
      </c>
      <c r="D276" s="180"/>
      <c r="E276" s="180"/>
      <c r="F276" s="125">
        <f>F195/F$120</f>
        <v>2.13788</v>
      </c>
      <c r="G276" s="125">
        <f>G195/G$120</f>
        <v>2.1378799999999996</v>
      </c>
      <c r="H276" s="125">
        <f>H195/H$120</f>
        <v>2.1378799999999996</v>
      </c>
      <c r="I276" s="125">
        <f>I195/I$120</f>
        <v>2.13788</v>
      </c>
      <c r="J276" s="125">
        <f>J195/J$120</f>
        <v>2.1378799999999996</v>
      </c>
      <c r="K276" s="125">
        <f>K195/K$120</f>
        <v>2.13788</v>
      </c>
      <c r="L276" s="125">
        <f>L195/L$120</f>
        <v>2.13788</v>
      </c>
      <c r="M276" s="125">
        <f>M195/M$120</f>
        <v>2.13788</v>
      </c>
      <c r="N276" s="125">
        <f>N195/N$120</f>
        <v>2.13788</v>
      </c>
      <c r="O276" s="125">
        <f>O195/O$120</f>
        <v>2.13788</v>
      </c>
      <c r="P276" s="122"/>
      <c r="Q276" s="122"/>
      <c r="R276" s="122"/>
      <c r="S276" s="122"/>
      <c r="T276" s="122"/>
      <c r="U276" s="122"/>
      <c r="V276" s="122"/>
      <c r="W276" s="122"/>
      <c r="X276" s="122"/>
      <c r="Y276" s="122"/>
      <c r="Z276" s="122"/>
    </row>
    <row r="277" spans="1:26" ht="12.75" x14ac:dyDescent="0.2">
      <c r="A277" s="122"/>
      <c r="B277" s="180"/>
      <c r="C277" s="152" t="s">
        <v>108</v>
      </c>
      <c r="D277" s="180"/>
      <c r="E277" s="180"/>
      <c r="F277" s="125">
        <f>F196/F$120</f>
        <v>1.4</v>
      </c>
      <c r="G277" s="125">
        <f>G196/G$120</f>
        <v>1.4</v>
      </c>
      <c r="H277" s="125">
        <f>H196/H$120</f>
        <v>1.4</v>
      </c>
      <c r="I277" s="125">
        <f>I196/I$120</f>
        <v>1.4</v>
      </c>
      <c r="J277" s="125">
        <f>J196/J$120</f>
        <v>1.5000000000000002</v>
      </c>
      <c r="K277" s="125">
        <f>K196/K$120</f>
        <v>1.5</v>
      </c>
      <c r="L277" s="125">
        <f>L196/L$120</f>
        <v>1.5</v>
      </c>
      <c r="M277" s="125">
        <f>M196/M$120</f>
        <v>1.5</v>
      </c>
      <c r="N277" s="125">
        <f>N196/N$120</f>
        <v>1.6</v>
      </c>
      <c r="O277" s="125">
        <f>O196/O$120</f>
        <v>1.6</v>
      </c>
      <c r="P277" s="122"/>
      <c r="Q277" s="122"/>
      <c r="R277" s="122"/>
      <c r="S277" s="122"/>
      <c r="T277" s="122"/>
      <c r="U277" s="122"/>
      <c r="V277" s="122"/>
      <c r="W277" s="122"/>
      <c r="X277" s="122"/>
      <c r="Y277" s="122"/>
      <c r="Z277" s="122"/>
    </row>
    <row r="278" spans="1:26" ht="12.75" x14ac:dyDescent="0.2">
      <c r="A278" s="122"/>
      <c r="B278" s="155"/>
      <c r="C278" s="198" t="s">
        <v>217</v>
      </c>
      <c r="D278" s="198"/>
      <c r="E278" s="198"/>
      <c r="F278" s="200">
        <f t="shared" ref="F278:O278" si="55">SUM(F272:F277)</f>
        <v>15.975698597999999</v>
      </c>
      <c r="G278" s="200">
        <f t="shared" si="55"/>
        <v>15.975698597999999</v>
      </c>
      <c r="H278" s="200">
        <f t="shared" si="55"/>
        <v>15.975698597999997</v>
      </c>
      <c r="I278" s="200">
        <f t="shared" si="55"/>
        <v>15.975698598000003</v>
      </c>
      <c r="J278" s="200">
        <f t="shared" si="55"/>
        <v>16.075698597999999</v>
      </c>
      <c r="K278" s="200">
        <f t="shared" si="55"/>
        <v>16.075698597999999</v>
      </c>
      <c r="L278" s="200">
        <f t="shared" si="55"/>
        <v>16.075698597999999</v>
      </c>
      <c r="M278" s="200">
        <f t="shared" si="55"/>
        <v>16.075698598000002</v>
      </c>
      <c r="N278" s="200">
        <f t="shared" si="55"/>
        <v>16.175698598</v>
      </c>
      <c r="O278" s="200">
        <f t="shared" si="55"/>
        <v>16.175698598</v>
      </c>
      <c r="P278" s="122"/>
      <c r="Q278" s="122"/>
      <c r="R278" s="122"/>
      <c r="S278" s="122"/>
      <c r="T278" s="122"/>
      <c r="U278" s="122"/>
      <c r="V278" s="122"/>
      <c r="W278" s="122"/>
      <c r="X278" s="122"/>
      <c r="Y278" s="122"/>
      <c r="Z278" s="122"/>
    </row>
    <row r="279" spans="1:26" ht="12.75" x14ac:dyDescent="0.2">
      <c r="A279" s="122"/>
      <c r="B279" s="155"/>
      <c r="C279" s="155"/>
      <c r="D279" s="155"/>
      <c r="E279" s="155"/>
      <c r="F279" s="155"/>
      <c r="G279" s="155"/>
      <c r="H279" s="155"/>
      <c r="I279" s="155"/>
      <c r="J279" s="155"/>
      <c r="K279" s="155"/>
      <c r="L279" s="155"/>
      <c r="M279" s="155"/>
      <c r="N279" s="155"/>
      <c r="O279" s="155"/>
      <c r="P279" s="122"/>
      <c r="Q279" s="122"/>
      <c r="R279" s="122"/>
      <c r="S279" s="122"/>
      <c r="T279" s="122"/>
      <c r="U279" s="122"/>
      <c r="V279" s="122"/>
      <c r="W279" s="122"/>
      <c r="X279" s="122"/>
      <c r="Y279" s="122"/>
      <c r="Z279" s="122"/>
    </row>
    <row r="280" spans="1:26" ht="12.75" x14ac:dyDescent="0.2">
      <c r="A280" s="122"/>
      <c r="B280" s="155"/>
      <c r="C280" s="155" t="s">
        <v>287</v>
      </c>
      <c r="D280" s="155"/>
      <c r="E280" s="155"/>
      <c r="F280" s="155"/>
      <c r="G280" s="155"/>
      <c r="H280" s="155"/>
      <c r="I280" s="155"/>
      <c r="J280" s="155"/>
      <c r="K280" s="155"/>
      <c r="L280" s="155"/>
      <c r="M280" s="155"/>
      <c r="N280" s="155"/>
      <c r="O280" s="155"/>
      <c r="P280" s="122"/>
      <c r="Q280" s="122"/>
      <c r="R280" s="122"/>
      <c r="S280" s="122"/>
      <c r="T280" s="122"/>
      <c r="U280" s="122"/>
      <c r="V280" s="122"/>
      <c r="W280" s="122"/>
      <c r="X280" s="122"/>
      <c r="Y280" s="122"/>
      <c r="Z280" s="122"/>
    </row>
    <row r="281" spans="1:26" ht="12.75" x14ac:dyDescent="0.2">
      <c r="A281" s="122"/>
      <c r="B281" s="155"/>
      <c r="C281" s="155" t="s">
        <v>375</v>
      </c>
      <c r="D281" s="155"/>
      <c r="E281" s="155"/>
      <c r="F281" s="125">
        <f>F200/F$120</f>
        <v>0.9405491043307086</v>
      </c>
      <c r="G281" s="233">
        <f>G200/G$120</f>
        <v>0.95921820933070867</v>
      </c>
      <c r="H281" s="233">
        <f>H200/H$120</f>
        <v>0.9781113435907085</v>
      </c>
      <c r="I281" s="233">
        <f>I200/I$120</f>
        <v>0.9972311954618287</v>
      </c>
      <c r="J281" s="233">
        <f>J200/J$120</f>
        <v>1.0165804855554019</v>
      </c>
      <c r="K281" s="233">
        <f>K200/K$120</f>
        <v>1.0361619671300983</v>
      </c>
      <c r="L281" s="233">
        <f>L200/L$120</f>
        <v>1.0559784264836911</v>
      </c>
      <c r="M281" s="233">
        <f>M200/M$120</f>
        <v>1.0760326833495268</v>
      </c>
      <c r="N281" s="233">
        <f>N200/N$120</f>
        <v>1.0963275912977526</v>
      </c>
      <c r="O281" s="233">
        <f>O200/O$120</f>
        <v>1.1168660381413569</v>
      </c>
      <c r="P281" s="122"/>
      <c r="Q281" s="122"/>
      <c r="R281" s="122"/>
      <c r="S281" s="122"/>
      <c r="T281" s="122"/>
      <c r="U281" s="122"/>
      <c r="V281" s="122"/>
      <c r="W281" s="122"/>
      <c r="X281" s="122"/>
      <c r="Y281" s="122"/>
      <c r="Z281" s="122"/>
    </row>
    <row r="282" spans="1:26" ht="12.75" x14ac:dyDescent="0.2">
      <c r="A282" s="122"/>
      <c r="B282" s="155"/>
      <c r="C282" s="184" t="s">
        <v>284</v>
      </c>
      <c r="D282" s="184"/>
      <c r="E282" s="184"/>
      <c r="F282" s="234">
        <f>F201/F$120</f>
        <v>0.67221000000000009</v>
      </c>
      <c r="G282" s="234">
        <f>G201/G$120</f>
        <v>0.68027652000000016</v>
      </c>
      <c r="H282" s="234">
        <f>H201/H$120</f>
        <v>0.6884398382400001</v>
      </c>
      <c r="I282" s="234">
        <f>I201/I$120</f>
        <v>0.69670111629888021</v>
      </c>
      <c r="J282" s="234">
        <f>J201/J$120</f>
        <v>0.70506152969446667</v>
      </c>
      <c r="K282" s="234">
        <f>K201/K$120</f>
        <v>0.71352226805080021</v>
      </c>
      <c r="L282" s="234">
        <f>L201/L$120</f>
        <v>0.7220845352674099</v>
      </c>
      <c r="M282" s="234">
        <f>M201/M$120</f>
        <v>0.73074954969061878</v>
      </c>
      <c r="N282" s="234">
        <f>N201/N$120</f>
        <v>0.739518544286906</v>
      </c>
      <c r="O282" s="234">
        <f>O201/O$120</f>
        <v>0.74839276681834876</v>
      </c>
      <c r="P282" s="122"/>
      <c r="Q282" s="122"/>
      <c r="R282" s="122"/>
      <c r="S282" s="122"/>
      <c r="T282" s="122"/>
      <c r="U282" s="122"/>
      <c r="V282" s="122"/>
      <c r="W282" s="122"/>
      <c r="X282" s="122"/>
      <c r="Y282" s="122"/>
      <c r="Z282" s="122"/>
    </row>
    <row r="283" spans="1:26" ht="12.75" x14ac:dyDescent="0.2">
      <c r="A283" s="122"/>
      <c r="B283" s="155"/>
      <c r="C283" s="155" t="s">
        <v>289</v>
      </c>
      <c r="D283" s="155"/>
      <c r="E283" s="155"/>
      <c r="F283" s="190">
        <f t="shared" ref="F283:O283" si="56">SUM(F281:F282)</f>
        <v>1.6127591043307086</v>
      </c>
      <c r="G283" s="190">
        <f t="shared" si="56"/>
        <v>1.6394947293307087</v>
      </c>
      <c r="H283" s="190">
        <f t="shared" si="56"/>
        <v>1.6665511818307086</v>
      </c>
      <c r="I283" s="190">
        <f t="shared" si="56"/>
        <v>1.693932311760709</v>
      </c>
      <c r="J283" s="190">
        <f t="shared" si="56"/>
        <v>1.7216420152498686</v>
      </c>
      <c r="K283" s="190">
        <f t="shared" si="56"/>
        <v>1.7496842351808986</v>
      </c>
      <c r="L283" s="190">
        <f t="shared" si="56"/>
        <v>1.778062961751101</v>
      </c>
      <c r="M283" s="190">
        <f t="shared" si="56"/>
        <v>1.8067822330401455</v>
      </c>
      <c r="N283" s="190">
        <f t="shared" si="56"/>
        <v>1.8358461355846587</v>
      </c>
      <c r="O283" s="190">
        <f t="shared" si="56"/>
        <v>1.8652588049597056</v>
      </c>
      <c r="P283" s="122"/>
      <c r="Q283" s="122"/>
      <c r="R283" s="122"/>
      <c r="S283" s="122"/>
      <c r="T283" s="122"/>
      <c r="U283" s="122"/>
      <c r="V283" s="122"/>
      <c r="W283" s="122"/>
      <c r="X283" s="122"/>
      <c r="Y283" s="122"/>
      <c r="Z283" s="122"/>
    </row>
    <row r="284" spans="1:26" ht="12.75" x14ac:dyDescent="0.2">
      <c r="A284" s="122"/>
      <c r="B284" s="155"/>
      <c r="C284" s="155"/>
      <c r="D284" s="155"/>
      <c r="E284" s="155"/>
      <c r="F284" s="155"/>
      <c r="G284" s="155"/>
      <c r="H284" s="155"/>
      <c r="I284" s="155"/>
      <c r="J284" s="155"/>
      <c r="K284" s="155"/>
      <c r="L284" s="155"/>
      <c r="M284" s="155"/>
      <c r="N284" s="155"/>
      <c r="O284" s="155"/>
      <c r="P284" s="122"/>
      <c r="Q284" s="122"/>
      <c r="R284" s="122"/>
      <c r="S284" s="122"/>
      <c r="T284" s="122"/>
      <c r="U284" s="122"/>
      <c r="V284" s="122"/>
      <c r="W284" s="122"/>
      <c r="X284" s="122"/>
      <c r="Y284" s="122"/>
      <c r="Z284" s="122"/>
    </row>
    <row r="285" spans="1:26" ht="12.75" x14ac:dyDescent="0.2">
      <c r="A285" s="122"/>
      <c r="B285" s="155"/>
      <c r="C285" s="203" t="s">
        <v>236</v>
      </c>
      <c r="D285" s="203"/>
      <c r="E285" s="203"/>
      <c r="F285" s="204">
        <f>F254+F264+F269+F278+F283</f>
        <v>52.271207702330706</v>
      </c>
      <c r="G285" s="204">
        <f t="shared" ref="G285:O285" si="57">G254+G264+G269+G278+G283</f>
        <v>52.297943327330707</v>
      </c>
      <c r="H285" s="204">
        <f t="shared" si="57"/>
        <v>52.324999779830698</v>
      </c>
      <c r="I285" s="204">
        <f t="shared" si="57"/>
        <v>52.352380909760711</v>
      </c>
      <c r="J285" s="204">
        <f t="shared" si="57"/>
        <v>52.480090613249871</v>
      </c>
      <c r="K285" s="204">
        <f t="shared" si="57"/>
        <v>52.508132833180902</v>
      </c>
      <c r="L285" s="204">
        <f t="shared" si="57"/>
        <v>52.536511559751105</v>
      </c>
      <c r="M285" s="204">
        <f t="shared" si="57"/>
        <v>52.565230831040147</v>
      </c>
      <c r="N285" s="204">
        <f t="shared" si="57"/>
        <v>52.694294733584655</v>
      </c>
      <c r="O285" s="204">
        <f t="shared" si="57"/>
        <v>52.723707402959704</v>
      </c>
      <c r="P285" s="122"/>
      <c r="Q285" s="122"/>
      <c r="R285" s="122"/>
      <c r="S285" s="122"/>
      <c r="T285" s="122"/>
      <c r="U285" s="122"/>
      <c r="V285" s="122"/>
      <c r="W285" s="122"/>
      <c r="X285" s="122"/>
      <c r="Y285" s="122"/>
      <c r="Z285" s="122"/>
    </row>
    <row r="286" spans="1:26" ht="12.75" x14ac:dyDescent="0.2">
      <c r="A286" s="122"/>
      <c r="B286" s="155"/>
      <c r="C286" s="155"/>
      <c r="D286" s="155"/>
      <c r="E286" s="155"/>
      <c r="F286" s="155"/>
      <c r="G286" s="155"/>
      <c r="H286" s="155"/>
      <c r="I286" s="155"/>
      <c r="J286" s="155"/>
      <c r="K286" s="155"/>
      <c r="L286" s="155"/>
      <c r="M286" s="155"/>
      <c r="N286" s="155"/>
      <c r="O286" s="155"/>
      <c r="P286" s="122"/>
      <c r="Q286" s="122"/>
      <c r="R286" s="122"/>
      <c r="S286" s="122"/>
      <c r="T286" s="122"/>
      <c r="U286" s="122"/>
      <c r="V286" s="122"/>
      <c r="W286" s="122"/>
      <c r="X286" s="122"/>
      <c r="Y286" s="122"/>
      <c r="Z286" s="122"/>
    </row>
    <row r="287" spans="1:26" ht="12.75" x14ac:dyDescent="0.2">
      <c r="A287" s="122"/>
      <c r="C287" s="206" t="s">
        <v>238</v>
      </c>
      <c r="D287" s="203"/>
      <c r="E287" s="203"/>
      <c r="F287" s="208">
        <f t="shared" ref="F287:O287" si="58">F249-F285</f>
        <v>28.572229797669287</v>
      </c>
      <c r="G287" s="208">
        <f t="shared" si="58"/>
        <v>29.515615422669292</v>
      </c>
      <c r="H287" s="208">
        <f t="shared" si="58"/>
        <v>30.470321675169295</v>
      </c>
      <c r="I287" s="208">
        <f t="shared" si="58"/>
        <v>31.436484402699293</v>
      </c>
      <c r="J287" s="208">
        <f t="shared" si="58"/>
        <v>32.314241082959654</v>
      </c>
      <c r="K287" s="208">
        <f t="shared" si="58"/>
        <v>33.303730843383129</v>
      </c>
      <c r="L287" s="208">
        <f t="shared" si="58"/>
        <v>34.305094480931714</v>
      </c>
      <c r="M287" s="208">
        <f t="shared" si="58"/>
        <v>35.318474482130846</v>
      </c>
      <c r="N287" s="208">
        <f t="shared" si="58"/>
        <v>36.244015043344405</v>
      </c>
      <c r="O287" s="208">
        <f t="shared" si="58"/>
        <v>37.281862091292481</v>
      </c>
      <c r="P287" s="122"/>
      <c r="Q287" s="122"/>
      <c r="R287" s="122"/>
      <c r="S287" s="122"/>
      <c r="T287" s="122"/>
      <c r="U287" s="122"/>
      <c r="V287" s="122"/>
      <c r="W287" s="122"/>
      <c r="X287" s="122"/>
      <c r="Y287" s="122"/>
      <c r="Z287" s="122"/>
    </row>
    <row r="288" spans="1:26" ht="12.75" x14ac:dyDescent="0.2">
      <c r="A288" s="122"/>
      <c r="B288" s="122"/>
      <c r="C288" s="122"/>
      <c r="D288" s="122"/>
      <c r="E288" s="122"/>
      <c r="F288" s="780"/>
      <c r="G288" s="122"/>
      <c r="H288" s="122"/>
      <c r="I288" s="122"/>
      <c r="J288" s="122"/>
      <c r="K288" s="122"/>
      <c r="L288" s="122"/>
      <c r="M288" s="122"/>
      <c r="N288" s="122"/>
      <c r="O288" s="122"/>
      <c r="P288" s="122"/>
      <c r="Q288" s="122"/>
      <c r="R288" s="122"/>
      <c r="S288" s="122"/>
      <c r="T288" s="122"/>
      <c r="U288" s="122"/>
      <c r="V288" s="122"/>
      <c r="W288" s="122"/>
      <c r="X288" s="122"/>
      <c r="Y288" s="122"/>
      <c r="Z288" s="122"/>
    </row>
    <row r="289" spans="1:26" ht="12.75" x14ac:dyDescent="0.2">
      <c r="A289" s="122"/>
      <c r="B289" s="179" t="s">
        <v>237</v>
      </c>
      <c r="C289" s="155"/>
      <c r="D289" s="180"/>
      <c r="E289" s="180"/>
      <c r="F289" s="183"/>
      <c r="G289" s="180"/>
      <c r="H289" s="180"/>
      <c r="I289" s="180"/>
      <c r="J289" s="180"/>
      <c r="K289" s="180"/>
      <c r="L289" s="180"/>
      <c r="M289" s="180"/>
      <c r="N289" s="180"/>
      <c r="O289" s="180"/>
      <c r="P289" s="122"/>
      <c r="Q289" s="122"/>
      <c r="R289" s="122"/>
      <c r="S289" s="122"/>
      <c r="T289" s="122"/>
      <c r="U289" s="122"/>
      <c r="V289" s="122"/>
      <c r="W289" s="122"/>
      <c r="X289" s="122"/>
      <c r="Y289" s="122"/>
      <c r="Z289" s="122"/>
    </row>
    <row r="290" spans="1:26" ht="12.75" x14ac:dyDescent="0.2">
      <c r="A290" s="122"/>
      <c r="C290" s="232" t="s">
        <v>222</v>
      </c>
      <c r="D290" s="180"/>
      <c r="E290" s="180"/>
      <c r="F290" s="180"/>
      <c r="G290" s="180"/>
      <c r="H290" s="180"/>
      <c r="I290" s="180"/>
      <c r="J290" s="180"/>
      <c r="K290" s="180"/>
      <c r="L290" s="180"/>
      <c r="M290" s="180"/>
      <c r="N290" s="180"/>
      <c r="O290" s="180"/>
      <c r="P290" s="122"/>
      <c r="Q290" s="122"/>
      <c r="R290" s="122"/>
      <c r="S290" s="122"/>
      <c r="T290" s="122"/>
      <c r="U290" s="122"/>
      <c r="V290" s="122"/>
      <c r="W290" s="122"/>
      <c r="X290" s="122"/>
      <c r="Y290" s="122"/>
      <c r="Z290" s="122"/>
    </row>
    <row r="291" spans="1:26" ht="12.75" x14ac:dyDescent="0.2">
      <c r="A291" s="122"/>
      <c r="B291" s="180"/>
      <c r="C291" s="152" t="s">
        <v>405</v>
      </c>
      <c r="D291" s="180"/>
      <c r="E291" s="180"/>
      <c r="F291" s="125">
        <f>F167/F$120</f>
        <v>145.5</v>
      </c>
      <c r="G291" s="125">
        <f>G167/G$120</f>
        <v>149.13749999999999</v>
      </c>
      <c r="H291" s="125">
        <f>H167/H$120</f>
        <v>152.86593749999997</v>
      </c>
      <c r="I291" s="125">
        <f>I167/I$120</f>
        <v>156.68758593749996</v>
      </c>
      <c r="J291" s="125">
        <f>J167/J$120</f>
        <v>160.60477558593746</v>
      </c>
      <c r="K291" s="125">
        <f>K167/K$120</f>
        <v>164.61989497558588</v>
      </c>
      <c r="L291" s="125">
        <f>L167/L$120</f>
        <v>168.73539234997551</v>
      </c>
      <c r="M291" s="125">
        <f>M167/M$120</f>
        <v>172.9537771587249</v>
      </c>
      <c r="N291" s="125">
        <f>N167/N$120</f>
        <v>177.27762158769295</v>
      </c>
      <c r="O291" s="125">
        <f>O167/O$120</f>
        <v>181.70956212738528</v>
      </c>
      <c r="P291" s="122"/>
      <c r="Q291" s="122"/>
      <c r="R291" s="122"/>
      <c r="S291" s="122"/>
      <c r="T291" s="122"/>
      <c r="U291" s="122"/>
      <c r="V291" s="122"/>
      <c r="W291" s="122"/>
      <c r="X291" s="122"/>
      <c r="Y291" s="122"/>
      <c r="Z291" s="122"/>
    </row>
    <row r="292" spans="1:26" ht="12.75" x14ac:dyDescent="0.2">
      <c r="A292" s="122"/>
      <c r="B292" s="180"/>
      <c r="C292" s="152" t="s">
        <v>231</v>
      </c>
      <c r="D292" s="180"/>
      <c r="E292" s="180"/>
      <c r="F292" s="125">
        <f>F168/F$120</f>
        <v>18.1875</v>
      </c>
      <c r="G292" s="125">
        <f>G168/G$120</f>
        <v>18.642187499999999</v>
      </c>
      <c r="H292" s="125">
        <f>H168/H$120</f>
        <v>19.108242187499997</v>
      </c>
      <c r="I292" s="125">
        <f>I168/I$120</f>
        <v>19.585948242187495</v>
      </c>
      <c r="J292" s="125">
        <f>J168/J$120</f>
        <v>20.075596948242183</v>
      </c>
      <c r="K292" s="125">
        <f>K168/K$120</f>
        <v>20.577486871948235</v>
      </c>
      <c r="L292" s="125">
        <f>L168/L$120</f>
        <v>21.091924043746939</v>
      </c>
      <c r="M292" s="125">
        <f>M168/M$120</f>
        <v>21.619222144840613</v>
      </c>
      <c r="N292" s="125">
        <f>N168/N$120</f>
        <v>22.159702698461619</v>
      </c>
      <c r="O292" s="125">
        <f>O168/O$120</f>
        <v>22.71369526592316</v>
      </c>
      <c r="P292" s="122"/>
      <c r="Q292" s="122"/>
      <c r="R292" s="122"/>
      <c r="S292" s="122"/>
      <c r="T292" s="122"/>
      <c r="U292" s="122"/>
      <c r="V292" s="122"/>
      <c r="W292" s="122"/>
      <c r="X292" s="122"/>
      <c r="Y292" s="122"/>
      <c r="Z292" s="122"/>
    </row>
    <row r="293" spans="1:26" ht="12.75" x14ac:dyDescent="0.2">
      <c r="A293" s="122"/>
      <c r="B293" s="180"/>
      <c r="C293" s="198" t="s">
        <v>410</v>
      </c>
      <c r="D293" s="182"/>
      <c r="E293" s="182"/>
      <c r="F293" s="193">
        <f>F291-F292</f>
        <v>127.3125</v>
      </c>
      <c r="G293" s="193">
        <f t="shared" ref="G293:O293" si="59">G291-G292</f>
        <v>130.49531249999998</v>
      </c>
      <c r="H293" s="193">
        <f t="shared" si="59"/>
        <v>133.75769531249998</v>
      </c>
      <c r="I293" s="193">
        <f t="shared" si="59"/>
        <v>137.10163769531246</v>
      </c>
      <c r="J293" s="193">
        <f t="shared" si="59"/>
        <v>140.52917863769528</v>
      </c>
      <c r="K293" s="193">
        <f t="shared" si="59"/>
        <v>144.04240810363765</v>
      </c>
      <c r="L293" s="193">
        <f t="shared" si="59"/>
        <v>147.64346830622858</v>
      </c>
      <c r="M293" s="193">
        <f t="shared" si="59"/>
        <v>151.33455501388428</v>
      </c>
      <c r="N293" s="193">
        <f t="shared" si="59"/>
        <v>155.11791888923133</v>
      </c>
      <c r="O293" s="193">
        <f t="shared" si="59"/>
        <v>158.99586686146213</v>
      </c>
      <c r="P293" s="122"/>
      <c r="Q293" s="122"/>
      <c r="R293" s="122"/>
      <c r="S293" s="122"/>
      <c r="T293" s="122"/>
      <c r="U293" s="122"/>
      <c r="V293" s="122"/>
      <c r="W293" s="122"/>
      <c r="X293" s="122"/>
      <c r="Y293" s="122"/>
      <c r="Z293" s="122"/>
    </row>
    <row r="294" spans="1:26" ht="12.75" x14ac:dyDescent="0.2">
      <c r="A294" s="122"/>
      <c r="B294" s="180"/>
      <c r="C294" s="152"/>
      <c r="D294" s="180"/>
      <c r="E294" s="180"/>
      <c r="F294" s="194"/>
      <c r="G294" s="194"/>
      <c r="H294" s="194"/>
      <c r="I294" s="194"/>
      <c r="J294" s="194"/>
      <c r="K294" s="194"/>
      <c r="L294" s="194"/>
      <c r="M294" s="194"/>
      <c r="N294" s="194"/>
      <c r="O294" s="194"/>
      <c r="P294" s="122"/>
      <c r="Q294" s="122"/>
      <c r="R294" s="122"/>
      <c r="S294" s="122"/>
      <c r="T294" s="122"/>
      <c r="U294" s="122"/>
      <c r="V294" s="122"/>
      <c r="W294" s="122"/>
      <c r="X294" s="122"/>
      <c r="Y294" s="122"/>
      <c r="Z294" s="122"/>
    </row>
    <row r="295" spans="1:26" ht="12.75" x14ac:dyDescent="0.2">
      <c r="A295" s="122"/>
      <c r="B295" s="180"/>
      <c r="C295" s="188" t="s">
        <v>266</v>
      </c>
      <c r="D295" s="180"/>
      <c r="E295" s="180"/>
      <c r="F295" s="194"/>
      <c r="G295" s="194"/>
      <c r="H295" s="194"/>
      <c r="I295" s="194"/>
      <c r="J295" s="194"/>
      <c r="K295" s="194"/>
      <c r="L295" s="194"/>
      <c r="M295" s="194"/>
      <c r="N295" s="194"/>
      <c r="O295" s="194"/>
      <c r="P295" s="122"/>
      <c r="Q295" s="122"/>
      <c r="R295" s="122"/>
      <c r="S295" s="122"/>
      <c r="T295" s="122"/>
      <c r="U295" s="122"/>
      <c r="V295" s="122"/>
      <c r="W295" s="122"/>
      <c r="X295" s="122"/>
      <c r="Y295" s="122"/>
      <c r="Z295" s="122"/>
    </row>
    <row r="296" spans="1:26" ht="12.75" x14ac:dyDescent="0.2">
      <c r="A296" s="122"/>
      <c r="B296" s="180"/>
      <c r="C296" s="155" t="s">
        <v>267</v>
      </c>
      <c r="D296" s="180"/>
      <c r="E296" s="180"/>
      <c r="F296" s="125">
        <f>$I$95/1000</f>
        <v>0</v>
      </c>
      <c r="G296" s="125">
        <f t="shared" ref="G296:O296" si="60">$I$95/1000</f>
        <v>0</v>
      </c>
      <c r="H296" s="125">
        <f t="shared" si="60"/>
        <v>0</v>
      </c>
      <c r="I296" s="125">
        <f t="shared" si="60"/>
        <v>0</v>
      </c>
      <c r="J296" s="125">
        <f t="shared" si="60"/>
        <v>0</v>
      </c>
      <c r="K296" s="125">
        <f t="shared" si="60"/>
        <v>0</v>
      </c>
      <c r="L296" s="125">
        <f t="shared" si="60"/>
        <v>0</v>
      </c>
      <c r="M296" s="125">
        <f t="shared" si="60"/>
        <v>0</v>
      </c>
      <c r="N296" s="125">
        <f t="shared" si="60"/>
        <v>0</v>
      </c>
      <c r="O296" s="125">
        <f t="shared" si="60"/>
        <v>0</v>
      </c>
      <c r="P296" s="122"/>
      <c r="Q296" s="122"/>
      <c r="R296" s="122"/>
      <c r="S296" s="122"/>
      <c r="T296" s="122"/>
      <c r="U296" s="122"/>
      <c r="V296" s="122"/>
      <c r="W296" s="122"/>
      <c r="X296" s="122"/>
      <c r="Y296" s="122"/>
      <c r="Z296" s="122"/>
    </row>
    <row r="297" spans="1:26" ht="12.75" x14ac:dyDescent="0.2">
      <c r="A297" s="122"/>
      <c r="B297" s="180"/>
      <c r="C297" s="155" t="s">
        <v>138</v>
      </c>
      <c r="D297" s="180"/>
      <c r="E297" s="180"/>
      <c r="F297" s="125">
        <f>$I$91/1000</f>
        <v>0</v>
      </c>
      <c r="G297" s="125">
        <f t="shared" ref="G297:O297" si="61">$I$91/1000</f>
        <v>0</v>
      </c>
      <c r="H297" s="125">
        <f t="shared" si="61"/>
        <v>0</v>
      </c>
      <c r="I297" s="125">
        <f t="shared" si="61"/>
        <v>0</v>
      </c>
      <c r="J297" s="125">
        <f t="shared" si="61"/>
        <v>0</v>
      </c>
      <c r="K297" s="125">
        <f t="shared" si="61"/>
        <v>0</v>
      </c>
      <c r="L297" s="125">
        <f t="shared" si="61"/>
        <v>0</v>
      </c>
      <c r="M297" s="125">
        <f t="shared" si="61"/>
        <v>0</v>
      </c>
      <c r="N297" s="125">
        <f t="shared" si="61"/>
        <v>0</v>
      </c>
      <c r="O297" s="125">
        <f t="shared" si="61"/>
        <v>0</v>
      </c>
      <c r="P297" s="122"/>
      <c r="Q297" s="122"/>
      <c r="R297" s="122"/>
      <c r="S297" s="122"/>
      <c r="T297" s="122"/>
      <c r="U297" s="122"/>
      <c r="V297" s="122"/>
      <c r="W297" s="122"/>
      <c r="X297" s="122"/>
      <c r="Y297" s="122"/>
      <c r="Z297" s="122"/>
    </row>
    <row r="298" spans="1:26" ht="12.75" x14ac:dyDescent="0.2">
      <c r="A298" s="122"/>
      <c r="B298" s="180"/>
      <c r="C298" s="198" t="s">
        <v>247</v>
      </c>
      <c r="D298" s="182"/>
      <c r="E298" s="182"/>
      <c r="F298" s="127">
        <f>SUM(F296:F297)</f>
        <v>0</v>
      </c>
      <c r="G298" s="127">
        <f t="shared" ref="G298:O298" si="62">SUM(G296:G297)</f>
        <v>0</v>
      </c>
      <c r="H298" s="127">
        <f t="shared" si="62"/>
        <v>0</v>
      </c>
      <c r="I298" s="127">
        <f t="shared" si="62"/>
        <v>0</v>
      </c>
      <c r="J298" s="127">
        <f t="shared" si="62"/>
        <v>0</v>
      </c>
      <c r="K298" s="127">
        <f t="shared" si="62"/>
        <v>0</v>
      </c>
      <c r="L298" s="127">
        <f t="shared" si="62"/>
        <v>0</v>
      </c>
      <c r="M298" s="127">
        <f t="shared" si="62"/>
        <v>0</v>
      </c>
      <c r="N298" s="127">
        <f t="shared" si="62"/>
        <v>0</v>
      </c>
      <c r="O298" s="127">
        <f t="shared" si="62"/>
        <v>0</v>
      </c>
      <c r="P298" s="122"/>
      <c r="Q298" s="122"/>
      <c r="R298" s="122"/>
      <c r="S298" s="122"/>
      <c r="T298" s="122"/>
      <c r="U298" s="122"/>
      <c r="V298" s="122"/>
      <c r="W298" s="122"/>
      <c r="X298" s="122"/>
      <c r="Y298" s="122"/>
      <c r="Z298" s="122"/>
    </row>
    <row r="299" spans="1:26" ht="12.75" x14ac:dyDescent="0.2">
      <c r="A299" s="122"/>
      <c r="B299" s="180"/>
      <c r="C299" s="152"/>
      <c r="D299" s="180"/>
      <c r="E299" s="180"/>
      <c r="F299" s="194"/>
      <c r="G299" s="194"/>
      <c r="H299" s="194"/>
      <c r="I299" s="194"/>
      <c r="J299" s="194"/>
      <c r="K299" s="194"/>
      <c r="L299" s="194"/>
      <c r="M299" s="194"/>
      <c r="N299" s="194"/>
      <c r="O299" s="194"/>
      <c r="P299" s="122"/>
      <c r="Q299" s="122"/>
      <c r="R299" s="122"/>
      <c r="S299" s="122"/>
      <c r="T299" s="122"/>
      <c r="U299" s="122"/>
      <c r="V299" s="122"/>
      <c r="W299" s="122"/>
      <c r="X299" s="122"/>
      <c r="Y299" s="122"/>
      <c r="Z299" s="122"/>
    </row>
    <row r="300" spans="1:26" ht="12.75" x14ac:dyDescent="0.2">
      <c r="A300" s="122"/>
      <c r="B300" s="180"/>
      <c r="C300" s="203" t="s">
        <v>230</v>
      </c>
      <c r="D300" s="195"/>
      <c r="E300" s="195"/>
      <c r="F300" s="196">
        <f>F293+F298</f>
        <v>127.3125</v>
      </c>
      <c r="G300" s="196">
        <f t="shared" ref="G300:O300" si="63">G293+G298</f>
        <v>130.49531249999998</v>
      </c>
      <c r="H300" s="196">
        <f>H293+H298</f>
        <v>133.75769531249998</v>
      </c>
      <c r="I300" s="196">
        <f t="shared" si="63"/>
        <v>137.10163769531246</v>
      </c>
      <c r="J300" s="196">
        <f t="shared" si="63"/>
        <v>140.52917863769528</v>
      </c>
      <c r="K300" s="196">
        <f t="shared" si="63"/>
        <v>144.04240810363765</v>
      </c>
      <c r="L300" s="196">
        <f t="shared" si="63"/>
        <v>147.64346830622858</v>
      </c>
      <c r="M300" s="196">
        <f t="shared" si="63"/>
        <v>151.33455501388428</v>
      </c>
      <c r="N300" s="196">
        <f t="shared" si="63"/>
        <v>155.11791888923133</v>
      </c>
      <c r="O300" s="196">
        <f t="shared" si="63"/>
        <v>158.99586686146213</v>
      </c>
      <c r="P300" s="122"/>
      <c r="Q300" s="122"/>
      <c r="R300" s="122"/>
      <c r="S300" s="122"/>
      <c r="T300" s="122"/>
      <c r="U300" s="122"/>
      <c r="V300" s="122"/>
      <c r="W300" s="122"/>
      <c r="X300" s="122"/>
      <c r="Y300" s="122"/>
      <c r="Z300" s="122"/>
    </row>
    <row r="301" spans="1:26" ht="12.75" x14ac:dyDescent="0.2">
      <c r="A301" s="122"/>
      <c r="B301" s="180"/>
      <c r="C301" s="155"/>
      <c r="D301" s="180"/>
      <c r="E301" s="180"/>
      <c r="F301" s="180"/>
      <c r="G301" s="180"/>
      <c r="H301" s="180"/>
      <c r="I301" s="180"/>
      <c r="J301" s="180"/>
      <c r="K301" s="180"/>
      <c r="L301" s="180"/>
      <c r="M301" s="180"/>
      <c r="N301" s="180"/>
      <c r="O301" s="180"/>
      <c r="P301" s="122"/>
      <c r="Q301" s="122"/>
      <c r="R301" s="122"/>
      <c r="S301" s="122"/>
      <c r="T301" s="122"/>
      <c r="U301" s="122"/>
      <c r="V301" s="122"/>
      <c r="W301" s="122"/>
      <c r="X301" s="122"/>
      <c r="Y301" s="122"/>
      <c r="Z301" s="122"/>
    </row>
    <row r="302" spans="1:26" ht="12.75" x14ac:dyDescent="0.2">
      <c r="A302" s="122"/>
      <c r="C302" s="232" t="s">
        <v>235</v>
      </c>
      <c r="D302" s="180"/>
      <c r="E302" s="180"/>
      <c r="F302" s="180"/>
      <c r="G302" s="180"/>
      <c r="H302" s="180"/>
      <c r="I302" s="180"/>
      <c r="J302" s="180"/>
      <c r="K302" s="180"/>
      <c r="L302" s="180"/>
      <c r="M302" s="180"/>
      <c r="N302" s="180"/>
      <c r="O302" s="180"/>
      <c r="P302" s="122"/>
      <c r="Q302" s="122"/>
      <c r="R302" s="122"/>
      <c r="S302" s="122"/>
      <c r="T302" s="122"/>
      <c r="U302" s="122"/>
      <c r="V302" s="122"/>
      <c r="W302" s="122"/>
      <c r="X302" s="122"/>
      <c r="Y302" s="122"/>
      <c r="Z302" s="122"/>
    </row>
    <row r="303" spans="1:26" ht="12.75" x14ac:dyDescent="0.2">
      <c r="A303" s="122"/>
      <c r="B303" s="192"/>
      <c r="C303" s="188" t="s">
        <v>144</v>
      </c>
      <c r="D303" s="180"/>
      <c r="E303" s="180"/>
      <c r="F303" s="180"/>
      <c r="G303" s="180"/>
      <c r="H303" s="180"/>
      <c r="I303" s="180"/>
      <c r="J303" s="180"/>
      <c r="K303" s="180"/>
      <c r="L303" s="180"/>
      <c r="M303" s="180"/>
      <c r="N303" s="180"/>
      <c r="O303" s="180"/>
      <c r="P303" s="122"/>
      <c r="Q303" s="122"/>
      <c r="R303" s="122"/>
      <c r="S303" s="122"/>
      <c r="T303" s="122"/>
      <c r="U303" s="122"/>
      <c r="V303" s="122"/>
      <c r="W303" s="122"/>
      <c r="X303" s="122"/>
      <c r="Y303" s="122"/>
      <c r="Z303" s="122"/>
    </row>
    <row r="304" spans="1:26" ht="12.75" x14ac:dyDescent="0.2">
      <c r="A304" s="122"/>
      <c r="B304" s="192"/>
      <c r="C304" s="155" t="s">
        <v>245</v>
      </c>
      <c r="D304" s="180"/>
      <c r="E304" s="180"/>
      <c r="F304" s="125">
        <f>$I$95*(1+$I$96)/1000</f>
        <v>0</v>
      </c>
      <c r="G304" s="125">
        <f t="shared" ref="G304:O304" si="64">$I$95*(1+$I$96)/1000</f>
        <v>0</v>
      </c>
      <c r="H304" s="125">
        <f t="shared" si="64"/>
        <v>0</v>
      </c>
      <c r="I304" s="125">
        <f t="shared" si="64"/>
        <v>0</v>
      </c>
      <c r="J304" s="125">
        <f t="shared" si="64"/>
        <v>0</v>
      </c>
      <c r="K304" s="125">
        <f t="shared" si="64"/>
        <v>0</v>
      </c>
      <c r="L304" s="125">
        <f t="shared" si="64"/>
        <v>0</v>
      </c>
      <c r="M304" s="125">
        <f t="shared" si="64"/>
        <v>0</v>
      </c>
      <c r="N304" s="125">
        <f t="shared" si="64"/>
        <v>0</v>
      </c>
      <c r="O304" s="125">
        <f t="shared" si="64"/>
        <v>0</v>
      </c>
      <c r="P304" s="122"/>
      <c r="Q304" s="197"/>
      <c r="R304" s="122"/>
      <c r="S304" s="122"/>
      <c r="T304" s="122"/>
      <c r="U304" s="122"/>
      <c r="V304" s="122"/>
      <c r="W304" s="122"/>
      <c r="X304" s="122"/>
      <c r="Y304" s="122"/>
      <c r="Z304" s="122"/>
    </row>
    <row r="305" spans="1:26" ht="12.75" x14ac:dyDescent="0.2">
      <c r="A305" s="122"/>
      <c r="B305" s="192"/>
      <c r="C305" s="198" t="s">
        <v>245</v>
      </c>
      <c r="D305" s="182"/>
      <c r="E305" s="182"/>
      <c r="F305" s="129">
        <f>F304</f>
        <v>0</v>
      </c>
      <c r="G305" s="129">
        <f t="shared" ref="G305:O305" si="65">G304</f>
        <v>0</v>
      </c>
      <c r="H305" s="129">
        <f t="shared" si="65"/>
        <v>0</v>
      </c>
      <c r="I305" s="129">
        <f t="shared" si="65"/>
        <v>0</v>
      </c>
      <c r="J305" s="129">
        <f t="shared" si="65"/>
        <v>0</v>
      </c>
      <c r="K305" s="129">
        <f t="shared" si="65"/>
        <v>0</v>
      </c>
      <c r="L305" s="129">
        <f t="shared" si="65"/>
        <v>0</v>
      </c>
      <c r="M305" s="129">
        <f t="shared" si="65"/>
        <v>0</v>
      </c>
      <c r="N305" s="129">
        <f t="shared" si="65"/>
        <v>0</v>
      </c>
      <c r="O305" s="129">
        <f t="shared" si="65"/>
        <v>0</v>
      </c>
      <c r="P305" s="122"/>
      <c r="Q305" s="197"/>
      <c r="R305" s="122"/>
      <c r="S305" s="122"/>
      <c r="T305" s="122"/>
      <c r="U305" s="122"/>
      <c r="V305" s="122"/>
      <c r="W305" s="122"/>
      <c r="X305" s="122"/>
      <c r="Y305" s="122"/>
      <c r="Z305" s="122"/>
    </row>
    <row r="306" spans="1:26" ht="12.75" x14ac:dyDescent="0.2">
      <c r="A306" s="122"/>
      <c r="B306" s="192"/>
      <c r="C306" s="232"/>
      <c r="D306" s="180"/>
      <c r="E306" s="180"/>
      <c r="F306" s="180"/>
      <c r="G306" s="180"/>
      <c r="H306" s="180"/>
      <c r="I306" s="180"/>
      <c r="J306" s="180"/>
      <c r="K306" s="180"/>
      <c r="L306" s="180"/>
      <c r="M306" s="180"/>
      <c r="N306" s="180"/>
      <c r="O306" s="180"/>
      <c r="P306" s="122"/>
      <c r="Q306" s="122"/>
      <c r="R306" s="122"/>
      <c r="S306" s="122"/>
      <c r="T306" s="122"/>
      <c r="U306" s="122"/>
      <c r="V306" s="122"/>
      <c r="W306" s="122"/>
      <c r="X306" s="122"/>
      <c r="Y306" s="122"/>
      <c r="Z306" s="122"/>
    </row>
    <row r="307" spans="1:26" ht="12.75" x14ac:dyDescent="0.2">
      <c r="A307" s="122"/>
      <c r="B307" s="180"/>
      <c r="C307" s="188" t="s">
        <v>218</v>
      </c>
      <c r="D307" s="180"/>
      <c r="E307" s="180"/>
      <c r="F307" s="180"/>
      <c r="G307" s="180"/>
      <c r="H307" s="180"/>
      <c r="I307" s="180"/>
      <c r="J307" s="180"/>
      <c r="K307" s="180"/>
      <c r="L307" s="180"/>
      <c r="M307" s="180"/>
      <c r="N307" s="180"/>
      <c r="O307" s="180"/>
      <c r="P307" s="122"/>
      <c r="Q307" s="122"/>
      <c r="R307" s="122"/>
      <c r="S307" s="122"/>
      <c r="T307" s="122"/>
      <c r="U307" s="122"/>
      <c r="V307" s="122"/>
      <c r="W307" s="122"/>
      <c r="X307" s="122"/>
      <c r="Y307" s="122"/>
      <c r="Z307" s="122"/>
    </row>
    <row r="308" spans="1:26" ht="12.75" x14ac:dyDescent="0.2">
      <c r="A308" s="122"/>
      <c r="B308" s="180"/>
      <c r="C308" s="228" t="s">
        <v>272</v>
      </c>
      <c r="D308" s="180"/>
      <c r="E308" s="180"/>
      <c r="F308" s="125">
        <f>F206/F$120</f>
        <v>8.4221219999999981</v>
      </c>
      <c r="G308" s="125">
        <f>G206/G$120</f>
        <v>8.4221219999999963</v>
      </c>
      <c r="H308" s="125">
        <f>H206/H$120</f>
        <v>8.4221219999999981</v>
      </c>
      <c r="I308" s="125">
        <f>I206/I$120</f>
        <v>8.4221219999999981</v>
      </c>
      <c r="J308" s="125">
        <f>J206/J$120</f>
        <v>8.4221219999999981</v>
      </c>
      <c r="K308" s="125">
        <f>K206/K$120</f>
        <v>8.4221219999999981</v>
      </c>
      <c r="L308" s="125">
        <f>L206/L$120</f>
        <v>8.4221219999999981</v>
      </c>
      <c r="M308" s="125">
        <f>M206/M$120</f>
        <v>8.4221219999999981</v>
      </c>
      <c r="N308" s="125">
        <f>N206/N$120</f>
        <v>8.4221219999999981</v>
      </c>
      <c r="O308" s="125">
        <f>O206/O$120</f>
        <v>8.4221219999999981</v>
      </c>
      <c r="P308" s="122"/>
      <c r="Q308" s="122"/>
      <c r="R308" s="122"/>
      <c r="S308" s="122"/>
      <c r="T308" s="122"/>
      <c r="U308" s="122"/>
      <c r="V308" s="122"/>
      <c r="W308" s="122"/>
      <c r="X308" s="122"/>
      <c r="Y308" s="122"/>
      <c r="Z308" s="122"/>
    </row>
    <row r="309" spans="1:26" ht="12.75" x14ac:dyDescent="0.2">
      <c r="A309" s="122"/>
      <c r="B309" s="180"/>
      <c r="C309" s="228" t="s">
        <v>273</v>
      </c>
      <c r="D309" s="180"/>
      <c r="E309" s="180"/>
      <c r="F309" s="125">
        <f>F207/F$120</f>
        <v>4.8988394999999993</v>
      </c>
      <c r="G309" s="125">
        <f>G207/G$120</f>
        <v>4.8988394999999993</v>
      </c>
      <c r="H309" s="125">
        <f>H207/H$120</f>
        <v>4.8988394999999993</v>
      </c>
      <c r="I309" s="125">
        <f>I207/I$120</f>
        <v>4.8988394999999985</v>
      </c>
      <c r="J309" s="125">
        <f>J207/J$120</f>
        <v>4.8988394999999993</v>
      </c>
      <c r="K309" s="125">
        <f>K207/K$120</f>
        <v>4.8988394999999993</v>
      </c>
      <c r="L309" s="125">
        <f>L207/L$120</f>
        <v>4.8988394999999993</v>
      </c>
      <c r="M309" s="125">
        <f>M207/M$120</f>
        <v>4.8988394999999985</v>
      </c>
      <c r="N309" s="125">
        <f>N207/N$120</f>
        <v>4.8988394999999993</v>
      </c>
      <c r="O309" s="125">
        <f>O207/O$120</f>
        <v>4.8988394999999993</v>
      </c>
      <c r="P309" s="122"/>
      <c r="Q309" s="122"/>
      <c r="R309" s="122"/>
      <c r="S309" s="122"/>
      <c r="T309" s="122"/>
      <c r="U309" s="122"/>
      <c r="V309" s="122"/>
      <c r="W309" s="122"/>
      <c r="X309" s="122"/>
      <c r="Y309" s="122"/>
      <c r="Z309" s="122"/>
    </row>
    <row r="310" spans="1:26" ht="12.75" x14ac:dyDescent="0.2">
      <c r="A310" s="122"/>
      <c r="B310" s="180"/>
      <c r="C310" s="228" t="s">
        <v>274</v>
      </c>
      <c r="D310" s="180"/>
      <c r="E310" s="180"/>
      <c r="F310" s="125">
        <f>F208/F$120</f>
        <v>4.2579120000000001</v>
      </c>
      <c r="G310" s="125">
        <f>G208/G$120</f>
        <v>4.2579120000000001</v>
      </c>
      <c r="H310" s="125">
        <f>H208/H$120</f>
        <v>4.2579120000000001</v>
      </c>
      <c r="I310" s="125">
        <f>I208/I$120</f>
        <v>4.2579120000000001</v>
      </c>
      <c r="J310" s="125">
        <f>J208/J$120</f>
        <v>4.257912000000001</v>
      </c>
      <c r="K310" s="125">
        <f>K208/K$120</f>
        <v>4.2579120000000001</v>
      </c>
      <c r="L310" s="125">
        <f>L208/L$120</f>
        <v>4.2579120000000001</v>
      </c>
      <c r="M310" s="125">
        <f>M208/M$120</f>
        <v>4.2579120000000001</v>
      </c>
      <c r="N310" s="125">
        <f>N208/N$120</f>
        <v>4.2579120000000001</v>
      </c>
      <c r="O310" s="125">
        <f>O208/O$120</f>
        <v>4.2579120000000001</v>
      </c>
      <c r="P310" s="122"/>
      <c r="Q310" s="122"/>
      <c r="R310" s="122"/>
      <c r="S310" s="122"/>
      <c r="T310" s="122"/>
      <c r="U310" s="122"/>
      <c r="V310" s="122"/>
      <c r="W310" s="122"/>
      <c r="X310" s="122"/>
      <c r="Y310" s="122"/>
      <c r="Z310" s="122"/>
    </row>
    <row r="311" spans="1:26" ht="12.75" x14ac:dyDescent="0.2">
      <c r="A311" s="122"/>
      <c r="B311" s="180"/>
      <c r="C311" s="228" t="s">
        <v>275</v>
      </c>
      <c r="D311" s="180"/>
      <c r="E311" s="180"/>
      <c r="F311" s="125">
        <f>F209/F$120</f>
        <v>2.5910456692913386</v>
      </c>
      <c r="G311" s="125">
        <f>G209/G$120</f>
        <v>2.5910456692913386</v>
      </c>
      <c r="H311" s="125">
        <f>H209/H$120</f>
        <v>2.5910456692913386</v>
      </c>
      <c r="I311" s="125">
        <f>I209/I$120</f>
        <v>2.5910456692913386</v>
      </c>
      <c r="J311" s="125">
        <f>J209/J$120</f>
        <v>2.5910456692913386</v>
      </c>
      <c r="K311" s="125">
        <f>K209/K$120</f>
        <v>2.5910456692913382</v>
      </c>
      <c r="L311" s="125">
        <f>L209/L$120</f>
        <v>2.5910456692913386</v>
      </c>
      <c r="M311" s="125">
        <f>M209/M$120</f>
        <v>2.5910456692913386</v>
      </c>
      <c r="N311" s="125">
        <f>N209/N$120</f>
        <v>2.5910456692913386</v>
      </c>
      <c r="O311" s="125">
        <f>O209/O$120</f>
        <v>2.5910456692913386</v>
      </c>
      <c r="P311" s="122"/>
      <c r="Q311" s="122"/>
      <c r="R311" s="122"/>
      <c r="S311" s="122"/>
      <c r="T311" s="122"/>
      <c r="U311" s="122"/>
      <c r="V311" s="122"/>
      <c r="W311" s="122"/>
      <c r="X311" s="122"/>
      <c r="Y311" s="122"/>
      <c r="Z311" s="122"/>
    </row>
    <row r="312" spans="1:26" ht="12.75" x14ac:dyDescent="0.2">
      <c r="A312" s="122"/>
      <c r="B312" s="180"/>
      <c r="C312" s="152" t="s">
        <v>293</v>
      </c>
      <c r="D312" s="180"/>
      <c r="E312" s="180"/>
      <c r="F312" s="125">
        <f>F210/F$120</f>
        <v>2.4016229999999994</v>
      </c>
      <c r="G312" s="125">
        <f>G210/G$120</f>
        <v>2.4016229999999994</v>
      </c>
      <c r="H312" s="125">
        <f>H210/H$120</f>
        <v>2.4016229999999998</v>
      </c>
      <c r="I312" s="125">
        <f>I210/I$120</f>
        <v>2.4016229999999998</v>
      </c>
      <c r="J312" s="125">
        <f>J210/J$120</f>
        <v>2.4016229999999994</v>
      </c>
      <c r="K312" s="125">
        <f>K210/K$120</f>
        <v>2.4016229999999998</v>
      </c>
      <c r="L312" s="125">
        <f>L210/L$120</f>
        <v>2.4016229999999994</v>
      </c>
      <c r="M312" s="125">
        <f>M210/M$120</f>
        <v>2.4016229999999994</v>
      </c>
      <c r="N312" s="125">
        <f>N210/N$120</f>
        <v>2.4016229999999998</v>
      </c>
      <c r="O312" s="125">
        <f>O210/O$120</f>
        <v>2.4016229999999994</v>
      </c>
      <c r="P312" s="122"/>
      <c r="Q312" s="122"/>
      <c r="R312" s="122"/>
      <c r="S312" s="122"/>
      <c r="T312" s="122"/>
      <c r="U312" s="122"/>
      <c r="V312" s="122"/>
      <c r="W312" s="122"/>
      <c r="X312" s="122"/>
      <c r="Y312" s="122"/>
      <c r="Z312" s="122"/>
    </row>
    <row r="313" spans="1:26" ht="12.75" x14ac:dyDescent="0.2">
      <c r="A313" s="122"/>
      <c r="B313" s="180"/>
      <c r="C313" s="228" t="s">
        <v>278</v>
      </c>
      <c r="D313" s="180"/>
      <c r="E313" s="180"/>
      <c r="F313" s="125">
        <f>F211/F$120</f>
        <v>12.949499999999999</v>
      </c>
      <c r="G313" s="125">
        <f>G211/G$120</f>
        <v>12.949499999999997</v>
      </c>
      <c r="H313" s="125">
        <f>H211/H$120</f>
        <v>12.949499999999999</v>
      </c>
      <c r="I313" s="125">
        <f>I211/I$120</f>
        <v>12.949499999999997</v>
      </c>
      <c r="J313" s="125">
        <f>J211/J$120</f>
        <v>12.949499999999999</v>
      </c>
      <c r="K313" s="125">
        <f>K211/K$120</f>
        <v>12.949499999999999</v>
      </c>
      <c r="L313" s="125">
        <f>L211/L$120</f>
        <v>12.949499999999997</v>
      </c>
      <c r="M313" s="125">
        <f>M211/M$120</f>
        <v>12.949499999999999</v>
      </c>
      <c r="N313" s="125">
        <f>N211/N$120</f>
        <v>12.949499999999997</v>
      </c>
      <c r="O313" s="125">
        <f>O211/O$120</f>
        <v>12.949499999999999</v>
      </c>
      <c r="P313" s="122"/>
      <c r="Q313" s="122"/>
      <c r="R313" s="122"/>
      <c r="S313" s="122"/>
      <c r="T313" s="122"/>
      <c r="U313" s="122"/>
      <c r="V313" s="122"/>
      <c r="W313" s="122"/>
      <c r="X313" s="122"/>
      <c r="Y313" s="122"/>
      <c r="Z313" s="122"/>
    </row>
    <row r="314" spans="1:26" ht="12.75" x14ac:dyDescent="0.2">
      <c r="A314" s="122"/>
      <c r="B314" s="180"/>
      <c r="C314" s="152" t="s">
        <v>85</v>
      </c>
      <c r="D314" s="180"/>
      <c r="E314" s="180"/>
      <c r="F314" s="125">
        <f>F212/F$120</f>
        <v>5</v>
      </c>
      <c r="G314" s="125">
        <f>G212/G$120</f>
        <v>5</v>
      </c>
      <c r="H314" s="125">
        <f>H212/H$120</f>
        <v>5</v>
      </c>
      <c r="I314" s="125">
        <f>I212/I$120</f>
        <v>5</v>
      </c>
      <c r="J314" s="125">
        <f>J212/J$120</f>
        <v>0</v>
      </c>
      <c r="K314" s="125">
        <f>K212/K$120</f>
        <v>0</v>
      </c>
      <c r="L314" s="125">
        <f>L212/L$120</f>
        <v>0</v>
      </c>
      <c r="M314" s="125">
        <f>M212/M$120</f>
        <v>0</v>
      </c>
      <c r="N314" s="125">
        <f>N212/N$120</f>
        <v>0</v>
      </c>
      <c r="O314" s="125">
        <f>O212/O$120</f>
        <v>0</v>
      </c>
      <c r="P314" s="122"/>
      <c r="Q314" s="122"/>
      <c r="R314" s="122"/>
      <c r="S314" s="122"/>
      <c r="T314" s="122"/>
      <c r="U314" s="122"/>
      <c r="V314" s="122"/>
      <c r="W314" s="122"/>
      <c r="X314" s="122"/>
      <c r="Y314" s="122"/>
      <c r="Z314" s="122"/>
    </row>
    <row r="315" spans="1:26" ht="12.75" x14ac:dyDescent="0.2">
      <c r="A315" s="122"/>
      <c r="B315" s="180"/>
      <c r="C315" s="198" t="s">
        <v>207</v>
      </c>
      <c r="D315" s="182"/>
      <c r="E315" s="182"/>
      <c r="F315" s="193">
        <f>SUM(F308:F314)</f>
        <v>40.521042169291334</v>
      </c>
      <c r="G315" s="193">
        <f t="shared" ref="G315:O315" si="66">SUM(G308:G314)</f>
        <v>40.521042169291334</v>
      </c>
      <c r="H315" s="193">
        <f t="shared" si="66"/>
        <v>40.521042169291334</v>
      </c>
      <c r="I315" s="193">
        <f t="shared" si="66"/>
        <v>40.521042169291334</v>
      </c>
      <c r="J315" s="193">
        <f t="shared" si="66"/>
        <v>35.521042169291341</v>
      </c>
      <c r="K315" s="193">
        <f t="shared" si="66"/>
        <v>35.521042169291334</v>
      </c>
      <c r="L315" s="193">
        <f t="shared" si="66"/>
        <v>35.521042169291334</v>
      </c>
      <c r="M315" s="193">
        <f t="shared" si="66"/>
        <v>35.521042169291334</v>
      </c>
      <c r="N315" s="193">
        <f t="shared" si="66"/>
        <v>35.521042169291334</v>
      </c>
      <c r="O315" s="193">
        <f t="shared" si="66"/>
        <v>35.521042169291334</v>
      </c>
      <c r="P315" s="122"/>
      <c r="Q315" s="122"/>
      <c r="R315" s="122"/>
      <c r="S315" s="122"/>
      <c r="T315" s="122"/>
      <c r="U315" s="122"/>
      <c r="V315" s="122"/>
      <c r="W315" s="122"/>
      <c r="X315" s="122"/>
      <c r="Y315" s="122"/>
      <c r="Z315" s="122"/>
    </row>
    <row r="316" spans="1:26" ht="12.75" x14ac:dyDescent="0.2">
      <c r="A316" s="122"/>
      <c r="B316" s="180"/>
      <c r="C316" s="155"/>
      <c r="D316" s="180"/>
      <c r="E316" s="180"/>
      <c r="F316" s="180"/>
      <c r="G316" s="180"/>
      <c r="H316" s="180"/>
      <c r="I316" s="180"/>
      <c r="J316" s="180"/>
      <c r="K316" s="180"/>
      <c r="L316" s="180"/>
      <c r="M316" s="180"/>
      <c r="N316" s="180"/>
      <c r="O316" s="180"/>
      <c r="P316" s="122"/>
      <c r="Q316" s="122"/>
      <c r="R316" s="122"/>
      <c r="S316" s="122"/>
      <c r="T316" s="122"/>
      <c r="U316" s="122"/>
      <c r="V316" s="122"/>
      <c r="W316" s="122"/>
      <c r="X316" s="122"/>
      <c r="Y316" s="122"/>
      <c r="Z316" s="122"/>
    </row>
    <row r="317" spans="1:26" ht="12.75" x14ac:dyDescent="0.2">
      <c r="A317" s="122"/>
      <c r="B317" s="180"/>
      <c r="C317" s="188" t="s">
        <v>215</v>
      </c>
      <c r="D317" s="180"/>
      <c r="E317" s="180"/>
      <c r="F317" s="183"/>
      <c r="G317" s="183"/>
      <c r="H317" s="183"/>
      <c r="I317" s="183"/>
      <c r="J317" s="183"/>
      <c r="K317" s="183"/>
      <c r="L317" s="183"/>
      <c r="M317" s="183"/>
      <c r="N317" s="183"/>
      <c r="O317" s="183"/>
      <c r="P317" s="122"/>
      <c r="Q317" s="122"/>
      <c r="R317" s="122"/>
      <c r="S317" s="122"/>
      <c r="T317" s="122"/>
      <c r="U317" s="122"/>
      <c r="V317" s="122"/>
      <c r="W317" s="122"/>
      <c r="X317" s="122"/>
      <c r="Y317" s="122"/>
      <c r="Z317" s="122"/>
    </row>
    <row r="318" spans="1:26" ht="12.75" x14ac:dyDescent="0.2">
      <c r="A318" s="122"/>
      <c r="B318" s="180"/>
      <c r="C318" s="155" t="s">
        <v>110</v>
      </c>
      <c r="D318" s="180"/>
      <c r="E318" s="180"/>
      <c r="F318" s="125">
        <f>F216/F$120</f>
        <v>4.6074999999999999</v>
      </c>
      <c r="G318" s="125">
        <f>G216/G$120</f>
        <v>4.607499999999999</v>
      </c>
      <c r="H318" s="125">
        <f>H216/H$120</f>
        <v>4.6074999999999999</v>
      </c>
      <c r="I318" s="125">
        <f>I216/I$120</f>
        <v>4.6074999999999999</v>
      </c>
      <c r="J318" s="125">
        <f>J216/J$120</f>
        <v>4.6074999999999999</v>
      </c>
      <c r="K318" s="125">
        <f>K216/K$120</f>
        <v>4.6074999999999999</v>
      </c>
      <c r="L318" s="125">
        <f>L216/L$120</f>
        <v>4.6074999999999999</v>
      </c>
      <c r="M318" s="125">
        <f>M216/M$120</f>
        <v>4.6074999999999999</v>
      </c>
      <c r="N318" s="125">
        <f>N216/N$120</f>
        <v>4.6074999999999999</v>
      </c>
      <c r="O318" s="125">
        <f>O216/O$120</f>
        <v>4.6074999999999999</v>
      </c>
      <c r="P318" s="122"/>
      <c r="Q318" s="122"/>
      <c r="R318" s="122"/>
      <c r="S318" s="122"/>
      <c r="T318" s="122"/>
      <c r="U318" s="122"/>
      <c r="V318" s="122"/>
      <c r="W318" s="122"/>
      <c r="X318" s="122"/>
      <c r="Y318" s="122"/>
      <c r="Z318" s="122"/>
    </row>
    <row r="319" spans="1:26" ht="12.75" x14ac:dyDescent="0.2">
      <c r="A319" s="122"/>
      <c r="B319" s="180"/>
      <c r="C319" s="184" t="s">
        <v>283</v>
      </c>
      <c r="D319" s="185"/>
      <c r="E319" s="185"/>
      <c r="F319" s="236">
        <f>F217/F$120</f>
        <v>2.1601050000000002</v>
      </c>
      <c r="G319" s="236">
        <f>G217/G$120</f>
        <v>2.1601050000000002</v>
      </c>
      <c r="H319" s="236">
        <f>H217/H$120</f>
        <v>2.1601050000000002</v>
      </c>
      <c r="I319" s="236">
        <f>I217/I$120</f>
        <v>2.1601050000000002</v>
      </c>
      <c r="J319" s="236">
        <f>J217/J$120</f>
        <v>2.1601050000000002</v>
      </c>
      <c r="K319" s="236">
        <f>K217/K$120</f>
        <v>2.1601050000000002</v>
      </c>
      <c r="L319" s="236">
        <f>L217/L$120</f>
        <v>2.1601050000000002</v>
      </c>
      <c r="M319" s="236">
        <f>M217/M$120</f>
        <v>2.1601050000000002</v>
      </c>
      <c r="N319" s="236">
        <f>N217/N$120</f>
        <v>2.1601050000000002</v>
      </c>
      <c r="O319" s="236">
        <f>O217/O$120</f>
        <v>2.1601050000000002</v>
      </c>
      <c r="P319" s="122"/>
      <c r="Q319" s="122"/>
      <c r="R319" s="122"/>
      <c r="S319" s="122"/>
      <c r="T319" s="122"/>
      <c r="U319" s="122"/>
      <c r="V319" s="122"/>
      <c r="W319" s="122"/>
      <c r="X319" s="122"/>
      <c r="Y319" s="122"/>
      <c r="Z319" s="122"/>
    </row>
    <row r="320" spans="1:26" ht="12.75" x14ac:dyDescent="0.2">
      <c r="A320" s="122"/>
      <c r="B320" s="180"/>
      <c r="C320" s="199" t="s">
        <v>216</v>
      </c>
      <c r="D320" s="182"/>
      <c r="E320" s="182"/>
      <c r="F320" s="127">
        <f>SUM(F318:F319)</f>
        <v>6.7676049999999996</v>
      </c>
      <c r="G320" s="127">
        <f t="shared" ref="G320:O320" si="67">SUM(G318:G319)</f>
        <v>6.7676049999999996</v>
      </c>
      <c r="H320" s="127">
        <f t="shared" si="67"/>
        <v>6.7676049999999996</v>
      </c>
      <c r="I320" s="127">
        <f t="shared" si="67"/>
        <v>6.7676049999999996</v>
      </c>
      <c r="J320" s="127">
        <f t="shared" si="67"/>
        <v>6.7676049999999996</v>
      </c>
      <c r="K320" s="127">
        <f t="shared" si="67"/>
        <v>6.7676049999999996</v>
      </c>
      <c r="L320" s="127">
        <f t="shared" si="67"/>
        <v>6.7676049999999996</v>
      </c>
      <c r="M320" s="127">
        <f t="shared" si="67"/>
        <v>6.7676049999999996</v>
      </c>
      <c r="N320" s="127">
        <f t="shared" si="67"/>
        <v>6.7676049999999996</v>
      </c>
      <c r="O320" s="127">
        <f t="shared" si="67"/>
        <v>6.7676049999999996</v>
      </c>
      <c r="P320" s="122"/>
      <c r="Q320" s="122"/>
      <c r="R320" s="122"/>
      <c r="S320" s="122"/>
      <c r="T320" s="122"/>
      <c r="U320" s="122"/>
      <c r="V320" s="122"/>
      <c r="W320" s="122"/>
      <c r="X320" s="122"/>
      <c r="Y320" s="122"/>
      <c r="Z320" s="122"/>
    </row>
    <row r="321" spans="1:26" ht="12.75" x14ac:dyDescent="0.2">
      <c r="A321" s="122"/>
      <c r="B321" s="180"/>
      <c r="C321" s="155"/>
      <c r="D321" s="180"/>
      <c r="E321" s="180"/>
      <c r="F321" s="183"/>
      <c r="G321" s="183"/>
      <c r="H321" s="183"/>
      <c r="I321" s="183"/>
      <c r="J321" s="183"/>
      <c r="K321" s="183"/>
      <c r="L321" s="183"/>
      <c r="M321" s="183"/>
      <c r="N321" s="183"/>
      <c r="O321" s="183"/>
      <c r="P321" s="122"/>
      <c r="Q321" s="122"/>
      <c r="R321" s="122"/>
      <c r="S321" s="122"/>
      <c r="T321" s="122"/>
      <c r="U321" s="122"/>
      <c r="V321" s="122"/>
      <c r="W321" s="122"/>
      <c r="X321" s="122"/>
      <c r="Y321" s="122"/>
      <c r="Z321" s="122"/>
    </row>
    <row r="322" spans="1:26" ht="12.75" x14ac:dyDescent="0.2">
      <c r="A322" s="122"/>
      <c r="B322" s="180"/>
      <c r="C322" s="188" t="s">
        <v>219</v>
      </c>
      <c r="D322" s="180"/>
      <c r="E322" s="180"/>
      <c r="F322" s="183"/>
      <c r="G322" s="183"/>
      <c r="H322" s="183"/>
      <c r="I322" s="183"/>
      <c r="J322" s="183"/>
      <c r="K322" s="183"/>
      <c r="L322" s="183"/>
      <c r="M322" s="183"/>
      <c r="N322" s="183"/>
      <c r="O322" s="183"/>
      <c r="P322" s="122"/>
      <c r="Q322" s="122"/>
      <c r="R322" s="122"/>
      <c r="S322" s="122"/>
      <c r="T322" s="122"/>
      <c r="U322" s="122"/>
      <c r="V322" s="122"/>
      <c r="W322" s="122"/>
      <c r="X322" s="122"/>
      <c r="Y322" s="122"/>
      <c r="Z322" s="122"/>
    </row>
    <row r="323" spans="1:26" ht="12.75" x14ac:dyDescent="0.2">
      <c r="A323" s="122"/>
      <c r="B323" s="180"/>
      <c r="C323" s="152" t="s">
        <v>92</v>
      </c>
      <c r="D323" s="180"/>
      <c r="E323" s="180"/>
      <c r="F323" s="125">
        <f>F221/F$120</f>
        <v>0.36374999999999996</v>
      </c>
      <c r="G323" s="125">
        <f>G221/G$120</f>
        <v>0.36374999999999996</v>
      </c>
      <c r="H323" s="125">
        <f>H221/H$120</f>
        <v>0.36374999999999996</v>
      </c>
      <c r="I323" s="125">
        <f>I221/I$120</f>
        <v>0.36374999999999996</v>
      </c>
      <c r="J323" s="125">
        <f>J221/J$120</f>
        <v>0.36374999999999996</v>
      </c>
      <c r="K323" s="125">
        <f>K221/K$120</f>
        <v>0.36374999999999996</v>
      </c>
      <c r="L323" s="125">
        <f>L221/L$120</f>
        <v>0.36374999999999996</v>
      </c>
      <c r="M323" s="125">
        <f>M221/M$120</f>
        <v>0.36374999999999996</v>
      </c>
      <c r="N323" s="125">
        <f>N221/N$120</f>
        <v>0.36374999999999996</v>
      </c>
      <c r="O323" s="125">
        <f>O221/O$120</f>
        <v>0.36374999999999996</v>
      </c>
      <c r="P323" s="122"/>
      <c r="Q323" s="122"/>
      <c r="R323" s="122"/>
      <c r="S323" s="122"/>
      <c r="T323" s="122"/>
      <c r="U323" s="122"/>
      <c r="V323" s="122"/>
      <c r="W323" s="122"/>
      <c r="X323" s="122"/>
      <c r="Y323" s="122"/>
      <c r="Z323" s="122"/>
    </row>
    <row r="324" spans="1:26" ht="12.75" x14ac:dyDescent="0.2">
      <c r="A324" s="122"/>
      <c r="B324" s="180"/>
      <c r="C324" s="152" t="s">
        <v>96</v>
      </c>
      <c r="D324" s="180"/>
      <c r="E324" s="180"/>
      <c r="F324" s="125">
        <f>F222/F$120</f>
        <v>5.3107499999999996</v>
      </c>
      <c r="G324" s="125">
        <f>G222/G$120</f>
        <v>5.3107499999999996</v>
      </c>
      <c r="H324" s="125">
        <f>H222/H$120</f>
        <v>5.3107499999999996</v>
      </c>
      <c r="I324" s="125">
        <f>I222/I$120</f>
        <v>5.3107499999999996</v>
      </c>
      <c r="J324" s="125">
        <f>J222/J$120</f>
        <v>5.3107499999999996</v>
      </c>
      <c r="K324" s="125">
        <f>K222/K$120</f>
        <v>5.3107499999999996</v>
      </c>
      <c r="L324" s="125">
        <f>L222/L$120</f>
        <v>5.3107499999999996</v>
      </c>
      <c r="M324" s="125">
        <f>M222/M$120</f>
        <v>5.3107499999999996</v>
      </c>
      <c r="N324" s="125">
        <f>N222/N$120</f>
        <v>5.3107499999999996</v>
      </c>
      <c r="O324" s="125">
        <f>O222/O$120</f>
        <v>5.3107499999999996</v>
      </c>
      <c r="P324" s="122"/>
      <c r="Q324" s="122"/>
      <c r="R324" s="122"/>
      <c r="S324" s="122"/>
      <c r="T324" s="122"/>
      <c r="U324" s="122"/>
      <c r="V324" s="122"/>
      <c r="W324" s="122"/>
      <c r="X324" s="122"/>
      <c r="Y324" s="122"/>
      <c r="Z324" s="122"/>
    </row>
    <row r="325" spans="1:26" ht="12.75" x14ac:dyDescent="0.2">
      <c r="A325" s="122"/>
      <c r="B325" s="180"/>
      <c r="C325" s="152" t="s">
        <v>99</v>
      </c>
      <c r="D325" s="180"/>
      <c r="E325" s="180"/>
      <c r="F325" s="125">
        <f>F223/F$120</f>
        <v>18.459907040000001</v>
      </c>
      <c r="G325" s="125">
        <f>G223/G$120</f>
        <v>18.459907039999997</v>
      </c>
      <c r="H325" s="125">
        <f>H223/H$120</f>
        <v>18.459907039999997</v>
      </c>
      <c r="I325" s="125">
        <f>I223/I$120</f>
        <v>18.459907040000001</v>
      </c>
      <c r="J325" s="125">
        <f>J223/J$120</f>
        <v>18.459907039999997</v>
      </c>
      <c r="K325" s="125">
        <f>K223/K$120</f>
        <v>18.459907040000001</v>
      </c>
      <c r="L325" s="125">
        <f>L223/L$120</f>
        <v>18.459907039999997</v>
      </c>
      <c r="M325" s="125">
        <f>M223/M$120</f>
        <v>18.459907040000001</v>
      </c>
      <c r="N325" s="125">
        <f>N223/N$120</f>
        <v>18.459907040000004</v>
      </c>
      <c r="O325" s="125">
        <f>O223/O$120</f>
        <v>18.459907040000001</v>
      </c>
      <c r="P325" s="122"/>
      <c r="Q325" s="122"/>
      <c r="R325" s="122"/>
      <c r="S325" s="122"/>
      <c r="T325" s="122"/>
      <c r="U325" s="122"/>
      <c r="V325" s="122"/>
      <c r="W325" s="122"/>
      <c r="X325" s="122"/>
      <c r="Y325" s="122"/>
      <c r="Z325" s="122"/>
    </row>
    <row r="326" spans="1:26" ht="12.75" x14ac:dyDescent="0.2">
      <c r="A326" s="122"/>
      <c r="B326" s="180"/>
      <c r="C326" s="152" t="s">
        <v>102</v>
      </c>
      <c r="D326" s="180"/>
      <c r="E326" s="180"/>
      <c r="F326" s="125">
        <f>F224/F$120</f>
        <v>9.306360419999999</v>
      </c>
      <c r="G326" s="125">
        <f>G224/G$120</f>
        <v>9.306360419999999</v>
      </c>
      <c r="H326" s="125">
        <f>H224/H$120</f>
        <v>9.306360419999999</v>
      </c>
      <c r="I326" s="125">
        <f>I224/I$120</f>
        <v>9.3063604200000007</v>
      </c>
      <c r="J326" s="125">
        <f>J224/J$120</f>
        <v>9.306360419999999</v>
      </c>
      <c r="K326" s="125">
        <f>K224/K$120</f>
        <v>9.306360419999999</v>
      </c>
      <c r="L326" s="125">
        <f>L224/L$120</f>
        <v>9.306360419999999</v>
      </c>
      <c r="M326" s="125">
        <f>M224/M$120</f>
        <v>9.306360419999999</v>
      </c>
      <c r="N326" s="125">
        <f>N224/N$120</f>
        <v>9.3063604200000007</v>
      </c>
      <c r="O326" s="125">
        <f>O224/O$120</f>
        <v>9.3063604199999972</v>
      </c>
      <c r="P326" s="122"/>
      <c r="Q326" s="122"/>
      <c r="R326" s="122"/>
      <c r="S326" s="122"/>
      <c r="T326" s="122"/>
      <c r="U326" s="122"/>
      <c r="V326" s="122"/>
      <c r="W326" s="122"/>
      <c r="X326" s="122"/>
      <c r="Y326" s="122"/>
      <c r="Z326" s="122"/>
    </row>
    <row r="327" spans="1:26" ht="12.75" x14ac:dyDescent="0.2">
      <c r="A327" s="122"/>
      <c r="B327" s="180"/>
      <c r="C327" s="152" t="s">
        <v>105</v>
      </c>
      <c r="D327" s="180"/>
      <c r="E327" s="180"/>
      <c r="F327" s="125">
        <f>F225/F$120</f>
        <v>2.13788</v>
      </c>
      <c r="G327" s="125">
        <f>G225/G$120</f>
        <v>2.1378799999999996</v>
      </c>
      <c r="H327" s="125">
        <f>H225/H$120</f>
        <v>2.1378799999999996</v>
      </c>
      <c r="I327" s="125">
        <f>I225/I$120</f>
        <v>2.13788</v>
      </c>
      <c r="J327" s="125">
        <f>J225/J$120</f>
        <v>2.1378799999999996</v>
      </c>
      <c r="K327" s="125">
        <f>K225/K$120</f>
        <v>2.13788</v>
      </c>
      <c r="L327" s="125">
        <f>L225/L$120</f>
        <v>2.13788</v>
      </c>
      <c r="M327" s="125">
        <f>M225/M$120</f>
        <v>2.13788</v>
      </c>
      <c r="N327" s="125">
        <f>N225/N$120</f>
        <v>2.13788</v>
      </c>
      <c r="O327" s="125">
        <f>O225/O$120</f>
        <v>2.13788</v>
      </c>
      <c r="P327" s="122"/>
      <c r="Q327" s="122"/>
      <c r="R327" s="122"/>
      <c r="S327" s="122"/>
      <c r="T327" s="122"/>
      <c r="U327" s="122"/>
      <c r="V327" s="122"/>
      <c r="W327" s="122"/>
      <c r="X327" s="122"/>
      <c r="Y327" s="122"/>
      <c r="Z327" s="122"/>
    </row>
    <row r="328" spans="1:26" ht="12.75" x14ac:dyDescent="0.2">
      <c r="A328" s="122"/>
      <c r="B328" s="180"/>
      <c r="C328" s="152" t="s">
        <v>108</v>
      </c>
      <c r="D328" s="180"/>
      <c r="E328" s="180"/>
      <c r="F328" s="125">
        <f>F226/F$120</f>
        <v>2.5</v>
      </c>
      <c r="G328" s="125">
        <f>G226/G$120</f>
        <v>2.6</v>
      </c>
      <c r="H328" s="125">
        <f>H226/H$120</f>
        <v>2.6</v>
      </c>
      <c r="I328" s="125">
        <f>I226/I$120</f>
        <v>2.7</v>
      </c>
      <c r="J328" s="125">
        <f>J226/J$120</f>
        <v>2.8</v>
      </c>
      <c r="K328" s="125">
        <f>K226/K$120</f>
        <v>2.9</v>
      </c>
      <c r="L328" s="125">
        <f>L226/L$120</f>
        <v>3</v>
      </c>
      <c r="M328" s="125">
        <f>M226/M$120</f>
        <v>3.1</v>
      </c>
      <c r="N328" s="125">
        <f>N226/N$120</f>
        <v>3.2</v>
      </c>
      <c r="O328" s="125">
        <f>O226/O$120</f>
        <v>3.3</v>
      </c>
      <c r="P328" s="122"/>
      <c r="Q328" s="122"/>
      <c r="R328" s="122"/>
      <c r="S328" s="122"/>
      <c r="T328" s="122"/>
      <c r="U328" s="122"/>
      <c r="V328" s="122"/>
      <c r="W328" s="122"/>
      <c r="X328" s="122"/>
      <c r="Y328" s="122"/>
      <c r="Z328" s="122"/>
    </row>
    <row r="329" spans="1:26" ht="12.75" x14ac:dyDescent="0.2">
      <c r="A329" s="122"/>
      <c r="B329" s="155"/>
      <c r="C329" s="198" t="s">
        <v>217</v>
      </c>
      <c r="D329" s="198"/>
      <c r="E329" s="198"/>
      <c r="F329" s="200">
        <f t="shared" ref="F329:O329" si="68">SUM(F323:F328)</f>
        <v>38.078647459999999</v>
      </c>
      <c r="G329" s="200">
        <f t="shared" si="68"/>
        <v>38.178647460000001</v>
      </c>
      <c r="H329" s="200">
        <f t="shared" si="68"/>
        <v>38.178647460000001</v>
      </c>
      <c r="I329" s="200">
        <f t="shared" si="68"/>
        <v>38.278647460000009</v>
      </c>
      <c r="J329" s="200">
        <f t="shared" si="68"/>
        <v>38.378647459999996</v>
      </c>
      <c r="K329" s="200">
        <f t="shared" si="68"/>
        <v>38.478647459999998</v>
      </c>
      <c r="L329" s="200">
        <f t="shared" si="68"/>
        <v>38.578647459999999</v>
      </c>
      <c r="M329" s="200">
        <f t="shared" si="68"/>
        <v>38.678647460000001</v>
      </c>
      <c r="N329" s="200">
        <f t="shared" si="68"/>
        <v>38.778647460000009</v>
      </c>
      <c r="O329" s="200">
        <f t="shared" si="68"/>
        <v>38.878647459999996</v>
      </c>
      <c r="P329" s="122"/>
      <c r="Q329" s="122"/>
      <c r="R329" s="122"/>
      <c r="S329" s="122"/>
      <c r="T329" s="122"/>
      <c r="U329" s="122"/>
      <c r="V329" s="122"/>
      <c r="W329" s="122"/>
      <c r="X329" s="122"/>
      <c r="Y329" s="122"/>
      <c r="Z329" s="122"/>
    </row>
    <row r="330" spans="1:26" ht="12.75" x14ac:dyDescent="0.2">
      <c r="A330" s="122"/>
      <c r="B330" s="155"/>
      <c r="C330" s="155"/>
      <c r="D330" s="155"/>
      <c r="E330" s="155"/>
      <c r="F330" s="155"/>
      <c r="G330" s="155"/>
      <c r="H330" s="155"/>
      <c r="I330" s="155"/>
      <c r="J330" s="155"/>
      <c r="K330" s="155"/>
      <c r="L330" s="155"/>
      <c r="M330" s="155"/>
      <c r="N330" s="155"/>
      <c r="O330" s="155"/>
      <c r="P330" s="122"/>
      <c r="Q330" s="122"/>
      <c r="R330" s="122"/>
      <c r="S330" s="122"/>
      <c r="T330" s="122"/>
      <c r="U330" s="122"/>
      <c r="V330" s="122"/>
      <c r="W330" s="122"/>
      <c r="X330" s="122"/>
      <c r="Y330" s="122"/>
      <c r="Z330" s="122"/>
    </row>
    <row r="331" spans="1:26" ht="12.75" x14ac:dyDescent="0.2">
      <c r="A331" s="122"/>
      <c r="B331" s="180"/>
      <c r="C331" s="188" t="s">
        <v>287</v>
      </c>
      <c r="D331" s="201"/>
      <c r="E331" s="201"/>
      <c r="F331" s="202"/>
      <c r="G331" s="202"/>
      <c r="H331" s="202"/>
      <c r="I331" s="202"/>
      <c r="J331" s="202"/>
      <c r="K331" s="202"/>
      <c r="L331" s="202"/>
      <c r="M331" s="202"/>
      <c r="N331" s="202"/>
      <c r="O331" s="202"/>
      <c r="P331" s="122"/>
      <c r="Q331" s="122"/>
      <c r="R331" s="122"/>
      <c r="S331" s="122"/>
      <c r="T331" s="122"/>
      <c r="U331" s="122"/>
      <c r="V331" s="122"/>
      <c r="W331" s="122"/>
      <c r="X331" s="122"/>
      <c r="Y331" s="122"/>
      <c r="Z331" s="122"/>
    </row>
    <row r="332" spans="1:26" ht="12.75" x14ac:dyDescent="0.2">
      <c r="A332" s="122"/>
      <c r="B332" s="180"/>
      <c r="C332" s="155" t="s">
        <v>375</v>
      </c>
      <c r="D332" s="201"/>
      <c r="E332" s="201"/>
      <c r="F332" s="125">
        <f>F230/F$120</f>
        <v>1.7467624015748031</v>
      </c>
      <c r="G332" s="183">
        <f>G230/G$120</f>
        <v>1.8080127460629916</v>
      </c>
      <c r="H332" s="183">
        <f>H230/H$120</f>
        <v>1.8707943491633854</v>
      </c>
      <c r="I332" s="183">
        <f>I230/I$120</f>
        <v>1.935145492341289</v>
      </c>
      <c r="J332" s="183">
        <f>J230/J$120</f>
        <v>2.0011054140986393</v>
      </c>
      <c r="K332" s="183">
        <f>K230/K$120</f>
        <v>2.0687143338999245</v>
      </c>
      <c r="L332" s="183">
        <f>L230/L$120</f>
        <v>2.1380134766962411</v>
      </c>
      <c r="M332" s="183">
        <f>M230/M$120</f>
        <v>2.2090450980624663</v>
      </c>
      <c r="N332" s="183">
        <f>N230/N$120</f>
        <v>2.2818525099628459</v>
      </c>
      <c r="O332" s="183">
        <f>O230/O$120</f>
        <v>2.3564801071607357</v>
      </c>
      <c r="P332" s="122"/>
      <c r="Q332" s="122"/>
      <c r="R332" s="122"/>
      <c r="S332" s="122"/>
      <c r="T332" s="122"/>
      <c r="U332" s="122"/>
      <c r="V332" s="122"/>
      <c r="W332" s="122"/>
      <c r="X332" s="122"/>
      <c r="Y332" s="122"/>
      <c r="Z332" s="122"/>
    </row>
    <row r="333" spans="1:26" ht="12.75" x14ac:dyDescent="0.2">
      <c r="A333" s="122"/>
      <c r="B333" s="180"/>
      <c r="C333" s="184" t="s">
        <v>284</v>
      </c>
      <c r="D333" s="185"/>
      <c r="E333" s="185"/>
      <c r="F333" s="236">
        <f>F231/F$120</f>
        <v>1.0585984251968503</v>
      </c>
      <c r="G333" s="236">
        <f>G231/G$120</f>
        <v>1.0850633858267715</v>
      </c>
      <c r="H333" s="236">
        <f>H231/H$120</f>
        <v>1.1121899704724407</v>
      </c>
      <c r="I333" s="236">
        <f>I231/I$120</f>
        <v>1.1399947197342517</v>
      </c>
      <c r="J333" s="236">
        <f>J231/J$120</f>
        <v>1.1684945877276078</v>
      </c>
      <c r="K333" s="236">
        <f>K231/K$120</f>
        <v>1.1977069524207982</v>
      </c>
      <c r="L333" s="236">
        <f>L231/L$120</f>
        <v>1.2276496262313179</v>
      </c>
      <c r="M333" s="236">
        <f>M231/M$120</f>
        <v>1.2583408668871008</v>
      </c>
      <c r="N333" s="236">
        <f>N231/N$120</f>
        <v>1.289799388559278</v>
      </c>
      <c r="O333" s="236">
        <f>O231/O$120</f>
        <v>1.3220443732732599</v>
      </c>
      <c r="P333" s="122"/>
      <c r="Q333" s="122"/>
      <c r="R333" s="122"/>
      <c r="S333" s="122"/>
      <c r="T333" s="122"/>
      <c r="U333" s="122"/>
      <c r="V333" s="122"/>
      <c r="W333" s="122"/>
      <c r="X333" s="122"/>
      <c r="Y333" s="122"/>
      <c r="Z333" s="122"/>
    </row>
    <row r="334" spans="1:26" ht="12.75" x14ac:dyDescent="0.2">
      <c r="A334" s="122"/>
      <c r="B334" s="180"/>
      <c r="C334" s="189" t="s">
        <v>289</v>
      </c>
      <c r="D334" s="201"/>
      <c r="E334" s="201"/>
      <c r="F334" s="202">
        <f t="shared" ref="F334:O334" si="69">SUM(F332:F333)</f>
        <v>2.8053608267716532</v>
      </c>
      <c r="G334" s="202">
        <f t="shared" si="69"/>
        <v>2.8930761318897629</v>
      </c>
      <c r="H334" s="202">
        <f t="shared" si="69"/>
        <v>2.9829843196358263</v>
      </c>
      <c r="I334" s="202">
        <f t="shared" si="69"/>
        <v>3.0751402120755404</v>
      </c>
      <c r="J334" s="202">
        <f t="shared" si="69"/>
        <v>3.1696000018262471</v>
      </c>
      <c r="K334" s="202">
        <f t="shared" si="69"/>
        <v>3.2664212863207229</v>
      </c>
      <c r="L334" s="202">
        <f t="shared" si="69"/>
        <v>3.365663102927559</v>
      </c>
      <c r="M334" s="202">
        <f t="shared" si="69"/>
        <v>3.4673859649495671</v>
      </c>
      <c r="N334" s="202">
        <f t="shared" si="69"/>
        <v>3.5716518985221239</v>
      </c>
      <c r="O334" s="202">
        <f t="shared" si="69"/>
        <v>3.6785244804339956</v>
      </c>
      <c r="P334" s="122"/>
      <c r="Q334" s="122"/>
      <c r="R334" s="122"/>
      <c r="S334" s="122"/>
      <c r="T334" s="122"/>
      <c r="U334" s="122"/>
      <c r="V334" s="122"/>
      <c r="W334" s="122"/>
      <c r="X334" s="122"/>
      <c r="Y334" s="122"/>
      <c r="Z334" s="122"/>
    </row>
    <row r="335" spans="1:26" ht="12.75" x14ac:dyDescent="0.2">
      <c r="A335" s="122"/>
      <c r="B335" s="155"/>
      <c r="C335" s="155"/>
      <c r="D335" s="155"/>
      <c r="E335" s="155"/>
      <c r="F335" s="155"/>
      <c r="G335" s="155"/>
      <c r="H335" s="155"/>
      <c r="I335" s="155"/>
      <c r="J335" s="155"/>
      <c r="K335" s="155"/>
      <c r="L335" s="155"/>
      <c r="M335" s="155"/>
      <c r="N335" s="155"/>
      <c r="O335" s="155"/>
      <c r="P335" s="122"/>
      <c r="Q335" s="122"/>
      <c r="R335" s="122"/>
      <c r="S335" s="122"/>
      <c r="T335" s="122"/>
      <c r="U335" s="122"/>
      <c r="V335" s="122"/>
      <c r="W335" s="122"/>
      <c r="X335" s="122"/>
      <c r="Y335" s="122"/>
      <c r="Z335" s="122"/>
    </row>
    <row r="336" spans="1:26" ht="12.75" x14ac:dyDescent="0.2">
      <c r="A336" s="122"/>
      <c r="B336" s="155"/>
      <c r="C336" s="203" t="s">
        <v>236</v>
      </c>
      <c r="D336" s="203"/>
      <c r="E336" s="203"/>
      <c r="F336" s="204">
        <f t="shared" ref="F336:O336" si="70">F305+F315+F320+F329+F334</f>
        <v>88.172655456062984</v>
      </c>
      <c r="G336" s="204">
        <f t="shared" si="70"/>
        <v>88.360370761181088</v>
      </c>
      <c r="H336" s="204">
        <f t="shared" si="70"/>
        <v>88.450278948927163</v>
      </c>
      <c r="I336" s="204">
        <f t="shared" si="70"/>
        <v>88.642434841366892</v>
      </c>
      <c r="J336" s="204">
        <f t="shared" si="70"/>
        <v>83.836894631117588</v>
      </c>
      <c r="K336" s="204">
        <f t="shared" si="70"/>
        <v>84.033715915612063</v>
      </c>
      <c r="L336" s="204">
        <f t="shared" si="70"/>
        <v>84.232957732218892</v>
      </c>
      <c r="M336" s="204">
        <f t="shared" si="70"/>
        <v>84.434680594240902</v>
      </c>
      <c r="N336" s="204">
        <f t="shared" si="70"/>
        <v>84.638946527813474</v>
      </c>
      <c r="O336" s="204">
        <f t="shared" si="70"/>
        <v>84.845819109725326</v>
      </c>
      <c r="P336" s="122"/>
      <c r="Q336" s="122"/>
      <c r="R336" s="122"/>
      <c r="S336" s="122"/>
      <c r="T336" s="122"/>
      <c r="U336" s="122"/>
      <c r="V336" s="122"/>
      <c r="W336" s="122"/>
      <c r="X336" s="122"/>
      <c r="Y336" s="122"/>
      <c r="Z336" s="122"/>
    </row>
    <row r="337" spans="1:26" ht="12.75" x14ac:dyDescent="0.2">
      <c r="A337" s="122"/>
      <c r="B337" s="155"/>
      <c r="C337" s="155"/>
      <c r="D337" s="155"/>
      <c r="E337" s="155"/>
      <c r="F337" s="155"/>
      <c r="G337" s="155"/>
      <c r="H337" s="155"/>
      <c r="I337" s="155"/>
      <c r="J337" s="155"/>
      <c r="K337" s="155"/>
      <c r="L337" s="155"/>
      <c r="M337" s="155"/>
      <c r="N337" s="155"/>
      <c r="O337" s="155"/>
      <c r="P337" s="122"/>
      <c r="Q337" s="122"/>
      <c r="R337" s="122"/>
      <c r="S337" s="122"/>
      <c r="T337" s="122"/>
      <c r="U337" s="122"/>
      <c r="V337" s="122"/>
      <c r="W337" s="122"/>
      <c r="X337" s="122"/>
      <c r="Y337" s="122"/>
      <c r="Z337" s="122"/>
    </row>
    <row r="338" spans="1:26" ht="12.75" x14ac:dyDescent="0.2">
      <c r="A338" s="122"/>
      <c r="C338" s="206" t="s">
        <v>239</v>
      </c>
      <c r="D338" s="203"/>
      <c r="E338" s="203"/>
      <c r="F338" s="208">
        <f t="shared" ref="F338:O338" si="71">F300-F336</f>
        <v>39.139844543937016</v>
      </c>
      <c r="G338" s="208">
        <f t="shared" si="71"/>
        <v>42.134941738818895</v>
      </c>
      <c r="H338" s="208">
        <f t="shared" si="71"/>
        <v>45.307416363572813</v>
      </c>
      <c r="I338" s="208">
        <f t="shared" si="71"/>
        <v>48.45920285394557</v>
      </c>
      <c r="J338" s="208">
        <f t="shared" si="71"/>
        <v>56.692284006577694</v>
      </c>
      <c r="K338" s="208">
        <f t="shared" si="71"/>
        <v>60.008692188025591</v>
      </c>
      <c r="L338" s="208">
        <f t="shared" si="71"/>
        <v>63.410510574009692</v>
      </c>
      <c r="M338" s="208">
        <f t="shared" si="71"/>
        <v>66.899874419643382</v>
      </c>
      <c r="N338" s="208">
        <f t="shared" si="71"/>
        <v>70.47897236141786</v>
      </c>
      <c r="O338" s="208">
        <f t="shared" si="71"/>
        <v>74.150047751736807</v>
      </c>
      <c r="P338" s="122"/>
      <c r="Q338" s="122"/>
      <c r="R338" s="122"/>
      <c r="S338" s="122"/>
      <c r="T338" s="122"/>
      <c r="U338" s="122"/>
      <c r="V338" s="122"/>
      <c r="W338" s="122"/>
      <c r="X338" s="122"/>
      <c r="Y338" s="122"/>
      <c r="Z338" s="122"/>
    </row>
    <row r="339" spans="1:26" ht="12.75" customHeight="1" x14ac:dyDescent="0.2">
      <c r="A339" s="122"/>
      <c r="B339" s="122"/>
      <c r="C339" s="122"/>
      <c r="D339" s="122"/>
      <c r="E339" s="122"/>
      <c r="F339" s="122"/>
      <c r="G339" s="122"/>
      <c r="H339" s="122"/>
      <c r="I339" s="122"/>
      <c r="J339" s="122"/>
      <c r="K339" s="122"/>
      <c r="L339" s="122"/>
      <c r="M339" s="122"/>
      <c r="N339" s="122"/>
      <c r="O339" s="122"/>
      <c r="P339" s="122"/>
      <c r="Q339" s="122"/>
      <c r="R339" s="122"/>
      <c r="S339" s="122"/>
      <c r="T339" s="122"/>
      <c r="U339" s="122"/>
      <c r="V339" s="122"/>
      <c r="W339" s="122"/>
      <c r="X339" s="122"/>
      <c r="Y339" s="122"/>
      <c r="Z339" s="122"/>
    </row>
    <row r="340" spans="1:26" ht="12.75" customHeight="1" x14ac:dyDescent="0.2">
      <c r="A340" s="145" t="s">
        <v>240</v>
      </c>
      <c r="B340" s="119"/>
      <c r="C340" s="119"/>
      <c r="D340" s="161" t="s">
        <v>174</v>
      </c>
      <c r="E340" s="161"/>
      <c r="F340" s="162">
        <v>0</v>
      </c>
      <c r="G340" s="162">
        <v>1</v>
      </c>
      <c r="H340" s="162">
        <v>2</v>
      </c>
      <c r="I340" s="162">
        <v>3</v>
      </c>
      <c r="J340" s="162">
        <v>4</v>
      </c>
      <c r="K340" s="162">
        <v>5</v>
      </c>
      <c r="L340" s="162">
        <v>6</v>
      </c>
      <c r="M340" s="162">
        <v>7</v>
      </c>
      <c r="N340" s="162">
        <v>8</v>
      </c>
      <c r="O340" s="162">
        <v>9</v>
      </c>
      <c r="P340" s="119"/>
      <c r="Q340" s="119"/>
      <c r="R340" s="119"/>
      <c r="S340" s="119"/>
      <c r="T340" s="119"/>
      <c r="U340" s="119"/>
      <c r="V340" s="119"/>
      <c r="W340" s="119"/>
      <c r="X340" s="119"/>
      <c r="Y340" s="119"/>
      <c r="Z340" s="119"/>
    </row>
    <row r="341" spans="1:26" ht="12.75" customHeight="1" x14ac:dyDescent="0.2">
      <c r="A341" s="122"/>
      <c r="B341" s="154" t="s">
        <v>279</v>
      </c>
      <c r="C341" s="155"/>
      <c r="D341" s="155"/>
      <c r="E341" s="155"/>
      <c r="F341" s="155"/>
      <c r="G341" s="155"/>
      <c r="H341" s="155"/>
      <c r="I341" s="155"/>
      <c r="J341" s="155"/>
      <c r="K341" s="155"/>
      <c r="L341" s="155"/>
      <c r="M341" s="155"/>
      <c r="N341" s="155"/>
      <c r="O341" s="155"/>
      <c r="P341" s="122"/>
      <c r="Q341" s="122"/>
      <c r="R341" s="122"/>
      <c r="S341" s="122"/>
      <c r="T341" s="122"/>
      <c r="U341" s="122"/>
      <c r="V341" s="122"/>
      <c r="W341" s="122"/>
      <c r="X341" s="122"/>
      <c r="Y341" s="122"/>
      <c r="Z341" s="122"/>
    </row>
    <row r="342" spans="1:26" ht="12.75" customHeight="1" x14ac:dyDescent="0.2">
      <c r="A342" s="122"/>
      <c r="B342" s="155"/>
      <c r="C342" s="155" t="s">
        <v>241</v>
      </c>
      <c r="D342" s="155"/>
      <c r="E342" s="155"/>
      <c r="F342" s="125">
        <f>F300-F$249</f>
        <v>46.469062500000007</v>
      </c>
      <c r="G342" s="125">
        <f>G300-G$249</f>
        <v>48.681753749999984</v>
      </c>
      <c r="H342" s="125">
        <f>H300-H$249</f>
        <v>50.962373857499983</v>
      </c>
      <c r="I342" s="125">
        <f>I300-I$249</f>
        <v>53.312772382852458</v>
      </c>
      <c r="J342" s="125">
        <f>J300-J$249</f>
        <v>55.734846941485756</v>
      </c>
      <c r="K342" s="125">
        <f>K300-K$249</f>
        <v>58.230544427073625</v>
      </c>
      <c r="L342" s="125">
        <f>L300-L$249</f>
        <v>60.801862265545765</v>
      </c>
      <c r="M342" s="125">
        <f>M300-M$249</f>
        <v>63.450849700713292</v>
      </c>
      <c r="N342" s="125">
        <f>N300-N$249</f>
        <v>66.179609112302273</v>
      </c>
      <c r="O342" s="125">
        <f>O300-O$249</f>
        <v>68.990297367209948</v>
      </c>
      <c r="P342" s="122"/>
      <c r="Q342" s="122"/>
      <c r="R342" s="122"/>
      <c r="S342" s="122"/>
      <c r="T342" s="122"/>
      <c r="U342" s="122"/>
      <c r="V342" s="122"/>
      <c r="W342" s="122"/>
      <c r="X342" s="122"/>
      <c r="Y342" s="122"/>
      <c r="Z342" s="122"/>
    </row>
    <row r="343" spans="1:26" ht="12.75" customHeight="1" x14ac:dyDescent="0.2">
      <c r="A343" s="122"/>
      <c r="B343" s="155"/>
      <c r="C343" s="155" t="s">
        <v>242</v>
      </c>
      <c r="D343" s="155"/>
      <c r="E343" s="155"/>
      <c r="F343" s="125">
        <f>F336-F$285</f>
        <v>35.901447753732278</v>
      </c>
      <c r="G343" s="125">
        <f>G336-G$285</f>
        <v>36.062427433850381</v>
      </c>
      <c r="H343" s="125">
        <f>H336-H$285</f>
        <v>36.125279169096466</v>
      </c>
      <c r="I343" s="125">
        <f>I336-I$285</f>
        <v>36.290053931606181</v>
      </c>
      <c r="J343" s="125">
        <f>J336-J$285</f>
        <v>31.356804017867717</v>
      </c>
      <c r="K343" s="125">
        <f>K336-K$285</f>
        <v>31.525583082431162</v>
      </c>
      <c r="L343" s="125">
        <f>L336-L$285</f>
        <v>31.696446172467788</v>
      </c>
      <c r="M343" s="125">
        <f>M336-M$285</f>
        <v>31.869449763200755</v>
      </c>
      <c r="N343" s="125">
        <f>N336-N$285</f>
        <v>31.944651794228818</v>
      </c>
      <c r="O343" s="125">
        <f>O336-O$285</f>
        <v>32.122111706765622</v>
      </c>
      <c r="P343" s="122"/>
      <c r="Q343" s="122"/>
      <c r="R343" s="122"/>
      <c r="S343" s="122"/>
      <c r="T343" s="122"/>
      <c r="U343" s="122"/>
      <c r="V343" s="122"/>
      <c r="W343" s="122"/>
      <c r="X343" s="122"/>
      <c r="Y343" s="122"/>
      <c r="Z343" s="122"/>
    </row>
    <row r="344" spans="1:26" ht="12.75" customHeight="1" x14ac:dyDescent="0.2">
      <c r="A344" s="122"/>
      <c r="B344" s="155"/>
      <c r="C344" s="155" t="s">
        <v>243</v>
      </c>
      <c r="D344" s="155"/>
      <c r="E344" s="155"/>
      <c r="F344" s="125">
        <f>F342-F343</f>
        <v>10.567614746267729</v>
      </c>
      <c r="G344" s="125">
        <f t="shared" ref="G344:O344" si="72">G342-G343</f>
        <v>12.619326316149603</v>
      </c>
      <c r="H344" s="125">
        <f t="shared" si="72"/>
        <v>14.837094688403518</v>
      </c>
      <c r="I344" s="125">
        <f t="shared" si="72"/>
        <v>17.022718451246277</v>
      </c>
      <c r="J344" s="125">
        <f t="shared" si="72"/>
        <v>24.37804292361804</v>
      </c>
      <c r="K344" s="125">
        <f t="shared" si="72"/>
        <v>26.704961344642463</v>
      </c>
      <c r="L344" s="125">
        <f t="shared" si="72"/>
        <v>29.105416093077977</v>
      </c>
      <c r="M344" s="125">
        <f t="shared" si="72"/>
        <v>31.581399937512536</v>
      </c>
      <c r="N344" s="125">
        <f t="shared" si="72"/>
        <v>34.234957318073455</v>
      </c>
      <c r="O344" s="125">
        <f t="shared" si="72"/>
        <v>36.868185660444325</v>
      </c>
      <c r="P344" s="122"/>
      <c r="Q344" s="122"/>
      <c r="R344" s="122"/>
      <c r="S344" s="122"/>
      <c r="T344" s="122"/>
      <c r="U344" s="122"/>
      <c r="V344" s="122"/>
      <c r="W344" s="122"/>
      <c r="X344" s="122"/>
      <c r="Y344" s="122"/>
      <c r="Z344" s="122"/>
    </row>
    <row r="345" spans="1:26" ht="13.5" customHeight="1" thickBot="1" x14ac:dyDescent="0.25">
      <c r="A345" s="122"/>
      <c r="B345" s="155"/>
      <c r="C345" s="155"/>
      <c r="D345" s="155"/>
      <c r="E345" s="155"/>
      <c r="F345" s="155"/>
      <c r="G345" s="122"/>
      <c r="H345" s="122"/>
      <c r="I345" s="122"/>
      <c r="J345" s="122"/>
      <c r="K345" s="122"/>
      <c r="L345" s="122"/>
      <c r="M345" s="122"/>
      <c r="N345" s="122"/>
      <c r="O345" s="122"/>
      <c r="P345" s="122"/>
      <c r="Q345" s="122"/>
      <c r="R345" s="122"/>
      <c r="S345" s="122"/>
      <c r="T345" s="122"/>
      <c r="U345" s="122"/>
      <c r="V345" s="122"/>
      <c r="W345" s="122"/>
      <c r="X345" s="122"/>
      <c r="Y345" s="122"/>
      <c r="Z345" s="122"/>
    </row>
    <row r="346" spans="1:26" ht="13.5" customHeight="1" thickTop="1" x14ac:dyDescent="0.2">
      <c r="A346" s="122"/>
      <c r="B346" s="155"/>
      <c r="C346" s="212" t="s">
        <v>249</v>
      </c>
      <c r="D346" s="212"/>
      <c r="E346" s="212"/>
      <c r="F346" s="130">
        <f>NPV($F$19,G344:O344)+F344</f>
        <v>109.42462314075289</v>
      </c>
      <c r="G346" s="122"/>
      <c r="H346" s="122"/>
      <c r="I346" s="122"/>
      <c r="J346" s="122"/>
      <c r="K346" s="122"/>
      <c r="L346" s="122"/>
      <c r="M346" s="122"/>
      <c r="N346" s="122"/>
      <c r="O346" s="122"/>
      <c r="P346" s="122"/>
      <c r="Q346" s="122"/>
      <c r="R346" s="122"/>
      <c r="S346" s="122"/>
      <c r="T346" s="122"/>
      <c r="U346" s="122"/>
      <c r="V346" s="122"/>
      <c r="W346" s="122"/>
      <c r="X346" s="122"/>
      <c r="Y346" s="122"/>
      <c r="Z346" s="122"/>
    </row>
    <row r="347" spans="1:26" ht="13.5" customHeight="1" thickBot="1" x14ac:dyDescent="0.25">
      <c r="A347" s="122"/>
      <c r="B347" s="155"/>
      <c r="C347" s="211" t="s">
        <v>390</v>
      </c>
      <c r="D347" s="211"/>
      <c r="E347" s="211"/>
      <c r="F347" s="131">
        <f>F346/$F$10*1000</f>
        <v>694.58310994511169</v>
      </c>
      <c r="G347" s="122"/>
      <c r="H347" s="122"/>
      <c r="I347" s="122"/>
      <c r="J347" s="122"/>
      <c r="K347" s="122"/>
      <c r="L347" s="122"/>
      <c r="M347" s="122"/>
      <c r="N347" s="122"/>
      <c r="O347" s="122"/>
      <c r="P347" s="122"/>
      <c r="Q347" s="122"/>
      <c r="R347" s="122"/>
      <c r="S347" s="122"/>
      <c r="T347" s="122"/>
      <c r="U347" s="122"/>
      <c r="V347" s="122"/>
      <c r="W347" s="122"/>
      <c r="X347" s="122"/>
      <c r="Y347" s="122"/>
      <c r="Z347" s="122"/>
    </row>
    <row r="348" spans="1:26" ht="12.75" customHeight="1" thickTop="1" x14ac:dyDescent="0.2">
      <c r="A348" s="122"/>
      <c r="B348" s="122"/>
      <c r="C348" s="122"/>
      <c r="D348" s="122"/>
      <c r="E348" s="122"/>
      <c r="F348" s="122"/>
      <c r="G348" s="122"/>
      <c r="H348" s="122"/>
      <c r="I348" s="122"/>
      <c r="J348" s="122"/>
      <c r="K348" s="122"/>
      <c r="L348" s="122"/>
      <c r="M348" s="122"/>
      <c r="N348" s="122"/>
      <c r="O348" s="122"/>
      <c r="P348" s="122"/>
      <c r="Q348" s="122"/>
      <c r="R348" s="122"/>
      <c r="S348" s="122"/>
      <c r="T348" s="122"/>
      <c r="U348" s="122"/>
      <c r="V348" s="122"/>
      <c r="W348" s="122"/>
      <c r="X348" s="122"/>
      <c r="Y348" s="122"/>
      <c r="Z348" s="122"/>
    </row>
    <row r="349" spans="1:26" ht="12.75" x14ac:dyDescent="0.2">
      <c r="A349" s="340" t="s">
        <v>705</v>
      </c>
      <c r="B349" s="119"/>
      <c r="C349" s="150"/>
      <c r="D349" s="161" t="s">
        <v>174</v>
      </c>
      <c r="E349" s="161"/>
      <c r="F349" s="162">
        <v>0</v>
      </c>
      <c r="G349" s="162">
        <v>1</v>
      </c>
      <c r="H349" s="162">
        <v>2</v>
      </c>
      <c r="I349" s="162">
        <v>3</v>
      </c>
      <c r="J349" s="162">
        <v>4</v>
      </c>
      <c r="K349" s="162">
        <v>5</v>
      </c>
      <c r="L349" s="162">
        <v>6</v>
      </c>
      <c r="M349" s="162">
        <v>7</v>
      </c>
      <c r="N349" s="162">
        <v>8</v>
      </c>
      <c r="O349" s="162">
        <v>9</v>
      </c>
      <c r="P349" s="119"/>
      <c r="Q349" s="119"/>
      <c r="R349" s="119"/>
      <c r="S349" s="119"/>
      <c r="T349" s="119"/>
      <c r="U349" s="119"/>
      <c r="V349" s="119"/>
      <c r="W349" s="119"/>
      <c r="X349" s="119"/>
      <c r="Y349" s="119"/>
      <c r="Z349" s="119"/>
    </row>
    <row r="350" spans="1:26" ht="12.75" x14ac:dyDescent="0.2">
      <c r="A350" s="122"/>
      <c r="B350" s="154" t="s">
        <v>244</v>
      </c>
      <c r="C350" s="155"/>
      <c r="D350" s="155"/>
      <c r="E350" s="155"/>
      <c r="F350" s="155"/>
      <c r="G350" s="155"/>
      <c r="H350" s="155"/>
      <c r="I350" s="155"/>
      <c r="J350" s="155"/>
      <c r="K350" s="155"/>
      <c r="L350" s="155"/>
      <c r="M350" s="155"/>
      <c r="N350" s="155"/>
      <c r="O350" s="155"/>
      <c r="P350" s="122"/>
      <c r="Q350" s="122"/>
      <c r="R350" s="122"/>
      <c r="S350" s="122"/>
      <c r="T350" s="122"/>
      <c r="U350" s="122"/>
      <c r="V350" s="122"/>
      <c r="W350" s="122"/>
      <c r="X350" s="122"/>
      <c r="Y350" s="122"/>
      <c r="Z350" s="122"/>
    </row>
    <row r="351" spans="1:26" ht="12.75" x14ac:dyDescent="0.2">
      <c r="A351" s="122"/>
      <c r="B351" s="122"/>
      <c r="C351" s="122"/>
      <c r="D351" s="122"/>
      <c r="E351" s="122"/>
      <c r="F351" s="122"/>
      <c r="G351" s="122"/>
      <c r="H351" s="122"/>
      <c r="I351" s="122"/>
      <c r="J351" s="122"/>
      <c r="K351" s="122"/>
      <c r="L351" s="122"/>
      <c r="M351" s="122"/>
      <c r="N351" s="122"/>
      <c r="O351" s="122"/>
      <c r="P351" s="122"/>
      <c r="Q351" s="122"/>
      <c r="R351" s="122"/>
      <c r="S351" s="122"/>
      <c r="T351" s="122"/>
      <c r="U351" s="122"/>
      <c r="V351" s="122"/>
      <c r="W351" s="122"/>
      <c r="X351" s="122"/>
      <c r="Y351" s="122"/>
      <c r="Z351" s="122"/>
    </row>
    <row r="352" spans="1:26" ht="12.75" x14ac:dyDescent="0.2">
      <c r="A352" s="122"/>
      <c r="B352" s="179" t="s">
        <v>667</v>
      </c>
      <c r="C352" s="155"/>
      <c r="D352" s="180"/>
      <c r="E352" s="180"/>
      <c r="F352" s="180"/>
      <c r="G352" s="180"/>
      <c r="H352" s="180"/>
      <c r="I352" s="180"/>
      <c r="J352" s="180"/>
      <c r="K352" s="180"/>
      <c r="L352" s="180"/>
      <c r="M352" s="180"/>
      <c r="N352" s="180"/>
      <c r="O352" s="180"/>
      <c r="P352" s="122"/>
      <c r="Q352" s="122"/>
      <c r="R352" s="122"/>
      <c r="S352" s="122"/>
      <c r="T352" s="122"/>
      <c r="U352" s="122"/>
      <c r="V352" s="122"/>
      <c r="W352" s="122"/>
      <c r="X352" s="122"/>
      <c r="Y352" s="122"/>
      <c r="Z352" s="122"/>
    </row>
    <row r="353" spans="1:26" ht="12.75" x14ac:dyDescent="0.2">
      <c r="A353" s="122"/>
      <c r="C353" s="232" t="s">
        <v>671</v>
      </c>
      <c r="D353" s="180"/>
      <c r="E353" s="307" t="s">
        <v>666</v>
      </c>
      <c r="F353" s="180"/>
      <c r="G353" s="180"/>
      <c r="H353" s="180"/>
      <c r="I353" s="180"/>
      <c r="J353" s="180"/>
      <c r="K353" s="180"/>
      <c r="L353" s="180"/>
      <c r="M353" s="180"/>
      <c r="N353" s="180"/>
      <c r="O353" s="180"/>
      <c r="P353" s="122"/>
      <c r="Q353" s="122"/>
      <c r="R353" s="122"/>
      <c r="S353" s="122"/>
      <c r="T353" s="122"/>
      <c r="U353" s="122"/>
      <c r="V353" s="122"/>
      <c r="W353" s="122"/>
      <c r="X353" s="122"/>
      <c r="Y353" s="122"/>
      <c r="Z353" s="122"/>
    </row>
    <row r="354" spans="1:26" ht="12.75" x14ac:dyDescent="0.2">
      <c r="A354" s="122"/>
      <c r="B354" s="192"/>
      <c r="C354" s="188" t="s">
        <v>409</v>
      </c>
      <c r="D354" s="180"/>
      <c r="E354" s="180"/>
      <c r="F354" s="180"/>
      <c r="G354" s="180"/>
      <c r="H354" s="180"/>
      <c r="I354" s="180"/>
      <c r="J354" s="180"/>
      <c r="K354" s="180"/>
      <c r="L354" s="180"/>
      <c r="M354" s="180"/>
      <c r="N354" s="180"/>
      <c r="O354" s="180"/>
      <c r="P354" s="122"/>
      <c r="Q354" s="122"/>
      <c r="R354" s="122"/>
      <c r="S354" s="122"/>
      <c r="T354" s="122"/>
      <c r="U354" s="122"/>
      <c r="V354" s="122"/>
      <c r="W354" s="122"/>
      <c r="X354" s="122"/>
      <c r="Y354" s="122"/>
      <c r="Z354" s="122"/>
    </row>
    <row r="355" spans="1:26" ht="12.75" x14ac:dyDescent="0.2">
      <c r="A355" s="122"/>
      <c r="B355" s="180"/>
      <c r="C355" s="152" t="s">
        <v>405</v>
      </c>
      <c r="D355" s="180"/>
      <c r="E355" s="338">
        <f>CFs!$C$123</f>
        <v>1.0463160732906094</v>
      </c>
      <c r="F355" s="125">
        <f>$E355*F240</f>
        <v>96.671757801502622</v>
      </c>
      <c r="G355" s="125">
        <f>$E355*G240</f>
        <v>97.831818895120662</v>
      </c>
      <c r="H355" s="125">
        <f>$E355*H240</f>
        <v>99.005800721862101</v>
      </c>
      <c r="I355" s="125">
        <f>$E355*I240</f>
        <v>100.19387033052445</v>
      </c>
      <c r="J355" s="125">
        <f>$E355*J240</f>
        <v>101.39619677449076</v>
      </c>
      <c r="K355" s="125">
        <f>$E355*K240</f>
        <v>102.61295113578463</v>
      </c>
      <c r="L355" s="125">
        <f>$E355*L240</f>
        <v>103.84430654941406</v>
      </c>
      <c r="M355" s="125">
        <f>$E355*M240</f>
        <v>105.09043822800702</v>
      </c>
      <c r="N355" s="125">
        <f>$E355*N240</f>
        <v>106.35152348674312</v>
      </c>
      <c r="O355" s="125">
        <f>$E355*O240</f>
        <v>107.627741768584</v>
      </c>
      <c r="P355" s="122"/>
      <c r="Q355" s="122"/>
      <c r="R355" s="122"/>
      <c r="S355" s="122"/>
      <c r="T355" s="122"/>
      <c r="U355" s="122"/>
      <c r="V355" s="122"/>
      <c r="W355" s="122"/>
      <c r="X355" s="122"/>
      <c r="Y355" s="122"/>
      <c r="Z355" s="122"/>
    </row>
    <row r="356" spans="1:26" ht="12.75" x14ac:dyDescent="0.2">
      <c r="A356" s="122"/>
      <c r="B356" s="180"/>
      <c r="C356" s="152" t="s">
        <v>231</v>
      </c>
      <c r="D356" s="180"/>
      <c r="E356" s="338">
        <f>CFs!$C$123</f>
        <v>1.0463160732906094</v>
      </c>
      <c r="F356" s="125">
        <f>$E356*F241</f>
        <v>12.083969725187828</v>
      </c>
      <c r="G356" s="125">
        <f>$E356*G241</f>
        <v>12.228977361890083</v>
      </c>
      <c r="H356" s="125">
        <f>$E356*H241</f>
        <v>12.375725090232763</v>
      </c>
      <c r="I356" s="125">
        <f>$E356*I241</f>
        <v>12.524233791315556</v>
      </c>
      <c r="J356" s="125">
        <f>$E356*J241</f>
        <v>12.674524596811345</v>
      </c>
      <c r="K356" s="125">
        <f>$E356*K241</f>
        <v>12.826618891973078</v>
      </c>
      <c r="L356" s="125">
        <f>$E356*L241</f>
        <v>12.980538318676757</v>
      </c>
      <c r="M356" s="125">
        <f>$E356*M241</f>
        <v>13.136304778500877</v>
      </c>
      <c r="N356" s="125">
        <f>$E356*N241</f>
        <v>13.29394043584289</v>
      </c>
      <c r="O356" s="125">
        <f>$E356*O241</f>
        <v>13.453467721073</v>
      </c>
      <c r="P356" s="122"/>
      <c r="Q356" s="122"/>
      <c r="R356" s="122"/>
      <c r="S356" s="122"/>
      <c r="T356" s="122"/>
      <c r="U356" s="122"/>
      <c r="V356" s="122"/>
      <c r="W356" s="122"/>
      <c r="X356" s="122"/>
      <c r="Y356" s="122"/>
      <c r="Z356" s="122"/>
    </row>
    <row r="357" spans="1:26" ht="12.75" x14ac:dyDescent="0.2">
      <c r="A357" s="122"/>
      <c r="B357" s="180"/>
      <c r="C357" s="198" t="s">
        <v>410</v>
      </c>
      <c r="D357" s="182"/>
      <c r="E357" s="182"/>
      <c r="F357" s="193">
        <f t="shared" ref="F357:O357" si="73">F355-F356</f>
        <v>84.587788076314794</v>
      </c>
      <c r="G357" s="193">
        <f t="shared" si="73"/>
        <v>85.602841533230574</v>
      </c>
      <c r="H357" s="193">
        <f t="shared" si="73"/>
        <v>86.630075631629339</v>
      </c>
      <c r="I357" s="193">
        <f t="shared" si="73"/>
        <v>87.669636539208895</v>
      </c>
      <c r="J357" s="193">
        <f t="shared" si="73"/>
        <v>88.721672177679409</v>
      </c>
      <c r="K357" s="193">
        <f t="shared" si="73"/>
        <v>89.786332243811543</v>
      </c>
      <c r="L357" s="193">
        <f t="shared" si="73"/>
        <v>90.863768230737293</v>
      </c>
      <c r="M357" s="193">
        <f t="shared" si="73"/>
        <v>91.954133449506145</v>
      </c>
      <c r="N357" s="193">
        <f t="shared" si="73"/>
        <v>93.057583050900234</v>
      </c>
      <c r="O357" s="193">
        <f t="shared" si="73"/>
        <v>94.174274047511005</v>
      </c>
      <c r="P357" s="122"/>
      <c r="Q357" s="122"/>
      <c r="R357" s="122"/>
      <c r="S357" s="122"/>
      <c r="T357" s="122"/>
      <c r="U357" s="122"/>
      <c r="V357" s="122"/>
      <c r="W357" s="122"/>
      <c r="X357" s="122"/>
      <c r="Y357" s="122"/>
      <c r="Z357" s="122"/>
    </row>
    <row r="358" spans="1:26" ht="12.75" x14ac:dyDescent="0.2">
      <c r="A358" s="122"/>
      <c r="B358" s="180"/>
      <c r="C358" s="152"/>
      <c r="D358" s="180"/>
      <c r="E358" s="180"/>
      <c r="F358" s="194"/>
      <c r="G358" s="194"/>
      <c r="H358" s="194"/>
      <c r="I358" s="194"/>
      <c r="J358" s="194"/>
      <c r="K358" s="194"/>
      <c r="L358" s="194"/>
      <c r="M358" s="194"/>
      <c r="N358" s="194"/>
      <c r="O358" s="194"/>
      <c r="P358" s="122"/>
      <c r="Q358" s="122"/>
      <c r="R358" s="122"/>
      <c r="S358" s="122"/>
      <c r="T358" s="122"/>
      <c r="U358" s="122"/>
      <c r="V358" s="122"/>
      <c r="W358" s="122"/>
      <c r="X358" s="122"/>
      <c r="Y358" s="122"/>
      <c r="Z358" s="122"/>
    </row>
    <row r="359" spans="1:26" ht="12.75" x14ac:dyDescent="0.2">
      <c r="A359" s="122"/>
      <c r="B359" s="180"/>
      <c r="C359" s="188" t="s">
        <v>266</v>
      </c>
      <c r="D359" s="180"/>
      <c r="E359" s="180"/>
      <c r="F359" s="194"/>
      <c r="G359" s="194"/>
      <c r="H359" s="194"/>
      <c r="I359" s="194"/>
      <c r="J359" s="194"/>
      <c r="K359" s="194"/>
      <c r="L359" s="194"/>
      <c r="M359" s="194"/>
      <c r="N359" s="194"/>
      <c r="O359" s="194"/>
      <c r="P359" s="122"/>
      <c r="Q359" s="122"/>
      <c r="R359" s="122"/>
      <c r="S359" s="122"/>
      <c r="T359" s="122"/>
      <c r="U359" s="122"/>
      <c r="V359" s="122"/>
      <c r="W359" s="122"/>
      <c r="X359" s="122"/>
      <c r="Y359" s="122"/>
      <c r="Z359" s="122"/>
    </row>
    <row r="360" spans="1:26" ht="12.75" x14ac:dyDescent="0.2">
      <c r="A360" s="122"/>
      <c r="B360" s="180"/>
      <c r="C360" s="155" t="s">
        <v>267</v>
      </c>
      <c r="D360" s="180"/>
      <c r="E360" s="338">
        <v>0</v>
      </c>
      <c r="F360" s="125">
        <f>$E360*F245</f>
        <v>0</v>
      </c>
      <c r="G360" s="125">
        <f>$E360*G245</f>
        <v>0</v>
      </c>
      <c r="H360" s="125">
        <f>$E360*H245</f>
        <v>0</v>
      </c>
      <c r="I360" s="125">
        <f>$E360*I245</f>
        <v>0</v>
      </c>
      <c r="J360" s="125">
        <f>$E360*J245</f>
        <v>0</v>
      </c>
      <c r="K360" s="125">
        <f>$E360*K245</f>
        <v>0</v>
      </c>
      <c r="L360" s="125">
        <f>$E360*L245</f>
        <v>0</v>
      </c>
      <c r="M360" s="125">
        <f>$E360*M245</f>
        <v>0</v>
      </c>
      <c r="N360" s="125">
        <f>$E360*N245</f>
        <v>0</v>
      </c>
      <c r="O360" s="125">
        <f>$E360*O245</f>
        <v>0</v>
      </c>
      <c r="P360" s="122"/>
      <c r="Q360" s="122"/>
      <c r="R360" s="122"/>
      <c r="S360" s="122"/>
      <c r="T360" s="122"/>
      <c r="U360" s="122"/>
      <c r="V360" s="122"/>
      <c r="W360" s="122"/>
      <c r="X360" s="122"/>
      <c r="Y360" s="122"/>
      <c r="Z360" s="122"/>
    </row>
    <row r="361" spans="1:26" ht="12.75" x14ac:dyDescent="0.2">
      <c r="A361" s="122"/>
      <c r="B361" s="180"/>
      <c r="C361" s="155" t="s">
        <v>138</v>
      </c>
      <c r="D361" s="180"/>
      <c r="E361" s="338">
        <v>0</v>
      </c>
      <c r="F361" s="125">
        <f>$E361*F246</f>
        <v>0</v>
      </c>
      <c r="G361" s="125">
        <f>$E361*G246</f>
        <v>0</v>
      </c>
      <c r="H361" s="125">
        <f>$E361*H246</f>
        <v>0</v>
      </c>
      <c r="I361" s="125">
        <f>$E361*I246</f>
        <v>0</v>
      </c>
      <c r="J361" s="125">
        <f>$E361*J246</f>
        <v>0</v>
      </c>
      <c r="K361" s="125">
        <f>$E361*K246</f>
        <v>0</v>
      </c>
      <c r="L361" s="125">
        <f>$E361*L246</f>
        <v>0</v>
      </c>
      <c r="M361" s="125">
        <f>$E361*M246</f>
        <v>0</v>
      </c>
      <c r="N361" s="125">
        <f>$E361*N246</f>
        <v>0</v>
      </c>
      <c r="O361" s="125">
        <f>$E361*O246</f>
        <v>0</v>
      </c>
      <c r="P361" s="122"/>
      <c r="Q361" s="122"/>
      <c r="R361" s="122"/>
      <c r="S361" s="122"/>
      <c r="T361" s="122"/>
      <c r="U361" s="122"/>
      <c r="V361" s="122"/>
      <c r="W361" s="122"/>
      <c r="X361" s="122"/>
      <c r="Y361" s="122"/>
      <c r="Z361" s="122"/>
    </row>
    <row r="362" spans="1:26" ht="12.75" x14ac:dyDescent="0.2">
      <c r="A362" s="122"/>
      <c r="B362" s="180"/>
      <c r="C362" s="198" t="s">
        <v>247</v>
      </c>
      <c r="D362" s="182"/>
      <c r="E362" s="182"/>
      <c r="F362" s="193">
        <f>SUM(F360:F361)</f>
        <v>0</v>
      </c>
      <c r="G362" s="193">
        <f t="shared" ref="G362:O362" si="74">SUM(G360:G361)</f>
        <v>0</v>
      </c>
      <c r="H362" s="193">
        <f t="shared" si="74"/>
        <v>0</v>
      </c>
      <c r="I362" s="193">
        <f t="shared" si="74"/>
        <v>0</v>
      </c>
      <c r="J362" s="193">
        <f t="shared" si="74"/>
        <v>0</v>
      </c>
      <c r="K362" s="193">
        <f t="shared" si="74"/>
        <v>0</v>
      </c>
      <c r="L362" s="193">
        <f t="shared" si="74"/>
        <v>0</v>
      </c>
      <c r="M362" s="193">
        <f t="shared" si="74"/>
        <v>0</v>
      </c>
      <c r="N362" s="193">
        <f t="shared" si="74"/>
        <v>0</v>
      </c>
      <c r="O362" s="193">
        <f t="shared" si="74"/>
        <v>0</v>
      </c>
      <c r="P362" s="122"/>
      <c r="Q362" s="122"/>
      <c r="R362" s="122"/>
      <c r="S362" s="122"/>
      <c r="T362" s="122"/>
      <c r="U362" s="122"/>
      <c r="V362" s="122"/>
      <c r="W362" s="122"/>
      <c r="X362" s="122"/>
      <c r="Y362" s="122"/>
      <c r="Z362" s="122"/>
    </row>
    <row r="363" spans="1:26" ht="12.75" x14ac:dyDescent="0.2">
      <c r="A363" s="122"/>
      <c r="B363" s="180"/>
      <c r="C363" s="152"/>
      <c r="D363" s="180"/>
      <c r="E363" s="180"/>
      <c r="F363" s="194"/>
      <c r="G363" s="194"/>
      <c r="H363" s="194"/>
      <c r="I363" s="194"/>
      <c r="J363" s="194"/>
      <c r="K363" s="194"/>
      <c r="L363" s="194"/>
      <c r="M363" s="194"/>
      <c r="N363" s="194"/>
      <c r="O363" s="194"/>
      <c r="P363" s="122"/>
      <c r="Q363" s="122"/>
      <c r="R363" s="122"/>
      <c r="S363" s="122"/>
      <c r="T363" s="122"/>
      <c r="U363" s="122"/>
      <c r="V363" s="122"/>
      <c r="W363" s="122"/>
      <c r="X363" s="122"/>
      <c r="Y363" s="122"/>
      <c r="Z363" s="122"/>
    </row>
    <row r="364" spans="1:26" ht="12.75" x14ac:dyDescent="0.2">
      <c r="A364" s="122"/>
      <c r="B364" s="180"/>
      <c r="C364" s="203" t="s">
        <v>675</v>
      </c>
      <c r="D364" s="195"/>
      <c r="E364" s="195"/>
      <c r="F364" s="196">
        <f>F357+F362</f>
        <v>84.587788076314794</v>
      </c>
      <c r="G364" s="196">
        <f t="shared" ref="G364:O364" si="75">G357+G362</f>
        <v>85.602841533230574</v>
      </c>
      <c r="H364" s="196">
        <f t="shared" si="75"/>
        <v>86.630075631629339</v>
      </c>
      <c r="I364" s="196">
        <f t="shared" si="75"/>
        <v>87.669636539208895</v>
      </c>
      <c r="J364" s="196">
        <f t="shared" si="75"/>
        <v>88.721672177679409</v>
      </c>
      <c r="K364" s="196">
        <f t="shared" si="75"/>
        <v>89.786332243811543</v>
      </c>
      <c r="L364" s="196">
        <f t="shared" si="75"/>
        <v>90.863768230737293</v>
      </c>
      <c r="M364" s="196">
        <f t="shared" si="75"/>
        <v>91.954133449506145</v>
      </c>
      <c r="N364" s="196">
        <f t="shared" si="75"/>
        <v>93.057583050900234</v>
      </c>
      <c r="O364" s="196">
        <f t="shared" si="75"/>
        <v>94.174274047511005</v>
      </c>
      <c r="P364" s="122"/>
      <c r="Q364" s="122"/>
      <c r="R364" s="122"/>
      <c r="S364" s="122"/>
      <c r="T364" s="122"/>
      <c r="U364" s="122"/>
      <c r="V364" s="122"/>
      <c r="W364" s="122"/>
      <c r="X364" s="122"/>
      <c r="Y364" s="122"/>
      <c r="Z364" s="122"/>
    </row>
    <row r="365" spans="1:26" ht="12.75" x14ac:dyDescent="0.2">
      <c r="A365" s="122"/>
      <c r="B365" s="180"/>
      <c r="C365" s="155"/>
      <c r="D365" s="180"/>
      <c r="E365" s="180"/>
      <c r="F365" s="180"/>
      <c r="G365" s="180"/>
      <c r="H365" s="180"/>
      <c r="I365" s="180"/>
      <c r="J365" s="180"/>
      <c r="K365" s="180"/>
      <c r="L365" s="180"/>
      <c r="M365" s="180"/>
      <c r="N365" s="180"/>
      <c r="O365" s="180"/>
      <c r="P365" s="122"/>
      <c r="Q365" s="122"/>
      <c r="R365" s="122"/>
      <c r="S365" s="122"/>
      <c r="T365" s="122"/>
      <c r="U365" s="122"/>
      <c r="V365" s="122"/>
      <c r="W365" s="122"/>
      <c r="X365" s="122"/>
      <c r="Y365" s="122"/>
      <c r="Z365" s="122"/>
    </row>
    <row r="366" spans="1:26" ht="12.75" x14ac:dyDescent="0.2">
      <c r="A366" s="122"/>
      <c r="C366" s="232" t="s">
        <v>670</v>
      </c>
      <c r="D366" s="180"/>
      <c r="E366" s="180"/>
      <c r="F366" s="180"/>
      <c r="G366" s="180"/>
      <c r="H366" s="180"/>
      <c r="I366" s="180"/>
      <c r="J366" s="180"/>
      <c r="K366" s="180"/>
      <c r="L366" s="180"/>
      <c r="M366" s="180"/>
      <c r="N366" s="180"/>
      <c r="O366" s="180"/>
      <c r="P366" s="122"/>
      <c r="Q366" s="122"/>
      <c r="R366" s="122"/>
      <c r="S366" s="122"/>
      <c r="T366" s="122"/>
      <c r="U366" s="122"/>
      <c r="V366" s="122"/>
      <c r="W366" s="122"/>
      <c r="X366" s="122"/>
      <c r="Y366" s="122"/>
      <c r="Z366" s="122"/>
    </row>
    <row r="367" spans="1:26" ht="12.75" x14ac:dyDescent="0.2">
      <c r="A367" s="122"/>
      <c r="B367" s="192"/>
      <c r="C367" s="188" t="s">
        <v>144</v>
      </c>
      <c r="D367" s="180"/>
      <c r="E367" s="180"/>
      <c r="F367" s="180"/>
      <c r="G367" s="180"/>
      <c r="H367" s="180"/>
      <c r="I367" s="180"/>
      <c r="J367" s="180"/>
      <c r="K367" s="180"/>
      <c r="L367" s="180"/>
      <c r="M367" s="180"/>
      <c r="N367" s="180"/>
      <c r="O367" s="180"/>
      <c r="P367" s="122"/>
      <c r="Q367" s="122"/>
      <c r="R367" s="122"/>
      <c r="S367" s="122"/>
      <c r="T367" s="122"/>
      <c r="U367" s="122"/>
      <c r="V367" s="122"/>
      <c r="W367" s="122"/>
      <c r="X367" s="122"/>
      <c r="Y367" s="122"/>
      <c r="Z367" s="122"/>
    </row>
    <row r="368" spans="1:26" ht="12.75" x14ac:dyDescent="0.2">
      <c r="A368" s="122"/>
      <c r="B368" s="192"/>
      <c r="C368" s="155" t="s">
        <v>245</v>
      </c>
      <c r="D368" s="180"/>
      <c r="E368" s="338">
        <v>0</v>
      </c>
      <c r="F368" s="125">
        <f>$E368*F253</f>
        <v>0</v>
      </c>
      <c r="G368" s="125">
        <f>$E368*G253</f>
        <v>0</v>
      </c>
      <c r="H368" s="125">
        <f>$E368*H253</f>
        <v>0</v>
      </c>
      <c r="I368" s="125">
        <f>$E368*I253</f>
        <v>0</v>
      </c>
      <c r="J368" s="125">
        <f>$E368*J253</f>
        <v>0</v>
      </c>
      <c r="K368" s="125">
        <f>$E368*K253</f>
        <v>0</v>
      </c>
      <c r="L368" s="125">
        <f>$E368*L253</f>
        <v>0</v>
      </c>
      <c r="M368" s="125">
        <f>$E368*M253</f>
        <v>0</v>
      </c>
      <c r="N368" s="125">
        <f>$E368*N253</f>
        <v>0</v>
      </c>
      <c r="O368" s="125">
        <f>$E368*O253</f>
        <v>0</v>
      </c>
      <c r="P368" s="122"/>
      <c r="Q368" s="122"/>
      <c r="R368" s="122"/>
      <c r="S368" s="122"/>
      <c r="T368" s="122"/>
      <c r="U368" s="122"/>
      <c r="V368" s="122"/>
      <c r="W368" s="122"/>
      <c r="X368" s="122"/>
      <c r="Y368" s="122"/>
      <c r="Z368" s="122"/>
    </row>
    <row r="369" spans="1:26" ht="12.75" x14ac:dyDescent="0.2">
      <c r="A369" s="122"/>
      <c r="B369" s="192"/>
      <c r="C369" s="198" t="s">
        <v>245</v>
      </c>
      <c r="D369" s="182"/>
      <c r="E369" s="182"/>
      <c r="F369" s="193">
        <f>F368</f>
        <v>0</v>
      </c>
      <c r="G369" s="193">
        <f t="shared" ref="G369:O369" si="76">G368</f>
        <v>0</v>
      </c>
      <c r="H369" s="193">
        <f t="shared" si="76"/>
        <v>0</v>
      </c>
      <c r="I369" s="193">
        <f t="shared" si="76"/>
        <v>0</v>
      </c>
      <c r="J369" s="193">
        <f t="shared" si="76"/>
        <v>0</v>
      </c>
      <c r="K369" s="193">
        <f t="shared" si="76"/>
        <v>0</v>
      </c>
      <c r="L369" s="193">
        <f t="shared" si="76"/>
        <v>0</v>
      </c>
      <c r="M369" s="193">
        <f t="shared" si="76"/>
        <v>0</v>
      </c>
      <c r="N369" s="193">
        <f t="shared" si="76"/>
        <v>0</v>
      </c>
      <c r="O369" s="193">
        <f t="shared" si="76"/>
        <v>0</v>
      </c>
      <c r="P369" s="122"/>
      <c r="Q369" s="122"/>
      <c r="R369" s="122"/>
      <c r="S369" s="122"/>
      <c r="T369" s="122"/>
      <c r="U369" s="122"/>
      <c r="V369" s="122"/>
      <c r="W369" s="122"/>
      <c r="X369" s="122"/>
      <c r="Y369" s="122"/>
      <c r="Z369" s="122"/>
    </row>
    <row r="370" spans="1:26" ht="12.75" x14ac:dyDescent="0.2">
      <c r="A370" s="122"/>
      <c r="B370" s="192"/>
      <c r="C370" s="232"/>
      <c r="D370" s="180"/>
      <c r="E370" s="180"/>
      <c r="F370" s="180"/>
      <c r="G370" s="180"/>
      <c r="H370" s="180"/>
      <c r="I370" s="180"/>
      <c r="J370" s="180"/>
      <c r="K370" s="180"/>
      <c r="L370" s="180"/>
      <c r="M370" s="180"/>
      <c r="N370" s="180"/>
      <c r="O370" s="180"/>
      <c r="P370" s="122"/>
      <c r="Q370" s="122"/>
      <c r="R370" s="122"/>
      <c r="S370" s="122"/>
      <c r="T370" s="122"/>
      <c r="U370" s="122"/>
      <c r="V370" s="122"/>
      <c r="W370" s="122"/>
      <c r="X370" s="122"/>
      <c r="Y370" s="122"/>
      <c r="Z370" s="122"/>
    </row>
    <row r="371" spans="1:26" ht="12.75" x14ac:dyDescent="0.2">
      <c r="A371" s="122"/>
      <c r="B371" s="180"/>
      <c r="C371" s="188" t="s">
        <v>218</v>
      </c>
      <c r="D371" s="180"/>
      <c r="E371" s="180"/>
      <c r="F371" s="180"/>
      <c r="G371" s="180"/>
      <c r="H371" s="180"/>
      <c r="I371" s="180"/>
      <c r="J371" s="180"/>
      <c r="K371" s="180"/>
      <c r="L371" s="180"/>
      <c r="M371" s="180"/>
      <c r="N371" s="180"/>
      <c r="O371" s="180"/>
      <c r="P371" s="122"/>
      <c r="Q371" s="122"/>
      <c r="R371" s="122"/>
      <c r="S371" s="122"/>
      <c r="T371" s="122"/>
      <c r="U371" s="122"/>
      <c r="V371" s="122"/>
      <c r="W371" s="122"/>
      <c r="X371" s="122"/>
      <c r="Y371" s="122"/>
      <c r="Z371" s="122"/>
    </row>
    <row r="372" spans="1:26" ht="12.75" x14ac:dyDescent="0.2">
      <c r="A372" s="122"/>
      <c r="B372" s="180"/>
      <c r="C372" s="228" t="s">
        <v>272</v>
      </c>
      <c r="D372" s="180"/>
      <c r="E372" s="338">
        <v>1</v>
      </c>
      <c r="F372" s="125">
        <f>$E372*F257</f>
        <v>5.6147479999999996</v>
      </c>
      <c r="G372" s="125">
        <f>$E372*G257</f>
        <v>5.6147479999999996</v>
      </c>
      <c r="H372" s="125">
        <f>$E372*H257</f>
        <v>5.6147479999999987</v>
      </c>
      <c r="I372" s="125">
        <f>$E372*I257</f>
        <v>5.6147479999999996</v>
      </c>
      <c r="J372" s="125">
        <f>$E372*J257</f>
        <v>5.6147479999999996</v>
      </c>
      <c r="K372" s="125">
        <f>$E372*K257</f>
        <v>5.6147479999999987</v>
      </c>
      <c r="L372" s="125">
        <f>$E372*L257</f>
        <v>5.6147479999999996</v>
      </c>
      <c r="M372" s="125">
        <f>$E372*M257</f>
        <v>5.6147479999999996</v>
      </c>
      <c r="N372" s="125">
        <f>$E372*N257</f>
        <v>5.6147479999999996</v>
      </c>
      <c r="O372" s="125">
        <f>$E372*O257</f>
        <v>5.6147479999999996</v>
      </c>
      <c r="P372" s="122"/>
      <c r="Q372" s="122"/>
      <c r="R372" s="122"/>
      <c r="S372" s="122"/>
      <c r="T372" s="122"/>
      <c r="U372" s="122"/>
      <c r="V372" s="122"/>
      <c r="W372" s="122"/>
      <c r="X372" s="122"/>
      <c r="Y372" s="122"/>
      <c r="Z372" s="122"/>
    </row>
    <row r="373" spans="1:26" ht="12.75" x14ac:dyDescent="0.2">
      <c r="A373" s="122"/>
      <c r="B373" s="180"/>
      <c r="C373" s="228" t="s">
        <v>273</v>
      </c>
      <c r="D373" s="180"/>
      <c r="E373" s="338">
        <v>1</v>
      </c>
      <c r="F373" s="125">
        <f>$E373*F258</f>
        <v>3.2658929999999997</v>
      </c>
      <c r="G373" s="125">
        <f>$E373*G258</f>
        <v>3.2658929999999997</v>
      </c>
      <c r="H373" s="125">
        <f>$E373*H258</f>
        <v>3.2658929999999997</v>
      </c>
      <c r="I373" s="125">
        <f>$E373*I258</f>
        <v>3.2658930000000002</v>
      </c>
      <c r="J373" s="125">
        <f>$E373*J258</f>
        <v>3.2658929999999997</v>
      </c>
      <c r="K373" s="125">
        <f>$E373*K258</f>
        <v>3.2658929999999997</v>
      </c>
      <c r="L373" s="125">
        <f>$E373*L258</f>
        <v>3.2658929999999993</v>
      </c>
      <c r="M373" s="125">
        <f>$E373*M258</f>
        <v>3.2658929999999997</v>
      </c>
      <c r="N373" s="125">
        <f>$E373*N258</f>
        <v>3.2658929999999997</v>
      </c>
      <c r="O373" s="125">
        <f>$E373*O258</f>
        <v>3.2658929999999997</v>
      </c>
      <c r="P373" s="122"/>
      <c r="Q373" s="122"/>
      <c r="R373" s="122"/>
      <c r="S373" s="122"/>
      <c r="T373" s="122"/>
      <c r="U373" s="122"/>
      <c r="V373" s="122"/>
      <c r="W373" s="122"/>
      <c r="X373" s="122"/>
      <c r="Y373" s="122"/>
      <c r="Z373" s="122"/>
    </row>
    <row r="374" spans="1:26" ht="12.75" x14ac:dyDescent="0.2">
      <c r="A374" s="122"/>
      <c r="B374" s="180"/>
      <c r="C374" s="228" t="s">
        <v>274</v>
      </c>
      <c r="D374" s="180"/>
      <c r="E374" s="338">
        <v>1</v>
      </c>
      <c r="F374" s="125">
        <f>$E374*F259</f>
        <v>2.8386080000000002</v>
      </c>
      <c r="G374" s="125">
        <f>$E374*G259</f>
        <v>2.8386080000000002</v>
      </c>
      <c r="H374" s="125">
        <f>$E374*H259</f>
        <v>2.8386080000000007</v>
      </c>
      <c r="I374" s="125">
        <f>$E374*I259</f>
        <v>2.8386080000000002</v>
      </c>
      <c r="J374" s="125">
        <f>$E374*J259</f>
        <v>2.8386080000000002</v>
      </c>
      <c r="K374" s="125">
        <f>$E374*K259</f>
        <v>2.8386080000000002</v>
      </c>
      <c r="L374" s="125">
        <f>$E374*L259</f>
        <v>2.8386080000000002</v>
      </c>
      <c r="M374" s="125">
        <f>$E374*M259</f>
        <v>2.8386080000000002</v>
      </c>
      <c r="N374" s="125">
        <f>$E374*N259</f>
        <v>2.8386080000000002</v>
      </c>
      <c r="O374" s="125">
        <f>$E374*O259</f>
        <v>2.8386080000000002</v>
      </c>
      <c r="P374" s="122"/>
      <c r="Q374" s="122"/>
      <c r="R374" s="122"/>
      <c r="S374" s="122"/>
      <c r="T374" s="122"/>
      <c r="U374" s="122"/>
      <c r="V374" s="122"/>
      <c r="W374" s="122"/>
      <c r="X374" s="122"/>
      <c r="Y374" s="122"/>
      <c r="Z374" s="122"/>
    </row>
    <row r="375" spans="1:26" ht="12.75" x14ac:dyDescent="0.2">
      <c r="A375" s="122"/>
      <c r="B375" s="180"/>
      <c r="C375" s="228" t="s">
        <v>275</v>
      </c>
      <c r="D375" s="180"/>
      <c r="E375" s="338">
        <v>1</v>
      </c>
      <c r="F375" s="125">
        <f>$E375*F260</f>
        <v>1.6453139999999999</v>
      </c>
      <c r="G375" s="125">
        <f>$E375*G260</f>
        <v>1.6453139999999997</v>
      </c>
      <c r="H375" s="125">
        <f>$E375*H260</f>
        <v>1.6453139999999999</v>
      </c>
      <c r="I375" s="125">
        <f>$E375*I260</f>
        <v>1.6453139999999999</v>
      </c>
      <c r="J375" s="125">
        <f>$E375*J260</f>
        <v>1.6453139999999999</v>
      </c>
      <c r="K375" s="125">
        <f>$E375*K260</f>
        <v>1.6453139999999995</v>
      </c>
      <c r="L375" s="125">
        <f>$E375*L260</f>
        <v>1.6453139999999995</v>
      </c>
      <c r="M375" s="125">
        <f>$E375*M260</f>
        <v>1.6453139999999999</v>
      </c>
      <c r="N375" s="125">
        <f>$E375*N260</f>
        <v>1.6453139999999997</v>
      </c>
      <c r="O375" s="125">
        <f>$E375*O260</f>
        <v>1.6453139999999999</v>
      </c>
      <c r="P375" s="122"/>
      <c r="Q375" s="122"/>
      <c r="R375" s="122"/>
      <c r="S375" s="122"/>
      <c r="T375" s="122"/>
      <c r="U375" s="122"/>
      <c r="V375" s="122"/>
      <c r="W375" s="122"/>
      <c r="X375" s="122"/>
      <c r="Y375" s="122"/>
      <c r="Z375" s="122"/>
    </row>
    <row r="376" spans="1:26" ht="12.75" x14ac:dyDescent="0.2">
      <c r="A376" s="122"/>
      <c r="B376" s="180"/>
      <c r="C376" s="152" t="s">
        <v>293</v>
      </c>
      <c r="D376" s="180"/>
      <c r="E376" s="338">
        <v>1</v>
      </c>
      <c r="F376" s="125">
        <f>$E376*F261</f>
        <v>1.6010819999999999</v>
      </c>
      <c r="G376" s="125">
        <f>$E376*G261</f>
        <v>1.6010819999999997</v>
      </c>
      <c r="H376" s="125">
        <f>$E376*H261</f>
        <v>1.6010819999999999</v>
      </c>
      <c r="I376" s="125">
        <f>$E376*I261</f>
        <v>1.6010819999999999</v>
      </c>
      <c r="J376" s="125">
        <f>$E376*J261</f>
        <v>1.6010819999999999</v>
      </c>
      <c r="K376" s="125">
        <f>$E376*K261</f>
        <v>1.6010819999999997</v>
      </c>
      <c r="L376" s="125">
        <f>$E376*L261</f>
        <v>1.6010819999999999</v>
      </c>
      <c r="M376" s="125">
        <f>$E376*M261</f>
        <v>1.6010819999999999</v>
      </c>
      <c r="N376" s="125">
        <f>$E376*N261</f>
        <v>1.6010819999999999</v>
      </c>
      <c r="O376" s="125">
        <f>$E376*O261</f>
        <v>1.6010819999999999</v>
      </c>
      <c r="P376" s="122"/>
      <c r="Q376" s="122"/>
      <c r="R376" s="122"/>
      <c r="S376" s="122"/>
      <c r="T376" s="122"/>
      <c r="U376" s="122"/>
      <c r="V376" s="122"/>
      <c r="W376" s="122"/>
      <c r="X376" s="122"/>
      <c r="Y376" s="122"/>
      <c r="Z376" s="122"/>
    </row>
    <row r="377" spans="1:26" ht="12.75" x14ac:dyDescent="0.2">
      <c r="A377" s="122"/>
      <c r="B377" s="180"/>
      <c r="C377" s="228" t="s">
        <v>278</v>
      </c>
      <c r="D377" s="180"/>
      <c r="E377" s="338">
        <v>1</v>
      </c>
      <c r="F377" s="125">
        <f>$E377*F262</f>
        <v>12.949499999999999</v>
      </c>
      <c r="G377" s="125">
        <f>$E377*G262</f>
        <v>12.949499999999997</v>
      </c>
      <c r="H377" s="125">
        <f>$E377*H262</f>
        <v>12.949499999999999</v>
      </c>
      <c r="I377" s="125">
        <f>$E377*I262</f>
        <v>12.949499999999997</v>
      </c>
      <c r="J377" s="125">
        <f>$E377*J262</f>
        <v>12.949499999999999</v>
      </c>
      <c r="K377" s="125">
        <f>$E377*K262</f>
        <v>12.949499999999999</v>
      </c>
      <c r="L377" s="125">
        <f>$E377*L262</f>
        <v>12.949499999999997</v>
      </c>
      <c r="M377" s="125">
        <f>$E377*M262</f>
        <v>12.949499999999999</v>
      </c>
      <c r="N377" s="125">
        <f>$E377*N262</f>
        <v>12.949499999999997</v>
      </c>
      <c r="O377" s="125">
        <f>$E377*O262</f>
        <v>12.949499999999999</v>
      </c>
      <c r="P377" s="122"/>
      <c r="Q377" s="122"/>
      <c r="R377" s="122"/>
      <c r="S377" s="122"/>
      <c r="T377" s="122"/>
      <c r="U377" s="122"/>
      <c r="V377" s="122"/>
      <c r="W377" s="122"/>
      <c r="X377" s="122"/>
      <c r="Y377" s="122"/>
      <c r="Z377" s="122"/>
    </row>
    <row r="378" spans="1:26" ht="12.75" x14ac:dyDescent="0.2">
      <c r="A378" s="122"/>
      <c r="B378" s="180"/>
      <c r="C378" s="152" t="s">
        <v>85</v>
      </c>
      <c r="D378" s="180"/>
      <c r="E378" s="338">
        <v>1</v>
      </c>
      <c r="F378" s="125">
        <f>$E378*F263</f>
        <v>0</v>
      </c>
      <c r="G378" s="125">
        <f>$E378*G263</f>
        <v>0</v>
      </c>
      <c r="H378" s="125">
        <f>$E378*H263</f>
        <v>0</v>
      </c>
      <c r="I378" s="125">
        <f>$E378*I263</f>
        <v>0</v>
      </c>
      <c r="J378" s="125">
        <f>$E378*J263</f>
        <v>0</v>
      </c>
      <c r="K378" s="125">
        <f>$E378*K263</f>
        <v>0</v>
      </c>
      <c r="L378" s="125">
        <f>$E378*L263</f>
        <v>0</v>
      </c>
      <c r="M378" s="125">
        <f>$E378*M263</f>
        <v>0</v>
      </c>
      <c r="N378" s="125">
        <f>$E378*N263</f>
        <v>0</v>
      </c>
      <c r="O378" s="125">
        <f>$E378*O263</f>
        <v>0</v>
      </c>
      <c r="P378" s="122"/>
      <c r="Q378" s="122"/>
      <c r="R378" s="122"/>
      <c r="S378" s="122"/>
      <c r="T378" s="122"/>
      <c r="U378" s="122"/>
      <c r="V378" s="122"/>
      <c r="W378" s="122"/>
      <c r="X378" s="122"/>
      <c r="Y378" s="122"/>
      <c r="Z378" s="122"/>
    </row>
    <row r="379" spans="1:26" ht="12.75" x14ac:dyDescent="0.2">
      <c r="A379" s="122"/>
      <c r="B379" s="180"/>
      <c r="C379" s="198" t="s">
        <v>207</v>
      </c>
      <c r="D379" s="182"/>
      <c r="E379" s="182"/>
      <c r="F379" s="193">
        <f>SUM(F372:F378)</f>
        <v>27.915144999999999</v>
      </c>
      <c r="G379" s="193">
        <f t="shared" ref="G379:O379" si="77">SUM(G372:G378)</f>
        <v>27.915144999999995</v>
      </c>
      <c r="H379" s="193">
        <f t="shared" si="77"/>
        <v>27.915144999999999</v>
      </c>
      <c r="I379" s="193">
        <f t="shared" si="77"/>
        <v>27.915144999999995</v>
      </c>
      <c r="J379" s="193">
        <f t="shared" si="77"/>
        <v>27.915144999999999</v>
      </c>
      <c r="K379" s="193">
        <f t="shared" si="77"/>
        <v>27.915144999999995</v>
      </c>
      <c r="L379" s="193">
        <f t="shared" si="77"/>
        <v>27.915144999999995</v>
      </c>
      <c r="M379" s="193">
        <f t="shared" si="77"/>
        <v>27.915144999999999</v>
      </c>
      <c r="N379" s="193">
        <f t="shared" si="77"/>
        <v>27.915144999999995</v>
      </c>
      <c r="O379" s="193">
        <f t="shared" si="77"/>
        <v>27.915144999999999</v>
      </c>
      <c r="P379" s="122"/>
      <c r="Q379" s="122"/>
      <c r="R379" s="122"/>
      <c r="S379" s="122"/>
      <c r="T379" s="122"/>
      <c r="U379" s="122"/>
      <c r="V379" s="122"/>
      <c r="W379" s="122"/>
      <c r="X379" s="122"/>
      <c r="Y379" s="122"/>
      <c r="Z379" s="122"/>
    </row>
    <row r="380" spans="1:26" ht="12.75" x14ac:dyDescent="0.2">
      <c r="A380" s="122"/>
      <c r="B380" s="180"/>
      <c r="C380" s="155"/>
      <c r="D380" s="180"/>
      <c r="E380" s="180"/>
      <c r="F380" s="180"/>
      <c r="G380" s="180"/>
      <c r="H380" s="180"/>
      <c r="I380" s="180"/>
      <c r="J380" s="180"/>
      <c r="K380" s="180"/>
      <c r="L380" s="180"/>
      <c r="M380" s="180"/>
      <c r="N380" s="180"/>
      <c r="O380" s="180"/>
      <c r="P380" s="122"/>
      <c r="Q380" s="122"/>
      <c r="R380" s="122"/>
      <c r="S380" s="122"/>
      <c r="T380" s="122"/>
      <c r="U380" s="122"/>
      <c r="V380" s="122"/>
      <c r="W380" s="122"/>
      <c r="X380" s="122"/>
      <c r="Y380" s="122"/>
      <c r="Z380" s="122"/>
    </row>
    <row r="381" spans="1:26" ht="12.75" x14ac:dyDescent="0.2">
      <c r="A381" s="122"/>
      <c r="B381" s="180"/>
      <c r="C381" s="188" t="s">
        <v>215</v>
      </c>
      <c r="D381" s="180"/>
      <c r="E381" s="180"/>
      <c r="F381" s="183"/>
      <c r="G381" s="183"/>
      <c r="H381" s="183"/>
      <c r="I381" s="183"/>
      <c r="J381" s="183"/>
      <c r="K381" s="183"/>
      <c r="L381" s="183"/>
      <c r="M381" s="183"/>
      <c r="N381" s="183"/>
      <c r="O381" s="183"/>
      <c r="P381" s="122"/>
      <c r="Q381" s="122"/>
      <c r="R381" s="122"/>
      <c r="S381" s="122"/>
      <c r="T381" s="122"/>
      <c r="U381" s="122"/>
      <c r="V381" s="122"/>
      <c r="W381" s="122"/>
      <c r="X381" s="122"/>
      <c r="Y381" s="122"/>
      <c r="Z381" s="122"/>
    </row>
    <row r="382" spans="1:26" ht="12.75" x14ac:dyDescent="0.2">
      <c r="A382" s="122"/>
      <c r="B382" s="180"/>
      <c r="C382" s="155" t="s">
        <v>110</v>
      </c>
      <c r="D382" s="180"/>
      <c r="E382" s="338">
        <v>1</v>
      </c>
      <c r="F382" s="125">
        <f>$E382*F267</f>
        <v>4.6074999999999999</v>
      </c>
      <c r="G382" s="125">
        <f>$E382*G267</f>
        <v>4.607499999999999</v>
      </c>
      <c r="H382" s="125">
        <f>$E382*H267</f>
        <v>4.6074999999999999</v>
      </c>
      <c r="I382" s="125">
        <f>$E382*I267</f>
        <v>4.6074999999999999</v>
      </c>
      <c r="J382" s="125">
        <f>$E382*J267</f>
        <v>4.6074999999999999</v>
      </c>
      <c r="K382" s="125">
        <f>$E382*K267</f>
        <v>4.6074999999999999</v>
      </c>
      <c r="L382" s="125">
        <f>$E382*L267</f>
        <v>4.6074999999999999</v>
      </c>
      <c r="M382" s="125">
        <f>$E382*M267</f>
        <v>4.6074999999999999</v>
      </c>
      <c r="N382" s="125">
        <f>$E382*N267</f>
        <v>4.6074999999999999</v>
      </c>
      <c r="O382" s="125">
        <f>$E382*O267</f>
        <v>4.6074999999999999</v>
      </c>
      <c r="P382" s="122"/>
      <c r="Q382" s="122"/>
      <c r="R382" s="122"/>
      <c r="S382" s="122"/>
      <c r="T382" s="122"/>
      <c r="U382" s="122"/>
      <c r="V382" s="122"/>
      <c r="W382" s="122"/>
      <c r="X382" s="122"/>
      <c r="Y382" s="122"/>
      <c r="Z382" s="122"/>
    </row>
    <row r="383" spans="1:26" ht="12.75" x14ac:dyDescent="0.2">
      <c r="A383" s="122"/>
      <c r="B383" s="155"/>
      <c r="C383" s="184" t="s">
        <v>283</v>
      </c>
      <c r="D383" s="184"/>
      <c r="E383" s="339">
        <v>1</v>
      </c>
      <c r="F383" s="125">
        <f>$E383*F268</f>
        <v>2.1601050000000002</v>
      </c>
      <c r="G383" s="125">
        <f>$E383*G268</f>
        <v>2.1601050000000002</v>
      </c>
      <c r="H383" s="125">
        <f>$E383*H268</f>
        <v>2.1601050000000002</v>
      </c>
      <c r="I383" s="125">
        <f>$E383*I268</f>
        <v>2.1601050000000002</v>
      </c>
      <c r="J383" s="125">
        <f>$E383*J268</f>
        <v>2.1601050000000002</v>
      </c>
      <c r="K383" s="125">
        <f>$E383*K268</f>
        <v>2.1601050000000002</v>
      </c>
      <c r="L383" s="125">
        <f>$E383*L268</f>
        <v>2.1601050000000002</v>
      </c>
      <c r="M383" s="125">
        <f>$E383*M268</f>
        <v>2.1601050000000002</v>
      </c>
      <c r="N383" s="125">
        <f>$E383*N268</f>
        <v>2.1601050000000002</v>
      </c>
      <c r="O383" s="125">
        <f>$E383*O268</f>
        <v>2.1601050000000002</v>
      </c>
      <c r="P383" s="122"/>
      <c r="Q383" s="122"/>
      <c r="R383" s="122"/>
      <c r="S383" s="122"/>
      <c r="T383" s="122"/>
      <c r="U383" s="122"/>
      <c r="V383" s="122"/>
      <c r="W383" s="122"/>
      <c r="X383" s="122"/>
      <c r="Y383" s="122"/>
      <c r="Z383" s="122"/>
    </row>
    <row r="384" spans="1:26" ht="12.75" x14ac:dyDescent="0.2">
      <c r="A384" s="122"/>
      <c r="B384" s="180"/>
      <c r="C384" s="199" t="s">
        <v>216</v>
      </c>
      <c r="D384" s="182"/>
      <c r="E384" s="155"/>
      <c r="F384" s="127">
        <f>SUM(F382:F383)</f>
        <v>6.7676049999999996</v>
      </c>
      <c r="G384" s="127">
        <f t="shared" ref="G384:O384" si="78">SUM(G382:G383)</f>
        <v>6.7676049999999996</v>
      </c>
      <c r="H384" s="127">
        <f t="shared" si="78"/>
        <v>6.7676049999999996</v>
      </c>
      <c r="I384" s="127">
        <f t="shared" si="78"/>
        <v>6.7676049999999996</v>
      </c>
      <c r="J384" s="127">
        <f t="shared" si="78"/>
        <v>6.7676049999999996</v>
      </c>
      <c r="K384" s="127">
        <f t="shared" si="78"/>
        <v>6.7676049999999996</v>
      </c>
      <c r="L384" s="127">
        <f t="shared" si="78"/>
        <v>6.7676049999999996</v>
      </c>
      <c r="M384" s="127">
        <f t="shared" si="78"/>
        <v>6.7676049999999996</v>
      </c>
      <c r="N384" s="127">
        <f t="shared" si="78"/>
        <v>6.7676049999999996</v>
      </c>
      <c r="O384" s="127">
        <f t="shared" si="78"/>
        <v>6.7676049999999996</v>
      </c>
      <c r="P384" s="122"/>
      <c r="Q384" s="122"/>
      <c r="R384" s="122"/>
      <c r="S384" s="122"/>
      <c r="T384" s="122"/>
      <c r="U384" s="122"/>
      <c r="V384" s="122"/>
      <c r="W384" s="122"/>
      <c r="X384" s="122"/>
      <c r="Y384" s="122"/>
      <c r="Z384" s="122"/>
    </row>
    <row r="385" spans="1:26" ht="12.75" x14ac:dyDescent="0.2">
      <c r="A385" s="122"/>
      <c r="B385" s="180"/>
      <c r="C385" s="155"/>
      <c r="D385" s="180"/>
      <c r="E385" s="201"/>
      <c r="F385" s="183"/>
      <c r="G385" s="183"/>
      <c r="H385" s="183"/>
      <c r="I385" s="183"/>
      <c r="J385" s="183"/>
      <c r="K385" s="183"/>
      <c r="L385" s="183"/>
      <c r="M385" s="183"/>
      <c r="N385" s="183"/>
      <c r="O385" s="183"/>
      <c r="P385" s="122"/>
      <c r="Q385" s="122"/>
      <c r="R385" s="122"/>
      <c r="S385" s="122"/>
      <c r="T385" s="122"/>
      <c r="U385" s="122"/>
      <c r="V385" s="122"/>
      <c r="W385" s="122"/>
      <c r="X385" s="122"/>
      <c r="Y385" s="122"/>
      <c r="Z385" s="122"/>
    </row>
    <row r="386" spans="1:26" ht="12.75" x14ac:dyDescent="0.2">
      <c r="A386" s="122"/>
      <c r="B386" s="180"/>
      <c r="C386" s="188" t="s">
        <v>219</v>
      </c>
      <c r="D386" s="180"/>
      <c r="E386" s="180"/>
      <c r="F386" s="183"/>
      <c r="G386" s="183"/>
      <c r="H386" s="183"/>
      <c r="I386" s="183"/>
      <c r="J386" s="183"/>
      <c r="K386" s="183"/>
      <c r="L386" s="183"/>
      <c r="M386" s="183"/>
      <c r="N386" s="183"/>
      <c r="O386" s="183"/>
      <c r="P386" s="122"/>
      <c r="Q386" s="122"/>
      <c r="R386" s="122"/>
      <c r="S386" s="122"/>
      <c r="T386" s="122"/>
      <c r="U386" s="122"/>
      <c r="V386" s="122"/>
      <c r="W386" s="122"/>
      <c r="X386" s="122"/>
      <c r="Y386" s="122"/>
      <c r="Z386" s="122"/>
    </row>
    <row r="387" spans="1:26" ht="12.75" x14ac:dyDescent="0.2">
      <c r="A387" s="122"/>
      <c r="B387" s="180"/>
      <c r="C387" s="152" t="s">
        <v>92</v>
      </c>
      <c r="D387" s="180"/>
      <c r="E387" s="338">
        <f>CFs!$C$123</f>
        <v>1.0463160732906094</v>
      </c>
      <c r="F387" s="125">
        <f>$E387*F272</f>
        <v>1.9029873582972958</v>
      </c>
      <c r="G387" s="125">
        <f>$E387*G272</f>
        <v>1.9029873582972958</v>
      </c>
      <c r="H387" s="125">
        <f>$E387*H272</f>
        <v>1.902987358297296</v>
      </c>
      <c r="I387" s="125">
        <f>$E387*I272</f>
        <v>1.9029873582972958</v>
      </c>
      <c r="J387" s="125">
        <f>$E387*J272</f>
        <v>1.9029873582972956</v>
      </c>
      <c r="K387" s="125">
        <f>$E387*K272</f>
        <v>1.902987358297296</v>
      </c>
      <c r="L387" s="125">
        <f>$E387*L272</f>
        <v>1.9029873582972958</v>
      </c>
      <c r="M387" s="125">
        <f>$E387*M272</f>
        <v>1.902987358297296</v>
      </c>
      <c r="N387" s="125">
        <f>$E387*N272</f>
        <v>1.9029873582972958</v>
      </c>
      <c r="O387" s="125">
        <f>$E387*O272</f>
        <v>1.9029873582972958</v>
      </c>
      <c r="P387" s="122"/>
      <c r="Q387" s="122"/>
      <c r="R387" s="122"/>
      <c r="S387" s="122"/>
      <c r="T387" s="122"/>
      <c r="U387" s="122"/>
      <c r="V387" s="122"/>
      <c r="W387" s="122"/>
      <c r="X387" s="122"/>
      <c r="Y387" s="122"/>
      <c r="Z387" s="122"/>
    </row>
    <row r="388" spans="1:26" ht="12.75" x14ac:dyDescent="0.2">
      <c r="A388" s="122"/>
      <c r="B388" s="180"/>
      <c r="C388" s="152" t="s">
        <v>96</v>
      </c>
      <c r="D388" s="180"/>
      <c r="E388" s="338">
        <v>1</v>
      </c>
      <c r="F388" s="125">
        <f>$E388*F273</f>
        <v>0.42486000000000002</v>
      </c>
      <c r="G388" s="125">
        <f>$E388*G273</f>
        <v>0.42486000000000002</v>
      </c>
      <c r="H388" s="125">
        <f>$E388*H273</f>
        <v>0.42486000000000002</v>
      </c>
      <c r="I388" s="125">
        <f>$E388*I273</f>
        <v>0.42486000000000002</v>
      </c>
      <c r="J388" s="125">
        <f>$E388*J273</f>
        <v>0.42486000000000002</v>
      </c>
      <c r="K388" s="125">
        <f>$E388*K273</f>
        <v>0.42486000000000002</v>
      </c>
      <c r="L388" s="125">
        <f>$E388*L273</f>
        <v>0.42486000000000002</v>
      </c>
      <c r="M388" s="125">
        <f>$E388*M273</f>
        <v>0.42486000000000002</v>
      </c>
      <c r="N388" s="125">
        <f>$E388*N273</f>
        <v>0.42486000000000002</v>
      </c>
      <c r="O388" s="125">
        <f>$E388*O273</f>
        <v>0.42486000000000002</v>
      </c>
      <c r="P388" s="122"/>
      <c r="Q388" s="122"/>
      <c r="R388" s="122"/>
      <c r="S388" s="122"/>
      <c r="T388" s="122"/>
      <c r="U388" s="122"/>
      <c r="V388" s="122"/>
      <c r="W388" s="122"/>
      <c r="X388" s="122"/>
      <c r="Y388" s="122"/>
      <c r="Z388" s="122"/>
    </row>
    <row r="389" spans="1:26" ht="12.75" x14ac:dyDescent="0.2">
      <c r="A389" s="122"/>
      <c r="B389" s="180"/>
      <c r="C389" s="152" t="s">
        <v>99</v>
      </c>
      <c r="D389" s="180"/>
      <c r="E389" s="299">
        <f>CFs!$C$252</f>
        <v>1.5401003517880794</v>
      </c>
      <c r="F389" s="125">
        <f>$E389*F274</f>
        <v>7.9604306113581886</v>
      </c>
      <c r="G389" s="125">
        <f>$E389*G274</f>
        <v>7.9604306113581869</v>
      </c>
      <c r="H389" s="125">
        <f>$E389*H274</f>
        <v>7.9604306113581869</v>
      </c>
      <c r="I389" s="125">
        <f>$E389*I274</f>
        <v>7.9604306113581895</v>
      </c>
      <c r="J389" s="125">
        <f>$E389*J274</f>
        <v>7.9604306113581869</v>
      </c>
      <c r="K389" s="125">
        <f>$E389*K274</f>
        <v>7.9604306113581886</v>
      </c>
      <c r="L389" s="125">
        <f>$E389*L274</f>
        <v>7.9604306113581886</v>
      </c>
      <c r="M389" s="125">
        <f>$E389*M274</f>
        <v>7.9604306113581895</v>
      </c>
      <c r="N389" s="125">
        <f>$E389*N274</f>
        <v>7.9604306113581869</v>
      </c>
      <c r="O389" s="125">
        <f>$E389*O274</f>
        <v>7.9604306113581886</v>
      </c>
      <c r="P389" s="122"/>
      <c r="Q389" s="122"/>
      <c r="R389" s="122"/>
      <c r="S389" s="122"/>
      <c r="T389" s="122"/>
      <c r="U389" s="122"/>
      <c r="V389" s="122"/>
      <c r="W389" s="122"/>
      <c r="X389" s="122"/>
      <c r="Y389" s="122"/>
      <c r="Z389" s="122"/>
    </row>
    <row r="390" spans="1:26" ht="12.75" x14ac:dyDescent="0.2">
      <c r="A390" s="122"/>
      <c r="B390" s="180"/>
      <c r="C390" s="152" t="s">
        <v>102</v>
      </c>
      <c r="D390" s="180"/>
      <c r="E390" s="299">
        <f>CFs!$C$218</f>
        <v>1.0969941102134646</v>
      </c>
      <c r="F390" s="125">
        <f>$E390*F275</f>
        <v>5.5128721868624</v>
      </c>
      <c r="G390" s="125">
        <f>$E390*G275</f>
        <v>5.5128721868624009</v>
      </c>
      <c r="H390" s="125">
        <f>$E390*H275</f>
        <v>5.5128721868623991</v>
      </c>
      <c r="I390" s="125">
        <f>$E390*I275</f>
        <v>5.5128721868624009</v>
      </c>
      <c r="J390" s="125">
        <f>$E390*J275</f>
        <v>5.5128721868624</v>
      </c>
      <c r="K390" s="125">
        <f>$E390*K275</f>
        <v>5.5128721868624009</v>
      </c>
      <c r="L390" s="125">
        <f>$E390*L275</f>
        <v>5.5128721868623991</v>
      </c>
      <c r="M390" s="125">
        <f>$E390*M275</f>
        <v>5.5128721868624009</v>
      </c>
      <c r="N390" s="125">
        <f>$E390*N275</f>
        <v>5.5128721868624</v>
      </c>
      <c r="O390" s="125">
        <f>$E390*O275</f>
        <v>5.5128721868623991</v>
      </c>
      <c r="P390" s="122"/>
      <c r="Q390" s="122"/>
      <c r="R390" s="122"/>
      <c r="S390" s="122"/>
      <c r="T390" s="122"/>
      <c r="U390" s="122"/>
      <c r="V390" s="122"/>
      <c r="W390" s="122"/>
      <c r="X390" s="122"/>
      <c r="Y390" s="122"/>
      <c r="Z390" s="122"/>
    </row>
    <row r="391" spans="1:26" ht="12.75" x14ac:dyDescent="0.2">
      <c r="A391" s="122"/>
      <c r="B391" s="180"/>
      <c r="C391" s="152" t="s">
        <v>105</v>
      </c>
      <c r="D391" s="180"/>
      <c r="E391" s="338">
        <v>1</v>
      </c>
      <c r="F391" s="125">
        <f>$E391*F276</f>
        <v>2.13788</v>
      </c>
      <c r="G391" s="125">
        <f>$E391*G276</f>
        <v>2.1378799999999996</v>
      </c>
      <c r="H391" s="125">
        <f>$E391*H276</f>
        <v>2.1378799999999996</v>
      </c>
      <c r="I391" s="125">
        <f>$E391*I276</f>
        <v>2.13788</v>
      </c>
      <c r="J391" s="125">
        <f>$E391*J276</f>
        <v>2.1378799999999996</v>
      </c>
      <c r="K391" s="125">
        <f>$E391*K276</f>
        <v>2.13788</v>
      </c>
      <c r="L391" s="125">
        <f>$E391*L276</f>
        <v>2.13788</v>
      </c>
      <c r="M391" s="125">
        <f>$E391*M276</f>
        <v>2.13788</v>
      </c>
      <c r="N391" s="125">
        <f>$E391*N276</f>
        <v>2.13788</v>
      </c>
      <c r="O391" s="125">
        <f>$E391*O276</f>
        <v>2.13788</v>
      </c>
      <c r="P391" s="122"/>
      <c r="Q391" s="122"/>
      <c r="R391" s="122"/>
      <c r="S391" s="122"/>
      <c r="T391" s="122"/>
      <c r="U391" s="122"/>
      <c r="V391" s="122"/>
      <c r="W391" s="122"/>
      <c r="X391" s="122"/>
      <c r="Y391" s="122"/>
      <c r="Z391" s="122"/>
    </row>
    <row r="392" spans="1:26" ht="12.75" x14ac:dyDescent="0.2">
      <c r="A392" s="122"/>
      <c r="B392" s="180"/>
      <c r="C392" s="152" t="s">
        <v>108</v>
      </c>
      <c r="D392" s="180"/>
      <c r="E392" s="338">
        <v>1</v>
      </c>
      <c r="F392" s="125">
        <f>$E392*F277</f>
        <v>1.4</v>
      </c>
      <c r="G392" s="125">
        <f>$E392*G277</f>
        <v>1.4</v>
      </c>
      <c r="H392" s="125">
        <f>$E392*H277</f>
        <v>1.4</v>
      </c>
      <c r="I392" s="125">
        <f>$E392*I277</f>
        <v>1.4</v>
      </c>
      <c r="J392" s="125">
        <f>$E392*J277</f>
        <v>1.5000000000000002</v>
      </c>
      <c r="K392" s="125">
        <f>$E392*K277</f>
        <v>1.5</v>
      </c>
      <c r="L392" s="125">
        <f>$E392*L277</f>
        <v>1.5</v>
      </c>
      <c r="M392" s="125">
        <f>$E392*M277</f>
        <v>1.5</v>
      </c>
      <c r="N392" s="125">
        <f>$E392*N277</f>
        <v>1.6</v>
      </c>
      <c r="O392" s="125">
        <f>$E392*O277</f>
        <v>1.6</v>
      </c>
      <c r="P392" s="122"/>
      <c r="Q392" s="122"/>
      <c r="R392" s="122"/>
      <c r="S392" s="122"/>
      <c r="T392" s="122"/>
      <c r="U392" s="122"/>
      <c r="V392" s="122"/>
      <c r="W392" s="122"/>
      <c r="X392" s="122"/>
      <c r="Y392" s="122"/>
      <c r="Z392" s="122"/>
    </row>
    <row r="393" spans="1:26" ht="12.75" x14ac:dyDescent="0.2">
      <c r="A393" s="122"/>
      <c r="B393" s="155"/>
      <c r="C393" s="198" t="s">
        <v>217</v>
      </c>
      <c r="D393" s="198"/>
      <c r="E393" s="198"/>
      <c r="F393" s="200">
        <f t="shared" ref="F393:O393" si="79">SUM(F387:F392)</f>
        <v>19.339030156517882</v>
      </c>
      <c r="G393" s="200">
        <f t="shared" si="79"/>
        <v>19.339030156517882</v>
      </c>
      <c r="H393" s="200">
        <f t="shared" si="79"/>
        <v>19.339030156517879</v>
      </c>
      <c r="I393" s="200">
        <f t="shared" si="79"/>
        <v>19.339030156517886</v>
      </c>
      <c r="J393" s="200">
        <f t="shared" si="79"/>
        <v>19.43903015651788</v>
      </c>
      <c r="K393" s="200">
        <f t="shared" si="79"/>
        <v>19.439030156517887</v>
      </c>
      <c r="L393" s="200">
        <f t="shared" si="79"/>
        <v>19.439030156517884</v>
      </c>
      <c r="M393" s="200">
        <f t="shared" si="79"/>
        <v>19.439030156517887</v>
      </c>
      <c r="N393" s="200">
        <f t="shared" si="79"/>
        <v>19.539030156517882</v>
      </c>
      <c r="O393" s="200">
        <f t="shared" si="79"/>
        <v>19.539030156517885</v>
      </c>
      <c r="P393" s="122"/>
      <c r="Q393" s="122"/>
      <c r="R393" s="122"/>
      <c r="S393" s="122"/>
      <c r="T393" s="122"/>
      <c r="U393" s="122"/>
      <c r="V393" s="122"/>
      <c r="W393" s="122"/>
      <c r="X393" s="122"/>
      <c r="Y393" s="122"/>
      <c r="Z393" s="122"/>
    </row>
    <row r="394" spans="1:26" ht="12.75" x14ac:dyDescent="0.2">
      <c r="A394" s="122"/>
      <c r="B394" s="155"/>
      <c r="C394" s="155"/>
      <c r="D394" s="155"/>
      <c r="E394" s="155"/>
      <c r="F394" s="155"/>
      <c r="G394" s="155"/>
      <c r="H394" s="155"/>
      <c r="I394" s="155"/>
      <c r="J394" s="155"/>
      <c r="K394" s="155"/>
      <c r="L394" s="155"/>
      <c r="M394" s="155"/>
      <c r="N394" s="155"/>
      <c r="O394" s="155"/>
      <c r="P394" s="122"/>
      <c r="Q394" s="122"/>
      <c r="R394" s="122"/>
      <c r="S394" s="122"/>
      <c r="T394" s="122"/>
      <c r="U394" s="122"/>
      <c r="V394" s="122"/>
      <c r="W394" s="122"/>
      <c r="X394" s="122"/>
      <c r="Y394" s="122"/>
      <c r="Z394" s="122"/>
    </row>
    <row r="395" spans="1:26" ht="12.75" x14ac:dyDescent="0.2">
      <c r="A395" s="122"/>
      <c r="B395" s="155"/>
      <c r="C395" s="155" t="s">
        <v>287</v>
      </c>
      <c r="D395" s="155"/>
      <c r="E395" s="155"/>
      <c r="F395" s="155"/>
      <c r="G395" s="155"/>
      <c r="H395" s="155"/>
      <c r="I395" s="155"/>
      <c r="J395" s="155"/>
      <c r="K395" s="155"/>
      <c r="L395" s="155"/>
      <c r="M395" s="155"/>
      <c r="N395" s="155"/>
      <c r="O395" s="155"/>
      <c r="P395" s="122"/>
      <c r="Q395" s="122"/>
      <c r="R395" s="122"/>
      <c r="S395" s="122"/>
      <c r="T395" s="122"/>
      <c r="U395" s="122"/>
      <c r="V395" s="122"/>
      <c r="W395" s="122"/>
      <c r="X395" s="122"/>
      <c r="Y395" s="122"/>
      <c r="Z395" s="122"/>
    </row>
    <row r="396" spans="1:26" ht="12.75" x14ac:dyDescent="0.2">
      <c r="A396" s="122"/>
      <c r="B396" s="155"/>
      <c r="C396" s="155" t="s">
        <v>375</v>
      </c>
      <c r="D396" s="155"/>
      <c r="E396" s="338">
        <v>1.2</v>
      </c>
      <c r="F396" s="125">
        <f>$E396*F281</f>
        <v>1.1286589251968502</v>
      </c>
      <c r="G396" s="233">
        <f>$E396*G281</f>
        <v>1.1510618511968504</v>
      </c>
      <c r="H396" s="233">
        <f>$E396*H281</f>
        <v>1.1737336123088502</v>
      </c>
      <c r="I396" s="233">
        <f>$E396*I281</f>
        <v>1.1966774345541944</v>
      </c>
      <c r="J396" s="233">
        <f>$E396*J281</f>
        <v>1.2198965826664823</v>
      </c>
      <c r="K396" s="233">
        <f>$E396*K281</f>
        <v>1.243394360556118</v>
      </c>
      <c r="L396" s="233">
        <f>$E396*L281</f>
        <v>1.2671741117804294</v>
      </c>
      <c r="M396" s="233">
        <f>$E396*M281</f>
        <v>1.2912392200194323</v>
      </c>
      <c r="N396" s="233">
        <f>$E396*N281</f>
        <v>1.315593109557303</v>
      </c>
      <c r="O396" s="233">
        <f>$E396*O281</f>
        <v>1.3402392457696282</v>
      </c>
      <c r="P396" s="122"/>
      <c r="Q396" s="122"/>
      <c r="R396" s="122"/>
      <c r="S396" s="122"/>
      <c r="T396" s="122"/>
      <c r="U396" s="122"/>
      <c r="V396" s="122"/>
      <c r="W396" s="122"/>
      <c r="X396" s="122"/>
      <c r="Y396" s="122"/>
      <c r="Z396" s="122"/>
    </row>
    <row r="397" spans="1:26" ht="12.75" x14ac:dyDescent="0.2">
      <c r="A397" s="122"/>
      <c r="B397" s="155"/>
      <c r="C397" s="184" t="s">
        <v>284</v>
      </c>
      <c r="D397" s="184"/>
      <c r="E397" s="339">
        <v>1</v>
      </c>
      <c r="F397" s="234">
        <f>$E397*F282</f>
        <v>0.67221000000000009</v>
      </c>
      <c r="G397" s="234">
        <f>$E397*G282</f>
        <v>0.68027652000000016</v>
      </c>
      <c r="H397" s="234">
        <f>$E397*H282</f>
        <v>0.6884398382400001</v>
      </c>
      <c r="I397" s="234">
        <f>$E397*I282</f>
        <v>0.69670111629888021</v>
      </c>
      <c r="J397" s="234">
        <f>$E397*J282</f>
        <v>0.70506152969446667</v>
      </c>
      <c r="K397" s="234">
        <f>$E397*K282</f>
        <v>0.71352226805080021</v>
      </c>
      <c r="L397" s="234">
        <f>$E397*L282</f>
        <v>0.7220845352674099</v>
      </c>
      <c r="M397" s="234">
        <f>$E397*M282</f>
        <v>0.73074954969061878</v>
      </c>
      <c r="N397" s="234">
        <f>$E397*N282</f>
        <v>0.739518544286906</v>
      </c>
      <c r="O397" s="234">
        <f>$E397*O282</f>
        <v>0.74839276681834876</v>
      </c>
      <c r="P397" s="122"/>
      <c r="Q397" s="122"/>
      <c r="R397" s="122"/>
      <c r="S397" s="122"/>
      <c r="T397" s="122"/>
      <c r="U397" s="122"/>
      <c r="V397" s="122"/>
      <c r="W397" s="122"/>
      <c r="X397" s="122"/>
      <c r="Y397" s="122"/>
      <c r="Z397" s="122"/>
    </row>
    <row r="398" spans="1:26" ht="12.75" x14ac:dyDescent="0.2">
      <c r="A398" s="122"/>
      <c r="B398" s="155"/>
      <c r="C398" s="155" t="s">
        <v>289</v>
      </c>
      <c r="D398" s="155"/>
      <c r="E398" s="155"/>
      <c r="F398" s="190">
        <f t="shared" ref="F398:O398" si="80">SUM(F396:F397)</f>
        <v>1.8008689251968502</v>
      </c>
      <c r="G398" s="190">
        <f t="shared" si="80"/>
        <v>1.8313383711968507</v>
      </c>
      <c r="H398" s="190">
        <f t="shared" si="80"/>
        <v>1.8621734505488503</v>
      </c>
      <c r="I398" s="190">
        <f t="shared" si="80"/>
        <v>1.8933785508530745</v>
      </c>
      <c r="J398" s="190">
        <f t="shared" si="80"/>
        <v>1.9249581123609489</v>
      </c>
      <c r="K398" s="190">
        <f t="shared" si="80"/>
        <v>1.9569166286069182</v>
      </c>
      <c r="L398" s="190">
        <f t="shared" si="80"/>
        <v>1.9892586470478393</v>
      </c>
      <c r="M398" s="190">
        <f t="shared" si="80"/>
        <v>2.0219887697100511</v>
      </c>
      <c r="N398" s="190">
        <f t="shared" si="80"/>
        <v>2.0551116538442091</v>
      </c>
      <c r="O398" s="190">
        <f t="shared" si="80"/>
        <v>2.0886320125879769</v>
      </c>
      <c r="P398" s="122"/>
      <c r="Q398" s="122"/>
      <c r="R398" s="122"/>
      <c r="S398" s="122"/>
      <c r="T398" s="122"/>
      <c r="U398" s="122"/>
      <c r="V398" s="122"/>
      <c r="W398" s="122"/>
      <c r="X398" s="122"/>
      <c r="Y398" s="122"/>
      <c r="Z398" s="122"/>
    </row>
    <row r="399" spans="1:26" ht="12.75" x14ac:dyDescent="0.2">
      <c r="A399" s="122"/>
      <c r="B399" s="155"/>
      <c r="C399" s="155"/>
      <c r="D399" s="155"/>
      <c r="E399" s="155"/>
      <c r="F399" s="155"/>
      <c r="G399" s="155"/>
      <c r="H399" s="155"/>
      <c r="I399" s="155"/>
      <c r="J399" s="155"/>
      <c r="K399" s="155"/>
      <c r="L399" s="155"/>
      <c r="M399" s="155"/>
      <c r="N399" s="155"/>
      <c r="O399" s="155"/>
      <c r="P399" s="122"/>
      <c r="Q399" s="122"/>
      <c r="R399" s="122"/>
      <c r="S399" s="122"/>
      <c r="T399" s="122"/>
      <c r="U399" s="122"/>
      <c r="V399" s="122"/>
      <c r="W399" s="122"/>
      <c r="X399" s="122"/>
      <c r="Y399" s="122"/>
      <c r="Z399" s="122"/>
    </row>
    <row r="400" spans="1:26" ht="12.75" x14ac:dyDescent="0.2">
      <c r="A400" s="122"/>
      <c r="B400" s="155"/>
      <c r="C400" s="203" t="s">
        <v>669</v>
      </c>
      <c r="D400" s="203"/>
      <c r="E400" s="203"/>
      <c r="F400" s="204">
        <f>F369+F379+F384+F393+F398</f>
        <v>55.822649081714729</v>
      </c>
      <c r="G400" s="204">
        <f t="shared" ref="G400:O400" si="81">G369+G379+G384+G393+G398</f>
        <v>55.853118527714727</v>
      </c>
      <c r="H400" s="204">
        <f t="shared" si="81"/>
        <v>55.883953607066729</v>
      </c>
      <c r="I400" s="204">
        <f t="shared" si="81"/>
        <v>55.915158707370956</v>
      </c>
      <c r="J400" s="204">
        <f t="shared" si="81"/>
        <v>56.046738268878826</v>
      </c>
      <c r="K400" s="204">
        <f t="shared" si="81"/>
        <v>56.078696785124805</v>
      </c>
      <c r="L400" s="204">
        <f t="shared" si="81"/>
        <v>56.111038803565727</v>
      </c>
      <c r="M400" s="204">
        <f t="shared" si="81"/>
        <v>56.143768926227935</v>
      </c>
      <c r="N400" s="204">
        <f t="shared" si="81"/>
        <v>56.276891810362088</v>
      </c>
      <c r="O400" s="204">
        <f t="shared" si="81"/>
        <v>56.310412169105859</v>
      </c>
      <c r="P400" s="122"/>
      <c r="Q400" s="122"/>
      <c r="R400" s="122"/>
      <c r="S400" s="122"/>
      <c r="T400" s="122"/>
      <c r="U400" s="122"/>
      <c r="V400" s="122"/>
      <c r="W400" s="122"/>
      <c r="X400" s="122"/>
      <c r="Y400" s="122"/>
      <c r="Z400" s="122"/>
    </row>
    <row r="401" spans="1:26" ht="12.75" x14ac:dyDescent="0.2">
      <c r="A401" s="122"/>
      <c r="B401" s="155"/>
      <c r="C401" s="155"/>
      <c r="D401" s="155"/>
      <c r="E401" s="155"/>
      <c r="F401" s="155"/>
      <c r="G401" s="155"/>
      <c r="H401" s="155"/>
      <c r="I401" s="155"/>
      <c r="J401" s="155"/>
      <c r="K401" s="155"/>
      <c r="L401" s="155"/>
      <c r="M401" s="155"/>
      <c r="N401" s="155"/>
      <c r="O401" s="155"/>
      <c r="P401" s="122"/>
      <c r="Q401" s="122"/>
      <c r="R401" s="122"/>
      <c r="S401" s="122"/>
      <c r="T401" s="122"/>
      <c r="U401" s="122"/>
      <c r="V401" s="122"/>
      <c r="W401" s="122"/>
      <c r="X401" s="122"/>
      <c r="Y401" s="122"/>
      <c r="Z401" s="122"/>
    </row>
    <row r="402" spans="1:26" ht="12.75" x14ac:dyDescent="0.2">
      <c r="A402" s="122"/>
      <c r="C402" s="206" t="s">
        <v>687</v>
      </c>
      <c r="D402" s="203"/>
      <c r="E402" s="203"/>
      <c r="F402" s="208">
        <f>F364-F400</f>
        <v>28.765138994600065</v>
      </c>
      <c r="G402" s="208">
        <f t="shared" ref="G402:O402" si="82">G364-G400</f>
        <v>29.749723005515847</v>
      </c>
      <c r="H402" s="208">
        <f t="shared" si="82"/>
        <v>30.746122024562609</v>
      </c>
      <c r="I402" s="208">
        <f t="shared" si="82"/>
        <v>31.754477831837939</v>
      </c>
      <c r="J402" s="208">
        <f t="shared" si="82"/>
        <v>32.674933908800583</v>
      </c>
      <c r="K402" s="208">
        <f t="shared" si="82"/>
        <v>33.707635458686738</v>
      </c>
      <c r="L402" s="208">
        <f t="shared" si="82"/>
        <v>34.752729427171566</v>
      </c>
      <c r="M402" s="208">
        <f t="shared" si="82"/>
        <v>35.81036452327821</v>
      </c>
      <c r="N402" s="208">
        <f t="shared" si="82"/>
        <v>36.780691240538147</v>
      </c>
      <c r="O402" s="208">
        <f t="shared" si="82"/>
        <v>37.863861878405146</v>
      </c>
      <c r="P402" s="122"/>
      <c r="Q402" s="122"/>
      <c r="R402" s="122"/>
      <c r="S402" s="122"/>
      <c r="T402" s="122"/>
      <c r="U402" s="122"/>
      <c r="V402" s="122"/>
      <c r="W402" s="122"/>
      <c r="X402" s="122"/>
      <c r="Y402" s="122"/>
      <c r="Z402" s="122"/>
    </row>
    <row r="403" spans="1:26" ht="12.75" x14ac:dyDescent="0.2">
      <c r="A403" s="122"/>
      <c r="B403" s="122"/>
      <c r="C403" s="122"/>
      <c r="D403" s="122"/>
      <c r="E403" s="122"/>
      <c r="F403" s="122"/>
      <c r="G403" s="122"/>
      <c r="H403" s="122"/>
      <c r="I403" s="122"/>
      <c r="J403" s="122"/>
      <c r="K403" s="122"/>
      <c r="L403" s="122"/>
      <c r="M403" s="122"/>
      <c r="N403" s="122"/>
      <c r="O403" s="122"/>
      <c r="P403" s="122"/>
      <c r="Q403" s="122"/>
      <c r="R403" s="122"/>
      <c r="S403" s="122"/>
      <c r="T403" s="122"/>
      <c r="U403" s="122"/>
      <c r="V403" s="122"/>
      <c r="W403" s="122"/>
      <c r="X403" s="122"/>
      <c r="Y403" s="122"/>
      <c r="Z403" s="122"/>
    </row>
    <row r="404" spans="1:26" ht="12.75" x14ac:dyDescent="0.2">
      <c r="A404" s="122"/>
      <c r="B404" s="179" t="s">
        <v>688</v>
      </c>
      <c r="C404" s="155"/>
      <c r="D404" s="180"/>
      <c r="E404" s="180"/>
      <c r="F404" s="183"/>
      <c r="G404" s="180"/>
      <c r="H404" s="180"/>
      <c r="I404" s="180"/>
      <c r="J404" s="180"/>
      <c r="K404" s="180"/>
      <c r="L404" s="180"/>
      <c r="M404" s="180"/>
      <c r="N404" s="180"/>
      <c r="O404" s="180"/>
      <c r="P404" s="122"/>
      <c r="Q404" s="122"/>
      <c r="R404" s="122"/>
      <c r="S404" s="122"/>
      <c r="T404" s="122"/>
      <c r="U404" s="122"/>
      <c r="V404" s="122"/>
      <c r="W404" s="122"/>
      <c r="X404" s="122"/>
      <c r="Y404" s="122"/>
      <c r="Z404" s="122"/>
    </row>
    <row r="405" spans="1:26" ht="12.75" x14ac:dyDescent="0.2">
      <c r="A405" s="122"/>
      <c r="C405" s="232" t="s">
        <v>671</v>
      </c>
      <c r="D405" s="180"/>
      <c r="E405" s="307" t="s">
        <v>666</v>
      </c>
      <c r="F405" s="180"/>
      <c r="G405" s="180"/>
      <c r="H405" s="180"/>
      <c r="I405" s="180"/>
      <c r="J405" s="180"/>
      <c r="K405" s="180"/>
      <c r="L405" s="180"/>
      <c r="M405" s="180"/>
      <c r="N405" s="180"/>
      <c r="O405" s="180"/>
      <c r="P405" s="122"/>
      <c r="Q405" s="122"/>
      <c r="R405" s="122"/>
      <c r="S405" s="122"/>
      <c r="T405" s="122"/>
      <c r="U405" s="122"/>
      <c r="V405" s="122"/>
      <c r="W405" s="122"/>
      <c r="X405" s="122"/>
      <c r="Y405" s="122"/>
      <c r="Z405" s="122"/>
    </row>
    <row r="406" spans="1:26" ht="12.75" x14ac:dyDescent="0.2">
      <c r="A406" s="122"/>
      <c r="B406" s="180"/>
      <c r="C406" s="152" t="s">
        <v>405</v>
      </c>
      <c r="D406" s="180"/>
      <c r="E406" s="338">
        <f>CFs!$C$123</f>
        <v>1.0463160732906094</v>
      </c>
      <c r="F406" s="125">
        <f>$E406*F291</f>
        <v>152.23898866378366</v>
      </c>
      <c r="G406" s="125">
        <f>$E406*G291</f>
        <v>156.04496338037825</v>
      </c>
      <c r="H406" s="125">
        <f>$E406*H291</f>
        <v>159.94608746488768</v>
      </c>
      <c r="I406" s="125">
        <f>$E406*I291</f>
        <v>163.94473965150988</v>
      </c>
      <c r="J406" s="125">
        <f>$E406*J291</f>
        <v>168.04335814279762</v>
      </c>
      <c r="K406" s="125">
        <f>$E406*K291</f>
        <v>172.24444209636752</v>
      </c>
      <c r="L406" s="125">
        <f>$E406*L291</f>
        <v>176.55055314877671</v>
      </c>
      <c r="M406" s="125">
        <f>$E406*M291</f>
        <v>180.96431697749614</v>
      </c>
      <c r="N406" s="125">
        <f>$E406*N291</f>
        <v>185.48842490193346</v>
      </c>
      <c r="O406" s="125">
        <f>$E406*O291</f>
        <v>190.12563552448179</v>
      </c>
      <c r="P406" s="122"/>
      <c r="Q406" s="122"/>
      <c r="R406" s="122"/>
      <c r="S406" s="122"/>
      <c r="T406" s="122"/>
      <c r="U406" s="122"/>
      <c r="V406" s="122"/>
      <c r="W406" s="122"/>
      <c r="X406" s="122"/>
      <c r="Y406" s="122"/>
      <c r="Z406" s="122"/>
    </row>
    <row r="407" spans="1:26" ht="12.75" x14ac:dyDescent="0.2">
      <c r="A407" s="122"/>
      <c r="B407" s="180"/>
      <c r="C407" s="152" t="s">
        <v>231</v>
      </c>
      <c r="D407" s="180"/>
      <c r="E407" s="338">
        <f>CFs!$C$123</f>
        <v>1.0463160732906094</v>
      </c>
      <c r="F407" s="125">
        <f>$E407*F292</f>
        <v>19.029873582972957</v>
      </c>
      <c r="G407" s="125">
        <f>$E407*G292</f>
        <v>19.505620422547281</v>
      </c>
      <c r="H407" s="125">
        <f>$E407*H292</f>
        <v>19.99326093311096</v>
      </c>
      <c r="I407" s="125">
        <f>$E407*I292</f>
        <v>20.493092456438735</v>
      </c>
      <c r="J407" s="125">
        <f>$E407*J292</f>
        <v>21.005419767849702</v>
      </c>
      <c r="K407" s="125">
        <f>$E407*K292</f>
        <v>21.53055526204594</v>
      </c>
      <c r="L407" s="125">
        <f>$E407*L292</f>
        <v>22.068819143597089</v>
      </c>
      <c r="M407" s="125">
        <f>$E407*M292</f>
        <v>22.620539622187017</v>
      </c>
      <c r="N407" s="125">
        <f>$E407*N292</f>
        <v>23.186053112741682</v>
      </c>
      <c r="O407" s="125">
        <f>$E407*O292</f>
        <v>23.765704440560224</v>
      </c>
      <c r="P407" s="122"/>
      <c r="Q407" s="122"/>
      <c r="R407" s="122"/>
      <c r="S407" s="122"/>
      <c r="T407" s="122"/>
      <c r="U407" s="122"/>
      <c r="V407" s="122"/>
      <c r="W407" s="122"/>
      <c r="X407" s="122"/>
      <c r="Y407" s="122"/>
      <c r="Z407" s="122"/>
    </row>
    <row r="408" spans="1:26" ht="12.75" x14ac:dyDescent="0.2">
      <c r="A408" s="122"/>
      <c r="B408" s="180"/>
      <c r="C408" s="198" t="s">
        <v>410</v>
      </c>
      <c r="D408" s="182"/>
      <c r="E408" s="182"/>
      <c r="F408" s="193">
        <f>F406-F407</f>
        <v>133.2091150808107</v>
      </c>
      <c r="G408" s="193">
        <f t="shared" ref="G408:O408" si="83">G406-G407</f>
        <v>136.53934295783097</v>
      </c>
      <c r="H408" s="193">
        <f t="shared" si="83"/>
        <v>139.95282653177674</v>
      </c>
      <c r="I408" s="193">
        <f t="shared" si="83"/>
        <v>143.45164719507113</v>
      </c>
      <c r="J408" s="193">
        <f t="shared" si="83"/>
        <v>147.03793837494791</v>
      </c>
      <c r="K408" s="193">
        <f t="shared" si="83"/>
        <v>150.71388683432158</v>
      </c>
      <c r="L408" s="193">
        <f t="shared" si="83"/>
        <v>154.48173400517962</v>
      </c>
      <c r="M408" s="193">
        <f t="shared" si="83"/>
        <v>158.34377735530913</v>
      </c>
      <c r="N408" s="193">
        <f t="shared" si="83"/>
        <v>162.30237178919177</v>
      </c>
      <c r="O408" s="193">
        <f t="shared" si="83"/>
        <v>166.35993108392157</v>
      </c>
      <c r="P408" s="122"/>
      <c r="Q408" s="122"/>
      <c r="R408" s="122"/>
      <c r="S408" s="122"/>
      <c r="T408" s="122"/>
      <c r="U408" s="122"/>
      <c r="V408" s="122"/>
      <c r="W408" s="122"/>
      <c r="X408" s="122"/>
      <c r="Y408" s="122"/>
      <c r="Z408" s="122"/>
    </row>
    <row r="409" spans="1:26" ht="12.75" x14ac:dyDescent="0.2">
      <c r="A409" s="122"/>
      <c r="B409" s="180"/>
      <c r="C409" s="152"/>
      <c r="D409" s="180"/>
      <c r="E409" s="180"/>
      <c r="F409" s="194"/>
      <c r="G409" s="194"/>
      <c r="H409" s="194"/>
      <c r="I409" s="194"/>
      <c r="J409" s="194"/>
      <c r="K409" s="194"/>
      <c r="L409" s="194"/>
      <c r="M409" s="194"/>
      <c r="N409" s="194"/>
      <c r="O409" s="194"/>
      <c r="P409" s="122"/>
      <c r="Q409" s="122"/>
      <c r="R409" s="122"/>
      <c r="S409" s="122"/>
      <c r="T409" s="122"/>
      <c r="U409" s="122"/>
      <c r="V409" s="122"/>
      <c r="W409" s="122"/>
      <c r="X409" s="122"/>
      <c r="Y409" s="122"/>
      <c r="Z409" s="122"/>
    </row>
    <row r="410" spans="1:26" ht="12.75" x14ac:dyDescent="0.2">
      <c r="A410" s="122"/>
      <c r="B410" s="180"/>
      <c r="C410" s="188" t="s">
        <v>266</v>
      </c>
      <c r="D410" s="180"/>
      <c r="E410" s="180"/>
      <c r="F410" s="194"/>
      <c r="G410" s="194"/>
      <c r="H410" s="194"/>
      <c r="I410" s="194"/>
      <c r="J410" s="194"/>
      <c r="K410" s="194"/>
      <c r="L410" s="194"/>
      <c r="M410" s="194"/>
      <c r="N410" s="194"/>
      <c r="O410" s="194"/>
      <c r="P410" s="122"/>
      <c r="Q410" s="122"/>
      <c r="R410" s="122"/>
      <c r="S410" s="122"/>
      <c r="T410" s="122"/>
      <c r="U410" s="122"/>
      <c r="V410" s="122"/>
      <c r="W410" s="122"/>
      <c r="X410" s="122"/>
      <c r="Y410" s="122"/>
      <c r="Z410" s="122"/>
    </row>
    <row r="411" spans="1:26" ht="12.75" x14ac:dyDescent="0.2">
      <c r="A411" s="122"/>
      <c r="B411" s="180"/>
      <c r="C411" s="155" t="s">
        <v>267</v>
      </c>
      <c r="D411" s="180"/>
      <c r="E411" s="338">
        <v>0</v>
      </c>
      <c r="F411" s="125">
        <f>$E411*F296</f>
        <v>0</v>
      </c>
      <c r="G411" s="125">
        <f>$E411*G296</f>
        <v>0</v>
      </c>
      <c r="H411" s="125">
        <f>$E411*H296</f>
        <v>0</v>
      </c>
      <c r="I411" s="125">
        <f>$E411*I296</f>
        <v>0</v>
      </c>
      <c r="J411" s="125">
        <f>$E411*J296</f>
        <v>0</v>
      </c>
      <c r="K411" s="125">
        <f>$E411*K296</f>
        <v>0</v>
      </c>
      <c r="L411" s="125">
        <f>$E411*L296</f>
        <v>0</v>
      </c>
      <c r="M411" s="125">
        <f>$E411*M296</f>
        <v>0</v>
      </c>
      <c r="N411" s="125">
        <f>$E411*N296</f>
        <v>0</v>
      </c>
      <c r="O411" s="125">
        <f>$E411*O296</f>
        <v>0</v>
      </c>
      <c r="P411" s="122"/>
      <c r="Q411" s="122"/>
      <c r="R411" s="122"/>
      <c r="S411" s="122"/>
      <c r="T411" s="122"/>
      <c r="U411" s="122"/>
      <c r="V411" s="122"/>
      <c r="W411" s="122"/>
      <c r="X411" s="122"/>
      <c r="Y411" s="122"/>
      <c r="Z411" s="122"/>
    </row>
    <row r="412" spans="1:26" ht="12.75" x14ac:dyDescent="0.2">
      <c r="A412" s="122"/>
      <c r="B412" s="180"/>
      <c r="C412" s="155" t="s">
        <v>138</v>
      </c>
      <c r="D412" s="180"/>
      <c r="E412" s="338">
        <v>0</v>
      </c>
      <c r="F412" s="125">
        <f>$E412*F297</f>
        <v>0</v>
      </c>
      <c r="G412" s="125">
        <f>$E412*G297</f>
        <v>0</v>
      </c>
      <c r="H412" s="125">
        <f>$E412*H297</f>
        <v>0</v>
      </c>
      <c r="I412" s="125">
        <f>$E412*I297</f>
        <v>0</v>
      </c>
      <c r="J412" s="125">
        <f>$E412*J297</f>
        <v>0</v>
      </c>
      <c r="K412" s="125">
        <f>$E412*K297</f>
        <v>0</v>
      </c>
      <c r="L412" s="125">
        <f>$E412*L297</f>
        <v>0</v>
      </c>
      <c r="M412" s="125">
        <f>$E412*M297</f>
        <v>0</v>
      </c>
      <c r="N412" s="125">
        <f>$E412*N297</f>
        <v>0</v>
      </c>
      <c r="O412" s="125">
        <f>$E412*O297</f>
        <v>0</v>
      </c>
      <c r="P412" s="122"/>
      <c r="Q412" s="122"/>
      <c r="R412" s="122"/>
      <c r="S412" s="122"/>
      <c r="T412" s="122"/>
      <c r="U412" s="122"/>
      <c r="V412" s="122"/>
      <c r="W412" s="122"/>
      <c r="X412" s="122"/>
      <c r="Y412" s="122"/>
      <c r="Z412" s="122"/>
    </row>
    <row r="413" spans="1:26" ht="12.75" x14ac:dyDescent="0.2">
      <c r="A413" s="122"/>
      <c r="B413" s="180"/>
      <c r="C413" s="198" t="s">
        <v>247</v>
      </c>
      <c r="D413" s="182"/>
      <c r="E413" s="182"/>
      <c r="F413" s="127">
        <f>SUM(F411:F412)</f>
        <v>0</v>
      </c>
      <c r="G413" s="127">
        <f>SUM(G411:G412)</f>
        <v>0</v>
      </c>
      <c r="H413" s="127">
        <f t="shared" ref="H413:O413" si="84">SUM(H411:H412)</f>
        <v>0</v>
      </c>
      <c r="I413" s="127">
        <f t="shared" si="84"/>
        <v>0</v>
      </c>
      <c r="J413" s="127">
        <f t="shared" si="84"/>
        <v>0</v>
      </c>
      <c r="K413" s="127">
        <f t="shared" si="84"/>
        <v>0</v>
      </c>
      <c r="L413" s="127">
        <f t="shared" si="84"/>
        <v>0</v>
      </c>
      <c r="M413" s="127">
        <f t="shared" si="84"/>
        <v>0</v>
      </c>
      <c r="N413" s="127">
        <f t="shared" si="84"/>
        <v>0</v>
      </c>
      <c r="O413" s="127">
        <f t="shared" si="84"/>
        <v>0</v>
      </c>
      <c r="P413" s="122"/>
      <c r="Q413" s="122"/>
      <c r="R413" s="122"/>
      <c r="S413" s="122"/>
      <c r="T413" s="122"/>
      <c r="U413" s="122"/>
      <c r="V413" s="122"/>
      <c r="W413" s="122"/>
      <c r="X413" s="122"/>
      <c r="Y413" s="122"/>
      <c r="Z413" s="122"/>
    </row>
    <row r="414" spans="1:26" ht="12.75" x14ac:dyDescent="0.2">
      <c r="A414" s="122"/>
      <c r="B414" s="180"/>
      <c r="C414" s="152"/>
      <c r="D414" s="180"/>
      <c r="E414" s="180"/>
      <c r="F414" s="194"/>
      <c r="G414" s="194"/>
      <c r="H414" s="194"/>
      <c r="I414" s="194"/>
      <c r="J414" s="194"/>
      <c r="K414" s="194"/>
      <c r="L414" s="194"/>
      <c r="M414" s="194"/>
      <c r="N414" s="194"/>
      <c r="O414" s="194"/>
      <c r="P414" s="122"/>
      <c r="Q414" s="122"/>
      <c r="R414" s="122"/>
      <c r="S414" s="122"/>
      <c r="T414" s="122"/>
      <c r="U414" s="122"/>
      <c r="V414" s="122"/>
      <c r="W414" s="122"/>
      <c r="X414" s="122"/>
      <c r="Y414" s="122"/>
      <c r="Z414" s="122"/>
    </row>
    <row r="415" spans="1:26" ht="12.75" x14ac:dyDescent="0.2">
      <c r="A415" s="122"/>
      <c r="B415" s="180"/>
      <c r="C415" s="203" t="s">
        <v>675</v>
      </c>
      <c r="D415" s="195"/>
      <c r="E415" s="195"/>
      <c r="F415" s="196">
        <f>F408+F413</f>
        <v>133.2091150808107</v>
      </c>
      <c r="G415" s="196">
        <f t="shared" ref="G415:O415" si="85">G408+G413</f>
        <v>136.53934295783097</v>
      </c>
      <c r="H415" s="196">
        <f t="shared" si="85"/>
        <v>139.95282653177674</v>
      </c>
      <c r="I415" s="196">
        <f t="shared" si="85"/>
        <v>143.45164719507113</v>
      </c>
      <c r="J415" s="196">
        <f t="shared" si="85"/>
        <v>147.03793837494791</v>
      </c>
      <c r="K415" s="196">
        <f t="shared" si="85"/>
        <v>150.71388683432158</v>
      </c>
      <c r="L415" s="196">
        <f t="shared" si="85"/>
        <v>154.48173400517962</v>
      </c>
      <c r="M415" s="196">
        <f t="shared" si="85"/>
        <v>158.34377735530913</v>
      </c>
      <c r="N415" s="196">
        <f t="shared" si="85"/>
        <v>162.30237178919177</v>
      </c>
      <c r="O415" s="196">
        <f t="shared" si="85"/>
        <v>166.35993108392157</v>
      </c>
      <c r="P415" s="122"/>
      <c r="Q415" s="122"/>
      <c r="R415" s="122"/>
      <c r="S415" s="122"/>
      <c r="T415" s="122"/>
      <c r="U415" s="122"/>
      <c r="V415" s="122"/>
      <c r="W415" s="122"/>
      <c r="X415" s="122"/>
      <c r="Y415" s="122"/>
      <c r="Z415" s="122"/>
    </row>
    <row r="416" spans="1:26" ht="12.75" x14ac:dyDescent="0.2">
      <c r="A416" s="122"/>
      <c r="B416" s="180"/>
      <c r="C416" s="155"/>
      <c r="D416" s="180"/>
      <c r="E416" s="180"/>
      <c r="F416" s="180"/>
      <c r="G416" s="180"/>
      <c r="H416" s="180"/>
      <c r="I416" s="180"/>
      <c r="J416" s="180"/>
      <c r="K416" s="180"/>
      <c r="L416" s="180"/>
      <c r="M416" s="180"/>
      <c r="N416" s="180"/>
      <c r="O416" s="180"/>
      <c r="P416" s="122"/>
      <c r="Q416" s="122"/>
      <c r="R416" s="122"/>
      <c r="S416" s="122"/>
      <c r="T416" s="122"/>
      <c r="U416" s="122"/>
      <c r="V416" s="122"/>
      <c r="W416" s="122"/>
      <c r="X416" s="122"/>
      <c r="Y416" s="122"/>
      <c r="Z416" s="122"/>
    </row>
    <row r="417" spans="1:26" ht="12.75" x14ac:dyDescent="0.2">
      <c r="A417" s="122"/>
      <c r="C417" s="232" t="s">
        <v>670</v>
      </c>
      <c r="D417" s="180"/>
      <c r="E417" s="180"/>
      <c r="F417" s="180"/>
      <c r="G417" s="180"/>
      <c r="H417" s="180"/>
      <c r="I417" s="180"/>
      <c r="J417" s="180"/>
      <c r="K417" s="180"/>
      <c r="L417" s="180"/>
      <c r="M417" s="180"/>
      <c r="N417" s="180"/>
      <c r="O417" s="180"/>
      <c r="P417" s="122"/>
      <c r="Q417" s="122"/>
      <c r="R417" s="122"/>
      <c r="S417" s="122"/>
      <c r="T417" s="122"/>
      <c r="U417" s="122"/>
      <c r="V417" s="122"/>
      <c r="W417" s="122"/>
      <c r="X417" s="122"/>
      <c r="Y417" s="122"/>
      <c r="Z417" s="122"/>
    </row>
    <row r="418" spans="1:26" ht="12.75" x14ac:dyDescent="0.2">
      <c r="A418" s="122"/>
      <c r="B418" s="192"/>
      <c r="C418" s="188" t="s">
        <v>144</v>
      </c>
      <c r="D418" s="180"/>
      <c r="E418" s="180"/>
      <c r="F418" s="180"/>
      <c r="G418" s="180"/>
      <c r="H418" s="180"/>
      <c r="I418" s="180"/>
      <c r="J418" s="180"/>
      <c r="K418" s="180"/>
      <c r="L418" s="180"/>
      <c r="M418" s="180"/>
      <c r="N418" s="180"/>
      <c r="O418" s="180"/>
      <c r="P418" s="122"/>
      <c r="Q418" s="122"/>
      <c r="R418" s="122"/>
      <c r="S418" s="122"/>
      <c r="T418" s="122"/>
      <c r="U418" s="122"/>
      <c r="V418" s="122"/>
      <c r="W418" s="122"/>
      <c r="X418" s="122"/>
      <c r="Y418" s="122"/>
      <c r="Z418" s="122"/>
    </row>
    <row r="419" spans="1:26" ht="12.75" x14ac:dyDescent="0.2">
      <c r="A419" s="122"/>
      <c r="B419" s="192"/>
      <c r="C419" s="155" t="s">
        <v>245</v>
      </c>
      <c r="D419" s="180"/>
      <c r="E419" s="338">
        <v>0</v>
      </c>
      <c r="F419" s="125">
        <f>$E419*F304</f>
        <v>0</v>
      </c>
      <c r="G419" s="125">
        <f>$E419*G304</f>
        <v>0</v>
      </c>
      <c r="H419" s="125">
        <f>$E419*H304</f>
        <v>0</v>
      </c>
      <c r="I419" s="125">
        <f>$E419*I304</f>
        <v>0</v>
      </c>
      <c r="J419" s="125">
        <f>$E419*J304</f>
        <v>0</v>
      </c>
      <c r="K419" s="125">
        <f>$E419*K304</f>
        <v>0</v>
      </c>
      <c r="L419" s="125">
        <f>$E419*L304</f>
        <v>0</v>
      </c>
      <c r="M419" s="125">
        <f>$E419*M304</f>
        <v>0</v>
      </c>
      <c r="N419" s="125">
        <f>$E419*N304</f>
        <v>0</v>
      </c>
      <c r="O419" s="125">
        <f>$E419*O304</f>
        <v>0</v>
      </c>
      <c r="P419" s="122"/>
      <c r="Q419" s="197"/>
      <c r="R419" s="122"/>
      <c r="S419" s="122"/>
      <c r="T419" s="122"/>
      <c r="U419" s="122"/>
      <c r="V419" s="122"/>
      <c r="W419" s="122"/>
      <c r="X419" s="122"/>
      <c r="Y419" s="122"/>
      <c r="Z419" s="122"/>
    </row>
    <row r="420" spans="1:26" ht="12.75" x14ac:dyDescent="0.2">
      <c r="A420" s="122"/>
      <c r="B420" s="192"/>
      <c r="C420" s="198" t="s">
        <v>245</v>
      </c>
      <c r="D420" s="182"/>
      <c r="E420" s="182"/>
      <c r="F420" s="129">
        <f>F419</f>
        <v>0</v>
      </c>
      <c r="G420" s="129">
        <f t="shared" ref="G420:O420" si="86">G419</f>
        <v>0</v>
      </c>
      <c r="H420" s="129">
        <f t="shared" si="86"/>
        <v>0</v>
      </c>
      <c r="I420" s="129">
        <f t="shared" si="86"/>
        <v>0</v>
      </c>
      <c r="J420" s="129">
        <f t="shared" si="86"/>
        <v>0</v>
      </c>
      <c r="K420" s="129">
        <f t="shared" si="86"/>
        <v>0</v>
      </c>
      <c r="L420" s="129">
        <f t="shared" si="86"/>
        <v>0</v>
      </c>
      <c r="M420" s="129">
        <f t="shared" si="86"/>
        <v>0</v>
      </c>
      <c r="N420" s="129">
        <f t="shared" si="86"/>
        <v>0</v>
      </c>
      <c r="O420" s="129">
        <f t="shared" si="86"/>
        <v>0</v>
      </c>
      <c r="P420" s="122"/>
      <c r="Q420" s="197"/>
      <c r="R420" s="122"/>
      <c r="S420" s="122"/>
      <c r="T420" s="122"/>
      <c r="U420" s="122"/>
      <c r="V420" s="122"/>
      <c r="W420" s="122"/>
      <c r="X420" s="122"/>
      <c r="Y420" s="122"/>
      <c r="Z420" s="122"/>
    </row>
    <row r="421" spans="1:26" ht="12.75" x14ac:dyDescent="0.2">
      <c r="A421" s="122"/>
      <c r="B421" s="192"/>
      <c r="C421" s="232"/>
      <c r="D421" s="180"/>
      <c r="E421" s="180"/>
      <c r="F421" s="180"/>
      <c r="G421" s="180"/>
      <c r="H421" s="180"/>
      <c r="I421" s="180"/>
      <c r="J421" s="180"/>
      <c r="K421" s="180"/>
      <c r="L421" s="180"/>
      <c r="M421" s="180"/>
      <c r="N421" s="180"/>
      <c r="O421" s="180"/>
      <c r="P421" s="122"/>
      <c r="Q421" s="122"/>
      <c r="R421" s="122"/>
      <c r="S421" s="122"/>
      <c r="T421" s="122"/>
      <c r="U421" s="122"/>
      <c r="V421" s="122"/>
      <c r="W421" s="122"/>
      <c r="X421" s="122"/>
      <c r="Y421" s="122"/>
      <c r="Z421" s="122"/>
    </row>
    <row r="422" spans="1:26" ht="12.75" x14ac:dyDescent="0.2">
      <c r="A422" s="122"/>
      <c r="B422" s="180"/>
      <c r="C422" s="188" t="s">
        <v>218</v>
      </c>
      <c r="D422" s="180"/>
      <c r="E422" s="180"/>
      <c r="F422" s="180"/>
      <c r="G422" s="180"/>
      <c r="H422" s="180"/>
      <c r="I422" s="180"/>
      <c r="J422" s="180"/>
      <c r="K422" s="180"/>
      <c r="L422" s="180"/>
      <c r="M422" s="180"/>
      <c r="N422" s="180"/>
      <c r="O422" s="180"/>
      <c r="P422" s="122"/>
      <c r="Q422" s="122"/>
      <c r="R422" s="122"/>
      <c r="S422" s="122"/>
      <c r="T422" s="122"/>
      <c r="U422" s="122"/>
      <c r="V422" s="122"/>
      <c r="W422" s="122"/>
      <c r="X422" s="122"/>
      <c r="Y422" s="122"/>
      <c r="Z422" s="122"/>
    </row>
    <row r="423" spans="1:26" ht="12.75" x14ac:dyDescent="0.2">
      <c r="A423" s="122"/>
      <c r="B423" s="180"/>
      <c r="C423" s="228" t="s">
        <v>272</v>
      </c>
      <c r="D423" s="180"/>
      <c r="E423" s="338">
        <v>1</v>
      </c>
      <c r="F423" s="125">
        <f>$E423*F308</f>
        <v>8.4221219999999981</v>
      </c>
      <c r="G423" s="125">
        <f>$E423*G308</f>
        <v>8.4221219999999963</v>
      </c>
      <c r="H423" s="125">
        <f>$E423*H308</f>
        <v>8.4221219999999981</v>
      </c>
      <c r="I423" s="125">
        <f>$E423*I308</f>
        <v>8.4221219999999981</v>
      </c>
      <c r="J423" s="125">
        <f>$E423*J308</f>
        <v>8.4221219999999981</v>
      </c>
      <c r="K423" s="125">
        <f>$E423*K308</f>
        <v>8.4221219999999981</v>
      </c>
      <c r="L423" s="125">
        <f>$E423*L308</f>
        <v>8.4221219999999981</v>
      </c>
      <c r="M423" s="125">
        <f>$E423*M308</f>
        <v>8.4221219999999981</v>
      </c>
      <c r="N423" s="125">
        <f>$E423*N308</f>
        <v>8.4221219999999981</v>
      </c>
      <c r="O423" s="125">
        <f>$E423*O308</f>
        <v>8.4221219999999981</v>
      </c>
      <c r="P423" s="122"/>
      <c r="Q423" s="122"/>
      <c r="R423" s="122"/>
      <c r="S423" s="122"/>
      <c r="T423" s="122"/>
      <c r="U423" s="122"/>
      <c r="V423" s="122"/>
      <c r="W423" s="122"/>
      <c r="X423" s="122"/>
      <c r="Y423" s="122"/>
      <c r="Z423" s="122"/>
    </row>
    <row r="424" spans="1:26" ht="12.75" x14ac:dyDescent="0.2">
      <c r="A424" s="122"/>
      <c r="B424" s="180"/>
      <c r="C424" s="228" t="s">
        <v>273</v>
      </c>
      <c r="D424" s="180"/>
      <c r="E424" s="338">
        <v>1</v>
      </c>
      <c r="F424" s="125">
        <f>$E424*F309</f>
        <v>4.8988394999999993</v>
      </c>
      <c r="G424" s="125">
        <f>$E424*G309</f>
        <v>4.8988394999999993</v>
      </c>
      <c r="H424" s="125">
        <f>$E424*H309</f>
        <v>4.8988394999999993</v>
      </c>
      <c r="I424" s="125">
        <f>$E424*I309</f>
        <v>4.8988394999999985</v>
      </c>
      <c r="J424" s="125">
        <f>$E424*J309</f>
        <v>4.8988394999999993</v>
      </c>
      <c r="K424" s="125">
        <f>$E424*K309</f>
        <v>4.8988394999999993</v>
      </c>
      <c r="L424" s="125">
        <f>$E424*L309</f>
        <v>4.8988394999999993</v>
      </c>
      <c r="M424" s="125">
        <f>$E424*M309</f>
        <v>4.8988394999999985</v>
      </c>
      <c r="N424" s="125">
        <f>$E424*N309</f>
        <v>4.8988394999999993</v>
      </c>
      <c r="O424" s="125">
        <f>$E424*O309</f>
        <v>4.8988394999999993</v>
      </c>
      <c r="P424" s="122"/>
      <c r="Q424" s="122"/>
      <c r="R424" s="122"/>
      <c r="S424" s="122"/>
      <c r="T424" s="122"/>
      <c r="U424" s="122"/>
      <c r="V424" s="122"/>
      <c r="W424" s="122"/>
      <c r="X424" s="122"/>
      <c r="Y424" s="122"/>
      <c r="Z424" s="122"/>
    </row>
    <row r="425" spans="1:26" ht="12.75" x14ac:dyDescent="0.2">
      <c r="A425" s="122"/>
      <c r="B425" s="180"/>
      <c r="C425" s="228" t="s">
        <v>274</v>
      </c>
      <c r="D425" s="180"/>
      <c r="E425" s="338">
        <v>1</v>
      </c>
      <c r="F425" s="125">
        <f>$E425*F310</f>
        <v>4.2579120000000001</v>
      </c>
      <c r="G425" s="125">
        <f>$E425*G310</f>
        <v>4.2579120000000001</v>
      </c>
      <c r="H425" s="125">
        <f>$E425*H310</f>
        <v>4.2579120000000001</v>
      </c>
      <c r="I425" s="125">
        <f>$E425*I310</f>
        <v>4.2579120000000001</v>
      </c>
      <c r="J425" s="125">
        <f>$E425*J310</f>
        <v>4.257912000000001</v>
      </c>
      <c r="K425" s="125">
        <f>$E425*K310</f>
        <v>4.2579120000000001</v>
      </c>
      <c r="L425" s="125">
        <f>$E425*L310</f>
        <v>4.2579120000000001</v>
      </c>
      <c r="M425" s="125">
        <f>$E425*M310</f>
        <v>4.2579120000000001</v>
      </c>
      <c r="N425" s="125">
        <f>$E425*N310</f>
        <v>4.2579120000000001</v>
      </c>
      <c r="O425" s="125">
        <f>$E425*O310</f>
        <v>4.2579120000000001</v>
      </c>
      <c r="P425" s="122"/>
      <c r="Q425" s="122"/>
      <c r="R425" s="122"/>
      <c r="S425" s="122"/>
      <c r="T425" s="122"/>
      <c r="U425" s="122"/>
      <c r="V425" s="122"/>
      <c r="W425" s="122"/>
      <c r="X425" s="122"/>
      <c r="Y425" s="122"/>
      <c r="Z425" s="122"/>
    </row>
    <row r="426" spans="1:26" ht="12.75" x14ac:dyDescent="0.2">
      <c r="A426" s="122"/>
      <c r="B426" s="180"/>
      <c r="C426" s="228" t="s">
        <v>275</v>
      </c>
      <c r="D426" s="180"/>
      <c r="E426" s="338">
        <v>1</v>
      </c>
      <c r="F426" s="125">
        <f>$E426*F311</f>
        <v>2.5910456692913386</v>
      </c>
      <c r="G426" s="125">
        <f>$E426*G311</f>
        <v>2.5910456692913386</v>
      </c>
      <c r="H426" s="125">
        <f>$E426*H311</f>
        <v>2.5910456692913386</v>
      </c>
      <c r="I426" s="125">
        <f>$E426*I311</f>
        <v>2.5910456692913386</v>
      </c>
      <c r="J426" s="125">
        <f>$E426*J311</f>
        <v>2.5910456692913386</v>
      </c>
      <c r="K426" s="125">
        <f>$E426*K311</f>
        <v>2.5910456692913382</v>
      </c>
      <c r="L426" s="125">
        <f>$E426*L311</f>
        <v>2.5910456692913386</v>
      </c>
      <c r="M426" s="125">
        <f>$E426*M311</f>
        <v>2.5910456692913386</v>
      </c>
      <c r="N426" s="125">
        <f>$E426*N311</f>
        <v>2.5910456692913386</v>
      </c>
      <c r="O426" s="125">
        <f>$E426*O311</f>
        <v>2.5910456692913386</v>
      </c>
      <c r="P426" s="122"/>
      <c r="Q426" s="122"/>
      <c r="R426" s="122"/>
      <c r="S426" s="122"/>
      <c r="T426" s="122"/>
      <c r="U426" s="122"/>
      <c r="V426" s="122"/>
      <c r="W426" s="122"/>
      <c r="X426" s="122"/>
      <c r="Y426" s="122"/>
      <c r="Z426" s="122"/>
    </row>
    <row r="427" spans="1:26" ht="12.75" x14ac:dyDescent="0.2">
      <c r="A427" s="122"/>
      <c r="B427" s="180"/>
      <c r="C427" s="152" t="s">
        <v>293</v>
      </c>
      <c r="D427" s="180"/>
      <c r="E427" s="338">
        <v>1</v>
      </c>
      <c r="F427" s="125">
        <f>$E427*F312</f>
        <v>2.4016229999999994</v>
      </c>
      <c r="G427" s="125">
        <f>$E427*G312</f>
        <v>2.4016229999999994</v>
      </c>
      <c r="H427" s="125">
        <f>$E427*H312</f>
        <v>2.4016229999999998</v>
      </c>
      <c r="I427" s="125">
        <f>$E427*I312</f>
        <v>2.4016229999999998</v>
      </c>
      <c r="J427" s="125">
        <f>$E427*J312</f>
        <v>2.4016229999999994</v>
      </c>
      <c r="K427" s="125">
        <f>$E427*K312</f>
        <v>2.4016229999999998</v>
      </c>
      <c r="L427" s="125">
        <f>$E427*L312</f>
        <v>2.4016229999999994</v>
      </c>
      <c r="M427" s="125">
        <f>$E427*M312</f>
        <v>2.4016229999999994</v>
      </c>
      <c r="N427" s="125">
        <f>$E427*N312</f>
        <v>2.4016229999999998</v>
      </c>
      <c r="O427" s="125">
        <f>$E427*O312</f>
        <v>2.4016229999999994</v>
      </c>
      <c r="P427" s="122"/>
      <c r="Q427" s="122"/>
      <c r="R427" s="122"/>
      <c r="S427" s="122"/>
      <c r="T427" s="122"/>
      <c r="U427" s="122"/>
      <c r="V427" s="122"/>
      <c r="W427" s="122"/>
      <c r="X427" s="122"/>
      <c r="Y427" s="122"/>
      <c r="Z427" s="122"/>
    </row>
    <row r="428" spans="1:26" ht="12.75" x14ac:dyDescent="0.2">
      <c r="A428" s="122"/>
      <c r="B428" s="180"/>
      <c r="C428" s="228" t="s">
        <v>278</v>
      </c>
      <c r="D428" s="180"/>
      <c r="E428" s="338">
        <v>1</v>
      </c>
      <c r="F428" s="125">
        <f>$E428*F313</f>
        <v>12.949499999999999</v>
      </c>
      <c r="G428" s="125">
        <f>$E428*G313</f>
        <v>12.949499999999997</v>
      </c>
      <c r="H428" s="125">
        <f>$E428*H313</f>
        <v>12.949499999999999</v>
      </c>
      <c r="I428" s="125">
        <f>$E428*I313</f>
        <v>12.949499999999997</v>
      </c>
      <c r="J428" s="125">
        <f>$E428*J313</f>
        <v>12.949499999999999</v>
      </c>
      <c r="K428" s="125">
        <f>$E428*K313</f>
        <v>12.949499999999999</v>
      </c>
      <c r="L428" s="125">
        <f>$E428*L313</f>
        <v>12.949499999999997</v>
      </c>
      <c r="M428" s="125">
        <f>$E428*M313</f>
        <v>12.949499999999999</v>
      </c>
      <c r="N428" s="125">
        <f>$E428*N313</f>
        <v>12.949499999999997</v>
      </c>
      <c r="O428" s="125">
        <f>$E428*O313</f>
        <v>12.949499999999999</v>
      </c>
      <c r="P428" s="122"/>
      <c r="Q428" s="122"/>
      <c r="R428" s="122"/>
      <c r="S428" s="122"/>
      <c r="T428" s="122"/>
      <c r="U428" s="122"/>
      <c r="V428" s="122"/>
      <c r="W428" s="122"/>
      <c r="X428" s="122"/>
      <c r="Y428" s="122"/>
      <c r="Z428" s="122"/>
    </row>
    <row r="429" spans="1:26" ht="12.75" x14ac:dyDescent="0.2">
      <c r="A429" s="122"/>
      <c r="B429" s="180"/>
      <c r="C429" s="152" t="s">
        <v>85</v>
      </c>
      <c r="D429" s="180"/>
      <c r="E429" s="338">
        <v>1</v>
      </c>
      <c r="F429" s="125">
        <f>$E429*F314</f>
        <v>5</v>
      </c>
      <c r="G429" s="125">
        <f>$E429*G314</f>
        <v>5</v>
      </c>
      <c r="H429" s="125">
        <f>$E429*H314</f>
        <v>5</v>
      </c>
      <c r="I429" s="125">
        <f>$E429*I314</f>
        <v>5</v>
      </c>
      <c r="J429" s="125">
        <f>$E429*J314</f>
        <v>0</v>
      </c>
      <c r="K429" s="125">
        <f>$E429*K314</f>
        <v>0</v>
      </c>
      <c r="L429" s="125">
        <f>$E429*L314</f>
        <v>0</v>
      </c>
      <c r="M429" s="125">
        <f>$E429*M314</f>
        <v>0</v>
      </c>
      <c r="N429" s="125">
        <f>$E429*N314</f>
        <v>0</v>
      </c>
      <c r="O429" s="125">
        <f>$E429*O314</f>
        <v>0</v>
      </c>
      <c r="P429" s="122"/>
      <c r="Q429" s="122"/>
      <c r="R429" s="122"/>
      <c r="S429" s="122"/>
      <c r="T429" s="122"/>
      <c r="U429" s="122"/>
      <c r="V429" s="122"/>
      <c r="W429" s="122"/>
      <c r="X429" s="122"/>
      <c r="Y429" s="122"/>
      <c r="Z429" s="122"/>
    </row>
    <row r="430" spans="1:26" ht="12.75" x14ac:dyDescent="0.2">
      <c r="A430" s="122"/>
      <c r="B430" s="180"/>
      <c r="C430" s="198" t="s">
        <v>207</v>
      </c>
      <c r="D430" s="182"/>
      <c r="E430" s="182"/>
      <c r="F430" s="193">
        <f>SUM(F423:F429)</f>
        <v>40.521042169291334</v>
      </c>
      <c r="G430" s="193">
        <f t="shared" ref="G430:O430" si="87">SUM(G423:G429)</f>
        <v>40.521042169291334</v>
      </c>
      <c r="H430" s="193">
        <f t="shared" si="87"/>
        <v>40.521042169291334</v>
      </c>
      <c r="I430" s="193">
        <f t="shared" si="87"/>
        <v>40.521042169291334</v>
      </c>
      <c r="J430" s="193">
        <f t="shared" si="87"/>
        <v>35.521042169291341</v>
      </c>
      <c r="K430" s="193">
        <f t="shared" si="87"/>
        <v>35.521042169291334</v>
      </c>
      <c r="L430" s="193">
        <f t="shared" si="87"/>
        <v>35.521042169291334</v>
      </c>
      <c r="M430" s="193">
        <f t="shared" si="87"/>
        <v>35.521042169291334</v>
      </c>
      <c r="N430" s="193">
        <f t="shared" si="87"/>
        <v>35.521042169291334</v>
      </c>
      <c r="O430" s="193">
        <f t="shared" si="87"/>
        <v>35.521042169291334</v>
      </c>
      <c r="P430" s="122"/>
      <c r="Q430" s="122"/>
      <c r="R430" s="122"/>
      <c r="S430" s="122"/>
      <c r="T430" s="122"/>
      <c r="U430" s="122"/>
      <c r="V430" s="122"/>
      <c r="W430" s="122"/>
      <c r="X430" s="122"/>
      <c r="Y430" s="122"/>
      <c r="Z430" s="122"/>
    </row>
    <row r="431" spans="1:26" ht="12.75" x14ac:dyDescent="0.2">
      <c r="A431" s="122"/>
      <c r="B431" s="180"/>
      <c r="C431" s="155"/>
      <c r="D431" s="180"/>
      <c r="E431" s="180"/>
      <c r="F431" s="180"/>
      <c r="G431" s="180"/>
      <c r="H431" s="180"/>
      <c r="I431" s="180"/>
      <c r="J431" s="180"/>
      <c r="K431" s="180"/>
      <c r="L431" s="180"/>
      <c r="M431" s="180"/>
      <c r="N431" s="180"/>
      <c r="O431" s="180"/>
      <c r="P431" s="122"/>
      <c r="Q431" s="122"/>
      <c r="R431" s="122"/>
      <c r="S431" s="122"/>
      <c r="T431" s="122"/>
      <c r="U431" s="122"/>
      <c r="V431" s="122"/>
      <c r="W431" s="122"/>
      <c r="X431" s="122"/>
      <c r="Y431" s="122"/>
      <c r="Z431" s="122"/>
    </row>
    <row r="432" spans="1:26" ht="12.75" x14ac:dyDescent="0.2">
      <c r="A432" s="122"/>
      <c r="B432" s="180"/>
      <c r="C432" s="188" t="s">
        <v>215</v>
      </c>
      <c r="D432" s="180"/>
      <c r="E432" s="180"/>
      <c r="F432" s="183"/>
      <c r="G432" s="183"/>
      <c r="H432" s="183"/>
      <c r="I432" s="183"/>
      <c r="J432" s="183"/>
      <c r="K432" s="183"/>
      <c r="L432" s="183"/>
      <c r="M432" s="183"/>
      <c r="N432" s="183"/>
      <c r="O432" s="183"/>
      <c r="P432" s="122"/>
      <c r="Q432" s="122"/>
      <c r="R432" s="122"/>
      <c r="S432" s="122"/>
      <c r="T432" s="122"/>
      <c r="U432" s="122"/>
      <c r="V432" s="122"/>
      <c r="W432" s="122"/>
      <c r="X432" s="122"/>
      <c r="Y432" s="122"/>
      <c r="Z432" s="122"/>
    </row>
    <row r="433" spans="1:26" ht="12.75" x14ac:dyDescent="0.2">
      <c r="A433" s="122"/>
      <c r="B433" s="180"/>
      <c r="C433" s="155" t="s">
        <v>110</v>
      </c>
      <c r="D433" s="180"/>
      <c r="E433" s="338">
        <v>1</v>
      </c>
      <c r="F433" s="125">
        <f>$E433*F318</f>
        <v>4.6074999999999999</v>
      </c>
      <c r="G433" s="125">
        <f>$E433*G318</f>
        <v>4.607499999999999</v>
      </c>
      <c r="H433" s="125">
        <f>$E433*H318</f>
        <v>4.6074999999999999</v>
      </c>
      <c r="I433" s="125">
        <f>$E433*I318</f>
        <v>4.6074999999999999</v>
      </c>
      <c r="J433" s="125">
        <f>$E433*J318</f>
        <v>4.6074999999999999</v>
      </c>
      <c r="K433" s="125">
        <f>$E433*K318</f>
        <v>4.6074999999999999</v>
      </c>
      <c r="L433" s="125">
        <f>$E433*L318</f>
        <v>4.6074999999999999</v>
      </c>
      <c r="M433" s="125">
        <f>$E433*M318</f>
        <v>4.6074999999999999</v>
      </c>
      <c r="N433" s="125">
        <f>$E433*N318</f>
        <v>4.6074999999999999</v>
      </c>
      <c r="O433" s="125">
        <f>$E433*O318</f>
        <v>4.6074999999999999</v>
      </c>
      <c r="P433" s="122"/>
      <c r="Q433" s="122"/>
      <c r="R433" s="122"/>
      <c r="S433" s="122"/>
      <c r="T433" s="122"/>
      <c r="U433" s="122"/>
      <c r="V433" s="122"/>
      <c r="W433" s="122"/>
      <c r="X433" s="122"/>
      <c r="Y433" s="122"/>
      <c r="Z433" s="122"/>
    </row>
    <row r="434" spans="1:26" ht="12.75" x14ac:dyDescent="0.2">
      <c r="A434" s="122"/>
      <c r="B434" s="180"/>
      <c r="C434" s="184" t="s">
        <v>283</v>
      </c>
      <c r="D434" s="185"/>
      <c r="E434" s="339">
        <v>1</v>
      </c>
      <c r="F434" s="236">
        <f>$E434*F319</f>
        <v>2.1601050000000002</v>
      </c>
      <c r="G434" s="236">
        <f>$E434*G319</f>
        <v>2.1601050000000002</v>
      </c>
      <c r="H434" s="236">
        <f>$E434*H319</f>
        <v>2.1601050000000002</v>
      </c>
      <c r="I434" s="236">
        <f>$E434*I319</f>
        <v>2.1601050000000002</v>
      </c>
      <c r="J434" s="236">
        <f>$E434*J319</f>
        <v>2.1601050000000002</v>
      </c>
      <c r="K434" s="236">
        <f>$E434*K319</f>
        <v>2.1601050000000002</v>
      </c>
      <c r="L434" s="236">
        <f>$E434*L319</f>
        <v>2.1601050000000002</v>
      </c>
      <c r="M434" s="236">
        <f>$E434*M319</f>
        <v>2.1601050000000002</v>
      </c>
      <c r="N434" s="236">
        <f>$E434*N319</f>
        <v>2.1601050000000002</v>
      </c>
      <c r="O434" s="236">
        <f>$E434*O319</f>
        <v>2.1601050000000002</v>
      </c>
      <c r="P434" s="122"/>
      <c r="Q434" s="122"/>
      <c r="R434" s="122"/>
      <c r="S434" s="122"/>
      <c r="T434" s="122"/>
      <c r="U434" s="122"/>
      <c r="V434" s="122"/>
      <c r="W434" s="122"/>
      <c r="X434" s="122"/>
      <c r="Y434" s="122"/>
      <c r="Z434" s="122"/>
    </row>
    <row r="435" spans="1:26" ht="12.75" x14ac:dyDescent="0.2">
      <c r="A435" s="122"/>
      <c r="B435" s="180"/>
      <c r="C435" s="199" t="s">
        <v>216</v>
      </c>
      <c r="D435" s="182"/>
      <c r="E435" s="155"/>
      <c r="F435" s="127">
        <f>SUM(F433:F434)</f>
        <v>6.7676049999999996</v>
      </c>
      <c r="G435" s="127">
        <f t="shared" ref="G435:O435" si="88">SUM(G433:G434)</f>
        <v>6.7676049999999996</v>
      </c>
      <c r="H435" s="127">
        <f t="shared" si="88"/>
        <v>6.7676049999999996</v>
      </c>
      <c r="I435" s="127">
        <f t="shared" si="88"/>
        <v>6.7676049999999996</v>
      </c>
      <c r="J435" s="127">
        <f t="shared" si="88"/>
        <v>6.7676049999999996</v>
      </c>
      <c r="K435" s="127">
        <f t="shared" si="88"/>
        <v>6.7676049999999996</v>
      </c>
      <c r="L435" s="127">
        <f t="shared" si="88"/>
        <v>6.7676049999999996</v>
      </c>
      <c r="M435" s="127">
        <f t="shared" si="88"/>
        <v>6.7676049999999996</v>
      </c>
      <c r="N435" s="127">
        <f t="shared" si="88"/>
        <v>6.7676049999999996</v>
      </c>
      <c r="O435" s="127">
        <f t="shared" si="88"/>
        <v>6.7676049999999996</v>
      </c>
      <c r="P435" s="122"/>
      <c r="Q435" s="122"/>
      <c r="R435" s="122"/>
      <c r="S435" s="122"/>
      <c r="T435" s="122"/>
      <c r="U435" s="122"/>
      <c r="V435" s="122"/>
      <c r="W435" s="122"/>
      <c r="X435" s="122"/>
      <c r="Y435" s="122"/>
      <c r="Z435" s="122"/>
    </row>
    <row r="436" spans="1:26" ht="12.75" x14ac:dyDescent="0.2">
      <c r="A436" s="122"/>
      <c r="B436" s="180"/>
      <c r="C436" s="155"/>
      <c r="D436" s="180"/>
      <c r="E436" s="201"/>
      <c r="F436" s="183"/>
      <c r="G436" s="183"/>
      <c r="H436" s="183"/>
      <c r="I436" s="183"/>
      <c r="J436" s="183"/>
      <c r="K436" s="183"/>
      <c r="L436" s="183"/>
      <c r="M436" s="183"/>
      <c r="N436" s="183"/>
      <c r="O436" s="183"/>
      <c r="P436" s="122"/>
      <c r="Q436" s="122"/>
      <c r="R436" s="122"/>
      <c r="S436" s="122"/>
      <c r="T436" s="122"/>
      <c r="U436" s="122"/>
      <c r="V436" s="122"/>
      <c r="W436" s="122"/>
      <c r="X436" s="122"/>
      <c r="Y436" s="122"/>
      <c r="Z436" s="122"/>
    </row>
    <row r="437" spans="1:26" ht="12.75" x14ac:dyDescent="0.2">
      <c r="A437" s="122"/>
      <c r="B437" s="180"/>
      <c r="C437" s="188" t="s">
        <v>219</v>
      </c>
      <c r="D437" s="180"/>
      <c r="E437" s="180"/>
      <c r="F437" s="183"/>
      <c r="G437" s="183"/>
      <c r="H437" s="183"/>
      <c r="I437" s="183"/>
      <c r="J437" s="183"/>
      <c r="K437" s="183"/>
      <c r="L437" s="183"/>
      <c r="M437" s="183"/>
      <c r="N437" s="183"/>
      <c r="O437" s="183"/>
      <c r="P437" s="122"/>
      <c r="Q437" s="122"/>
      <c r="R437" s="122"/>
      <c r="S437" s="122"/>
      <c r="T437" s="122"/>
      <c r="U437" s="122"/>
      <c r="V437" s="122"/>
      <c r="W437" s="122"/>
      <c r="X437" s="122"/>
      <c r="Y437" s="122"/>
      <c r="Z437" s="122"/>
    </row>
    <row r="438" spans="1:26" ht="12.75" x14ac:dyDescent="0.2">
      <c r="A438" s="122"/>
      <c r="B438" s="180"/>
      <c r="C438" s="152" t="s">
        <v>92</v>
      </c>
      <c r="D438" s="180"/>
      <c r="E438" s="338">
        <f>E407</f>
        <v>1.0463160732906094</v>
      </c>
      <c r="F438" s="125">
        <f>$E438*F323</f>
        <v>0.38059747165945912</v>
      </c>
      <c r="G438" s="125">
        <f>$E438*G323</f>
        <v>0.38059747165945912</v>
      </c>
      <c r="H438" s="125">
        <f>$E438*H323</f>
        <v>0.38059747165945912</v>
      </c>
      <c r="I438" s="125">
        <f>$E438*I323</f>
        <v>0.38059747165945912</v>
      </c>
      <c r="J438" s="125">
        <f>$E438*J323</f>
        <v>0.38059747165945912</v>
      </c>
      <c r="K438" s="125">
        <f>$E438*K323</f>
        <v>0.38059747165945912</v>
      </c>
      <c r="L438" s="125">
        <f>$E438*L323</f>
        <v>0.38059747165945912</v>
      </c>
      <c r="M438" s="125">
        <f>$E438*M323</f>
        <v>0.38059747165945912</v>
      </c>
      <c r="N438" s="125">
        <f>$E438*N323</f>
        <v>0.38059747165945912</v>
      </c>
      <c r="O438" s="125">
        <f>$E438*O323</f>
        <v>0.38059747165945912</v>
      </c>
      <c r="P438" s="122"/>
      <c r="Q438" s="122"/>
      <c r="R438" s="122"/>
      <c r="S438" s="122"/>
      <c r="T438" s="122"/>
      <c r="U438" s="122"/>
      <c r="V438" s="122"/>
      <c r="W438" s="122"/>
      <c r="X438" s="122"/>
      <c r="Y438" s="122"/>
      <c r="Z438" s="122"/>
    </row>
    <row r="439" spans="1:26" ht="12.75" x14ac:dyDescent="0.2">
      <c r="A439" s="122"/>
      <c r="B439" s="180"/>
      <c r="C439" s="152" t="s">
        <v>96</v>
      </c>
      <c r="D439" s="180"/>
      <c r="E439" s="338">
        <v>1</v>
      </c>
      <c r="F439" s="125">
        <f>$E439*F324</f>
        <v>5.3107499999999996</v>
      </c>
      <c r="G439" s="125">
        <f>$E439*G324</f>
        <v>5.3107499999999996</v>
      </c>
      <c r="H439" s="125">
        <f>$E439*H324</f>
        <v>5.3107499999999996</v>
      </c>
      <c r="I439" s="125">
        <f>$E439*I324</f>
        <v>5.3107499999999996</v>
      </c>
      <c r="J439" s="125">
        <f>$E439*J324</f>
        <v>5.3107499999999996</v>
      </c>
      <c r="K439" s="125">
        <f>$E439*K324</f>
        <v>5.3107499999999996</v>
      </c>
      <c r="L439" s="125">
        <f>$E439*L324</f>
        <v>5.3107499999999996</v>
      </c>
      <c r="M439" s="125">
        <f>$E439*M324</f>
        <v>5.3107499999999996</v>
      </c>
      <c r="N439" s="125">
        <f>$E439*N324</f>
        <v>5.3107499999999996</v>
      </c>
      <c r="O439" s="125">
        <f>$E439*O324</f>
        <v>5.3107499999999996</v>
      </c>
      <c r="P439" s="122"/>
      <c r="Q439" s="122"/>
      <c r="R439" s="122"/>
      <c r="S439" s="122"/>
      <c r="T439" s="122"/>
      <c r="U439" s="122"/>
      <c r="V439" s="122"/>
      <c r="W439" s="122"/>
      <c r="X439" s="122"/>
      <c r="Y439" s="122"/>
      <c r="Z439" s="122"/>
    </row>
    <row r="440" spans="1:26" ht="12.75" x14ac:dyDescent="0.2">
      <c r="A440" s="122"/>
      <c r="B440" s="180"/>
      <c r="C440" s="152" t="s">
        <v>99</v>
      </c>
      <c r="D440" s="180"/>
      <c r="E440" s="299">
        <f>CFs!$C$252</f>
        <v>1.5401003517880794</v>
      </c>
      <c r="F440" s="125">
        <f>$E440*F325</f>
        <v>28.430109326279243</v>
      </c>
      <c r="G440" s="125">
        <f>$E440*G325</f>
        <v>28.43010932627924</v>
      </c>
      <c r="H440" s="125">
        <f>$E440*H325</f>
        <v>28.43010932627924</v>
      </c>
      <c r="I440" s="125">
        <f>$E440*I325</f>
        <v>28.430109326279243</v>
      </c>
      <c r="J440" s="125">
        <f>$E440*J325</f>
        <v>28.43010932627924</v>
      </c>
      <c r="K440" s="125">
        <f>$E440*K325</f>
        <v>28.430109326279243</v>
      </c>
      <c r="L440" s="125">
        <f>$E440*L325</f>
        <v>28.43010932627924</v>
      </c>
      <c r="M440" s="125">
        <f>$E440*M325</f>
        <v>28.430109326279243</v>
      </c>
      <c r="N440" s="125">
        <f>$E440*N325</f>
        <v>28.430109326279251</v>
      </c>
      <c r="O440" s="125">
        <f>$E440*O325</f>
        <v>28.430109326279243</v>
      </c>
      <c r="P440" s="122"/>
      <c r="Q440" s="122"/>
      <c r="R440" s="122"/>
      <c r="S440" s="122"/>
      <c r="T440" s="122"/>
      <c r="U440" s="122"/>
      <c r="V440" s="122"/>
      <c r="W440" s="122"/>
      <c r="X440" s="122"/>
      <c r="Y440" s="122"/>
      <c r="Z440" s="122"/>
    </row>
    <row r="441" spans="1:26" ht="12.75" x14ac:dyDescent="0.2">
      <c r="A441" s="122"/>
      <c r="B441" s="180"/>
      <c r="C441" s="152" t="s">
        <v>102</v>
      </c>
      <c r="D441" s="180"/>
      <c r="E441" s="299">
        <f>CFs!$C$218</f>
        <v>1.0969941102134646</v>
      </c>
      <c r="F441" s="125">
        <f>$E441*F326</f>
        <v>10.209022568263704</v>
      </c>
      <c r="G441" s="125">
        <f>$E441*G326</f>
        <v>10.209022568263704</v>
      </c>
      <c r="H441" s="125">
        <f>$E441*H326</f>
        <v>10.209022568263704</v>
      </c>
      <c r="I441" s="125">
        <f>$E441*I326</f>
        <v>10.209022568263705</v>
      </c>
      <c r="J441" s="125">
        <f>$E441*J326</f>
        <v>10.209022568263704</v>
      </c>
      <c r="K441" s="125">
        <f>$E441*K326</f>
        <v>10.209022568263704</v>
      </c>
      <c r="L441" s="125">
        <f>$E441*L326</f>
        <v>10.209022568263704</v>
      </c>
      <c r="M441" s="125">
        <f>$E441*M326</f>
        <v>10.209022568263704</v>
      </c>
      <c r="N441" s="125">
        <f>$E441*N326</f>
        <v>10.209022568263705</v>
      </c>
      <c r="O441" s="125">
        <f>$E441*O326</f>
        <v>10.209022568263702</v>
      </c>
      <c r="P441" s="122"/>
      <c r="Q441" s="122"/>
      <c r="R441" s="122"/>
      <c r="S441" s="122"/>
      <c r="T441" s="122"/>
      <c r="U441" s="122"/>
      <c r="V441" s="122"/>
      <c r="W441" s="122"/>
      <c r="X441" s="122"/>
      <c r="Y441" s="122"/>
      <c r="Z441" s="122"/>
    </row>
    <row r="442" spans="1:26" ht="12.75" x14ac:dyDescent="0.2">
      <c r="A442" s="122"/>
      <c r="B442" s="180"/>
      <c r="C442" s="152" t="s">
        <v>105</v>
      </c>
      <c r="D442" s="180"/>
      <c r="E442" s="338">
        <v>1</v>
      </c>
      <c r="F442" s="125">
        <f>$E442*F327</f>
        <v>2.13788</v>
      </c>
      <c r="G442" s="125">
        <f>$E442*G327</f>
        <v>2.1378799999999996</v>
      </c>
      <c r="H442" s="125">
        <f>$E442*H327</f>
        <v>2.1378799999999996</v>
      </c>
      <c r="I442" s="125">
        <f>$E442*I327</f>
        <v>2.13788</v>
      </c>
      <c r="J442" s="125">
        <f>$E442*J327</f>
        <v>2.1378799999999996</v>
      </c>
      <c r="K442" s="125">
        <f>$E442*K327</f>
        <v>2.13788</v>
      </c>
      <c r="L442" s="125">
        <f>$E442*L327</f>
        <v>2.13788</v>
      </c>
      <c r="M442" s="125">
        <f>$E442*M327</f>
        <v>2.13788</v>
      </c>
      <c r="N442" s="125">
        <f>$E442*N327</f>
        <v>2.13788</v>
      </c>
      <c r="O442" s="125">
        <f>$E442*O327</f>
        <v>2.13788</v>
      </c>
      <c r="P442" s="122"/>
      <c r="Q442" s="122"/>
      <c r="R442" s="122"/>
      <c r="S442" s="122"/>
      <c r="T442" s="122"/>
      <c r="U442" s="122"/>
      <c r="V442" s="122"/>
      <c r="W442" s="122"/>
      <c r="X442" s="122"/>
      <c r="Y442" s="122"/>
      <c r="Z442" s="122"/>
    </row>
    <row r="443" spans="1:26" ht="12.75" x14ac:dyDescent="0.2">
      <c r="A443" s="122"/>
      <c r="B443" s="180"/>
      <c r="C443" s="152" t="s">
        <v>108</v>
      </c>
      <c r="D443" s="180"/>
      <c r="E443" s="338">
        <v>1</v>
      </c>
      <c r="F443" s="125">
        <f>$E443*F328</f>
        <v>2.5</v>
      </c>
      <c r="G443" s="125">
        <f>$E443*G328</f>
        <v>2.6</v>
      </c>
      <c r="H443" s="125">
        <f>$E443*H328</f>
        <v>2.6</v>
      </c>
      <c r="I443" s="125">
        <f>$E443*I328</f>
        <v>2.7</v>
      </c>
      <c r="J443" s="125">
        <f>$E443*J328</f>
        <v>2.8</v>
      </c>
      <c r="K443" s="125">
        <f>$E443*K328</f>
        <v>2.9</v>
      </c>
      <c r="L443" s="125">
        <f>$E443*L328</f>
        <v>3</v>
      </c>
      <c r="M443" s="125">
        <f>$E443*M328</f>
        <v>3.1</v>
      </c>
      <c r="N443" s="125">
        <f>$E443*N328</f>
        <v>3.2</v>
      </c>
      <c r="O443" s="125">
        <f>$E443*O328</f>
        <v>3.3</v>
      </c>
      <c r="P443" s="122"/>
      <c r="Q443" s="122"/>
      <c r="R443" s="122"/>
      <c r="S443" s="122"/>
      <c r="T443" s="122"/>
      <c r="U443" s="122"/>
      <c r="V443" s="122"/>
      <c r="W443" s="122"/>
      <c r="X443" s="122"/>
      <c r="Y443" s="122"/>
      <c r="Z443" s="122"/>
    </row>
    <row r="444" spans="1:26" ht="12.75" x14ac:dyDescent="0.2">
      <c r="A444" s="122"/>
      <c r="B444" s="155"/>
      <c r="C444" s="198" t="s">
        <v>217</v>
      </c>
      <c r="D444" s="198"/>
      <c r="E444" s="198"/>
      <c r="F444" s="200">
        <f t="shared" ref="F444:O444" si="89">SUM(F438:F443)</f>
        <v>48.968359366202414</v>
      </c>
      <c r="G444" s="200">
        <f t="shared" si="89"/>
        <v>49.068359366202408</v>
      </c>
      <c r="H444" s="200">
        <f t="shared" si="89"/>
        <v>49.068359366202408</v>
      </c>
      <c r="I444" s="200">
        <f t="shared" si="89"/>
        <v>49.168359366202417</v>
      </c>
      <c r="J444" s="200">
        <f t="shared" si="89"/>
        <v>49.268359366202404</v>
      </c>
      <c r="K444" s="200">
        <f t="shared" si="89"/>
        <v>49.368359366202412</v>
      </c>
      <c r="L444" s="200">
        <f t="shared" si="89"/>
        <v>49.468359366202407</v>
      </c>
      <c r="M444" s="200">
        <f t="shared" si="89"/>
        <v>49.568359366202415</v>
      </c>
      <c r="N444" s="200">
        <f t="shared" si="89"/>
        <v>49.668359366202417</v>
      </c>
      <c r="O444" s="200">
        <f t="shared" si="89"/>
        <v>49.768359366202411</v>
      </c>
      <c r="P444" s="122"/>
      <c r="Q444" s="122"/>
      <c r="R444" s="122"/>
      <c r="S444" s="122"/>
      <c r="T444" s="122"/>
      <c r="U444" s="122"/>
      <c r="V444" s="122"/>
      <c r="W444" s="122"/>
      <c r="X444" s="122"/>
      <c r="Y444" s="122"/>
      <c r="Z444" s="122"/>
    </row>
    <row r="445" spans="1:26" ht="12.75" x14ac:dyDescent="0.2">
      <c r="A445" s="122"/>
      <c r="B445" s="155"/>
      <c r="C445" s="155"/>
      <c r="D445" s="155"/>
      <c r="E445" s="155"/>
      <c r="F445" s="155"/>
      <c r="G445" s="155"/>
      <c r="H445" s="155"/>
      <c r="I445" s="155"/>
      <c r="J445" s="155"/>
      <c r="K445" s="155"/>
      <c r="L445" s="155"/>
      <c r="M445" s="155"/>
      <c r="N445" s="155"/>
      <c r="O445" s="155"/>
      <c r="P445" s="122"/>
      <c r="Q445" s="122"/>
      <c r="R445" s="122"/>
      <c r="S445" s="122"/>
      <c r="T445" s="122"/>
      <c r="U445" s="122"/>
      <c r="V445" s="122"/>
      <c r="W445" s="122"/>
      <c r="X445" s="122"/>
      <c r="Y445" s="122"/>
      <c r="Z445" s="122"/>
    </row>
    <row r="446" spans="1:26" ht="12.75" x14ac:dyDescent="0.2">
      <c r="A446" s="122"/>
      <c r="B446" s="180"/>
      <c r="C446" s="188" t="s">
        <v>287</v>
      </c>
      <c r="D446" s="201"/>
      <c r="E446" s="155"/>
      <c r="F446" s="202"/>
      <c r="G446" s="202"/>
      <c r="H446" s="202"/>
      <c r="I446" s="202"/>
      <c r="J446" s="202"/>
      <c r="K446" s="202"/>
      <c r="L446" s="202"/>
      <c r="M446" s="202"/>
      <c r="N446" s="202"/>
      <c r="O446" s="202"/>
      <c r="P446" s="122"/>
      <c r="Q446" s="122"/>
      <c r="R446" s="122"/>
      <c r="S446" s="122"/>
      <c r="T446" s="122"/>
      <c r="U446" s="122"/>
      <c r="V446" s="122"/>
      <c r="W446" s="122"/>
      <c r="X446" s="122"/>
      <c r="Y446" s="122"/>
      <c r="Z446" s="122"/>
    </row>
    <row r="447" spans="1:26" ht="12.75" x14ac:dyDescent="0.2">
      <c r="A447" s="122"/>
      <c r="B447" s="180"/>
      <c r="C447" s="155" t="s">
        <v>375</v>
      </c>
      <c r="D447" s="201"/>
      <c r="E447" s="338">
        <v>1.2</v>
      </c>
      <c r="F447" s="125">
        <f>$E447*F332</f>
        <v>2.0961148818897635</v>
      </c>
      <c r="G447" s="183">
        <f>$E447*G332</f>
        <v>2.1696152952755896</v>
      </c>
      <c r="H447" s="183">
        <f>$E447*H332</f>
        <v>2.2449532189960624</v>
      </c>
      <c r="I447" s="183">
        <f>$E447*I332</f>
        <v>2.3221745908095466</v>
      </c>
      <c r="J447" s="183">
        <f>$E447*J332</f>
        <v>2.401326496918367</v>
      </c>
      <c r="K447" s="183">
        <f>$E447*K332</f>
        <v>2.4824572006799093</v>
      </c>
      <c r="L447" s="183">
        <f>$E447*L332</f>
        <v>2.5656161720354893</v>
      </c>
      <c r="M447" s="183">
        <f>$E447*M332</f>
        <v>2.6508541176749594</v>
      </c>
      <c r="N447" s="183">
        <f>$E447*N332</f>
        <v>2.738223011955415</v>
      </c>
      <c r="O447" s="183">
        <f>$E447*O332</f>
        <v>2.8277761285928826</v>
      </c>
      <c r="P447" s="122"/>
      <c r="Q447" s="122"/>
      <c r="R447" s="122"/>
      <c r="S447" s="122"/>
      <c r="T447" s="122"/>
      <c r="U447" s="122"/>
      <c r="V447" s="122"/>
      <c r="W447" s="122"/>
      <c r="X447" s="122"/>
      <c r="Y447" s="122"/>
      <c r="Z447" s="122"/>
    </row>
    <row r="448" spans="1:26" ht="12.75" x14ac:dyDescent="0.2">
      <c r="A448" s="122"/>
      <c r="B448" s="180"/>
      <c r="C448" s="184" t="s">
        <v>284</v>
      </c>
      <c r="D448" s="185"/>
      <c r="E448" s="339">
        <v>1</v>
      </c>
      <c r="F448" s="236">
        <f>$E448*F333</f>
        <v>1.0585984251968503</v>
      </c>
      <c r="G448" s="236">
        <f>$E448*G333</f>
        <v>1.0850633858267715</v>
      </c>
      <c r="H448" s="236">
        <f>$E448*H333</f>
        <v>1.1121899704724407</v>
      </c>
      <c r="I448" s="236">
        <f>$E448*I333</f>
        <v>1.1399947197342517</v>
      </c>
      <c r="J448" s="236">
        <f>$E448*J333</f>
        <v>1.1684945877276078</v>
      </c>
      <c r="K448" s="236">
        <f>$E448*K333</f>
        <v>1.1977069524207982</v>
      </c>
      <c r="L448" s="236">
        <f>$E448*L333</f>
        <v>1.2276496262313179</v>
      </c>
      <c r="M448" s="236">
        <f>$E448*M333</f>
        <v>1.2583408668871008</v>
      </c>
      <c r="N448" s="236">
        <f>$E448*N333</f>
        <v>1.289799388559278</v>
      </c>
      <c r="O448" s="236">
        <f>$E448*O333</f>
        <v>1.3220443732732599</v>
      </c>
      <c r="P448" s="122"/>
      <c r="Q448" s="122"/>
      <c r="R448" s="122"/>
      <c r="S448" s="122"/>
      <c r="T448" s="122"/>
      <c r="U448" s="122"/>
      <c r="V448" s="122"/>
      <c r="W448" s="122"/>
      <c r="X448" s="122"/>
      <c r="Y448" s="122"/>
      <c r="Z448" s="122"/>
    </row>
    <row r="449" spans="1:26" ht="12.75" x14ac:dyDescent="0.2">
      <c r="A449" s="122"/>
      <c r="B449" s="180"/>
      <c r="C449" s="189" t="s">
        <v>289</v>
      </c>
      <c r="D449" s="201"/>
      <c r="E449" s="155"/>
      <c r="F449" s="202">
        <f t="shared" ref="F449:O449" si="90">SUM(F447:F448)</f>
        <v>3.154713307086614</v>
      </c>
      <c r="G449" s="202">
        <f t="shared" si="90"/>
        <v>3.2546786811023614</v>
      </c>
      <c r="H449" s="202">
        <f t="shared" si="90"/>
        <v>3.3571431894685029</v>
      </c>
      <c r="I449" s="202">
        <f t="shared" si="90"/>
        <v>3.4621693105437981</v>
      </c>
      <c r="J449" s="202">
        <f t="shared" si="90"/>
        <v>3.5698210846459748</v>
      </c>
      <c r="K449" s="202">
        <f t="shared" si="90"/>
        <v>3.6801641531007077</v>
      </c>
      <c r="L449" s="202">
        <f t="shared" si="90"/>
        <v>3.7932657982668072</v>
      </c>
      <c r="M449" s="202">
        <f t="shared" si="90"/>
        <v>3.9091949845620602</v>
      </c>
      <c r="N449" s="202">
        <f t="shared" si="90"/>
        <v>4.0280224005146934</v>
      </c>
      <c r="O449" s="202">
        <f t="shared" si="90"/>
        <v>4.1498205018661425</v>
      </c>
      <c r="P449" s="122"/>
      <c r="Q449" s="122"/>
      <c r="R449" s="122"/>
      <c r="S449" s="122"/>
      <c r="T449" s="122"/>
      <c r="U449" s="122"/>
      <c r="V449" s="122"/>
      <c r="W449" s="122"/>
      <c r="X449" s="122"/>
      <c r="Y449" s="122"/>
      <c r="Z449" s="122"/>
    </row>
    <row r="450" spans="1:26" ht="12.75" x14ac:dyDescent="0.2">
      <c r="A450" s="122"/>
      <c r="B450" s="155"/>
      <c r="C450" s="155"/>
      <c r="D450" s="155"/>
      <c r="E450" s="155"/>
      <c r="F450" s="155"/>
      <c r="G450" s="155"/>
      <c r="H450" s="155"/>
      <c r="I450" s="155"/>
      <c r="J450" s="155"/>
      <c r="K450" s="155"/>
      <c r="L450" s="155"/>
      <c r="M450" s="155"/>
      <c r="N450" s="155"/>
      <c r="O450" s="155"/>
      <c r="P450" s="122"/>
      <c r="Q450" s="122"/>
      <c r="R450" s="122"/>
      <c r="S450" s="122"/>
      <c r="T450" s="122"/>
      <c r="U450" s="122"/>
      <c r="V450" s="122"/>
      <c r="W450" s="122"/>
      <c r="X450" s="122"/>
      <c r="Y450" s="122"/>
      <c r="Z450" s="122"/>
    </row>
    <row r="451" spans="1:26" ht="12.75" x14ac:dyDescent="0.2">
      <c r="A451" s="122"/>
      <c r="B451" s="155"/>
      <c r="C451" s="203" t="s">
        <v>669</v>
      </c>
      <c r="D451" s="203"/>
      <c r="E451" s="203"/>
      <c r="F451" s="204">
        <f>F420+F430+F435+F444+F449</f>
        <v>99.411719842580368</v>
      </c>
      <c r="G451" s="204">
        <f>G420+G430+G435+G444+G449</f>
        <v>99.611685216596115</v>
      </c>
      <c r="H451" s="204">
        <f t="shared" ref="H451:O451" si="91">H420+H430+H435+H444+H449</f>
        <v>99.714149724962255</v>
      </c>
      <c r="I451" s="204">
        <f t="shared" si="91"/>
        <v>99.919175846037547</v>
      </c>
      <c r="J451" s="204">
        <f t="shared" si="91"/>
        <v>95.126827620139721</v>
      </c>
      <c r="K451" s="204">
        <f t="shared" si="91"/>
        <v>95.337170688594455</v>
      </c>
      <c r="L451" s="204">
        <f t="shared" si="91"/>
        <v>95.550272333760546</v>
      </c>
      <c r="M451" s="204">
        <f t="shared" si="91"/>
        <v>95.766201520055816</v>
      </c>
      <c r="N451" s="204">
        <f t="shared" si="91"/>
        <v>95.985028936008433</v>
      </c>
      <c r="O451" s="204">
        <f t="shared" si="91"/>
        <v>96.206827037359886</v>
      </c>
      <c r="P451" s="122"/>
      <c r="Q451" s="122"/>
      <c r="R451" s="122"/>
      <c r="S451" s="122"/>
      <c r="T451" s="122"/>
      <c r="U451" s="122"/>
      <c r="V451" s="122"/>
      <c r="W451" s="122"/>
      <c r="X451" s="122"/>
      <c r="Y451" s="122"/>
      <c r="Z451" s="122"/>
    </row>
    <row r="452" spans="1:26" ht="12.75" x14ac:dyDescent="0.2">
      <c r="A452" s="122"/>
      <c r="B452" s="155"/>
      <c r="C452" s="155"/>
      <c r="D452" s="155"/>
      <c r="E452" s="155"/>
      <c r="F452" s="155"/>
      <c r="G452" s="155"/>
      <c r="H452" s="155"/>
      <c r="I452" s="155"/>
      <c r="J452" s="155"/>
      <c r="K452" s="155"/>
      <c r="L452" s="155"/>
      <c r="M452" s="155"/>
      <c r="N452" s="155"/>
      <c r="O452" s="155"/>
      <c r="P452" s="122"/>
      <c r="Q452" s="122"/>
      <c r="R452" s="122"/>
      <c r="S452" s="122"/>
      <c r="T452" s="122"/>
      <c r="U452" s="122"/>
      <c r="V452" s="122"/>
      <c r="W452" s="122"/>
      <c r="X452" s="122"/>
      <c r="Y452" s="122"/>
      <c r="Z452" s="122"/>
    </row>
    <row r="453" spans="1:26" ht="12.75" x14ac:dyDescent="0.2">
      <c r="A453" s="122"/>
      <c r="C453" s="206" t="s">
        <v>689</v>
      </c>
      <c r="D453" s="203"/>
      <c r="E453" s="203"/>
      <c r="F453" s="208">
        <f t="shared" ref="F453:O453" si="92">F415-F451</f>
        <v>33.797395238230337</v>
      </c>
      <c r="G453" s="208">
        <f t="shared" si="92"/>
        <v>36.927657741234853</v>
      </c>
      <c r="H453" s="208">
        <f t="shared" si="92"/>
        <v>40.238676806814482</v>
      </c>
      <c r="I453" s="208">
        <f t="shared" si="92"/>
        <v>43.532471349033585</v>
      </c>
      <c r="J453" s="208">
        <f t="shared" si="92"/>
        <v>51.911110754808192</v>
      </c>
      <c r="K453" s="208">
        <f t="shared" si="92"/>
        <v>55.37671614572713</v>
      </c>
      <c r="L453" s="208">
        <f t="shared" si="92"/>
        <v>58.931461671419072</v>
      </c>
      <c r="M453" s="208">
        <f t="shared" si="92"/>
        <v>62.577575835253313</v>
      </c>
      <c r="N453" s="208">
        <f t="shared" si="92"/>
        <v>66.317342853183334</v>
      </c>
      <c r="O453" s="208">
        <f t="shared" si="92"/>
        <v>70.15310404656168</v>
      </c>
      <c r="P453" s="122"/>
      <c r="Q453" s="122"/>
      <c r="R453" s="122"/>
      <c r="S453" s="122"/>
      <c r="T453" s="122"/>
      <c r="U453" s="122"/>
      <c r="V453" s="122"/>
      <c r="W453" s="122"/>
      <c r="X453" s="122"/>
      <c r="Y453" s="122"/>
      <c r="Z453" s="122"/>
    </row>
    <row r="454" spans="1:26" ht="12.75" x14ac:dyDescent="0.2">
      <c r="A454" s="122"/>
      <c r="B454" s="122"/>
      <c r="C454" s="122"/>
      <c r="D454" s="122"/>
      <c r="E454" s="122"/>
      <c r="F454" s="122"/>
      <c r="G454" s="122"/>
      <c r="H454" s="122"/>
      <c r="I454" s="122"/>
      <c r="J454" s="122"/>
      <c r="K454" s="122"/>
      <c r="L454" s="122"/>
      <c r="M454" s="122"/>
      <c r="N454" s="122"/>
      <c r="O454" s="122"/>
      <c r="P454" s="122"/>
      <c r="Q454" s="122"/>
      <c r="R454" s="122"/>
      <c r="S454" s="122"/>
      <c r="T454" s="122"/>
      <c r="U454" s="122"/>
      <c r="V454" s="122"/>
      <c r="W454" s="122"/>
      <c r="X454" s="122"/>
      <c r="Y454" s="122"/>
      <c r="Z454" s="122"/>
    </row>
    <row r="455" spans="1:26" s="143" customFormat="1" ht="12.75" x14ac:dyDescent="0.2">
      <c r="A455" s="392" t="s">
        <v>769</v>
      </c>
      <c r="B455" s="119"/>
      <c r="C455" s="119"/>
      <c r="D455" s="161" t="s">
        <v>174</v>
      </c>
      <c r="E455" s="161"/>
      <c r="F455" s="162">
        <v>0</v>
      </c>
      <c r="G455" s="162">
        <v>1</v>
      </c>
      <c r="H455" s="162">
        <v>2</v>
      </c>
      <c r="I455" s="162">
        <v>3</v>
      </c>
      <c r="J455" s="162">
        <v>4</v>
      </c>
      <c r="K455" s="162">
        <v>5</v>
      </c>
      <c r="L455" s="162">
        <v>6</v>
      </c>
      <c r="M455" s="162">
        <v>7</v>
      </c>
      <c r="N455" s="162">
        <v>8</v>
      </c>
      <c r="O455" s="162">
        <v>9</v>
      </c>
      <c r="P455" s="119"/>
      <c r="Q455" s="119"/>
      <c r="R455" s="119"/>
      <c r="S455" s="119"/>
      <c r="T455" s="119"/>
      <c r="U455" s="119"/>
      <c r="V455" s="119"/>
      <c r="W455" s="119"/>
      <c r="X455" s="119"/>
      <c r="Y455" s="119"/>
      <c r="Z455" s="119"/>
    </row>
    <row r="456" spans="1:26" s="143" customFormat="1" ht="12.75" x14ac:dyDescent="0.2">
      <c r="A456" s="3"/>
      <c r="B456" s="389" t="s">
        <v>866</v>
      </c>
      <c r="C456" s="155"/>
      <c r="D456" s="155"/>
      <c r="E456" s="155"/>
      <c r="F456" s="155"/>
      <c r="G456" s="155"/>
      <c r="H456" s="155"/>
      <c r="I456" s="155"/>
      <c r="J456" s="155"/>
      <c r="K456" s="155"/>
      <c r="L456" s="155"/>
      <c r="M456" s="155"/>
      <c r="N456" s="155"/>
      <c r="O456" s="155"/>
      <c r="P456" s="122"/>
      <c r="Q456" s="122"/>
      <c r="R456" s="122"/>
      <c r="S456" s="122"/>
      <c r="T456" s="122"/>
      <c r="U456" s="122"/>
      <c r="V456" s="122"/>
      <c r="W456" s="122"/>
      <c r="X456" s="122"/>
      <c r="Y456" s="122"/>
      <c r="Z456" s="122"/>
    </row>
    <row r="457" spans="1:26" s="143" customFormat="1" ht="12.75" x14ac:dyDescent="0.2">
      <c r="A457" s="3"/>
      <c r="B457" s="155"/>
      <c r="C457" s="155" t="s">
        <v>672</v>
      </c>
      <c r="D457" s="155"/>
      <c r="E457" s="155"/>
      <c r="F457" s="125">
        <f t="shared" ref="F457:O457" si="93">F415-F364</f>
        <v>48.62132700449591</v>
      </c>
      <c r="G457" s="125">
        <f t="shared" si="93"/>
        <v>50.936501424600394</v>
      </c>
      <c r="H457" s="125">
        <f t="shared" si="93"/>
        <v>53.322750900147398</v>
      </c>
      <c r="I457" s="125">
        <f t="shared" si="93"/>
        <v>55.782010655862237</v>
      </c>
      <c r="J457" s="125">
        <f t="shared" si="93"/>
        <v>58.316266197268504</v>
      </c>
      <c r="K457" s="125">
        <f t="shared" si="93"/>
        <v>60.927554590510042</v>
      </c>
      <c r="L457" s="125">
        <f t="shared" si="93"/>
        <v>63.617965774442325</v>
      </c>
      <c r="M457" s="125">
        <f t="shared" si="93"/>
        <v>66.389643905802984</v>
      </c>
      <c r="N457" s="125">
        <f t="shared" si="93"/>
        <v>69.244788738291533</v>
      </c>
      <c r="O457" s="125">
        <f t="shared" si="93"/>
        <v>72.185657036410561</v>
      </c>
      <c r="P457" s="122"/>
      <c r="Q457" s="122"/>
      <c r="R457" s="122"/>
      <c r="S457" s="122"/>
      <c r="T457" s="122"/>
      <c r="U457" s="122"/>
      <c r="V457" s="122"/>
      <c r="W457" s="122"/>
      <c r="X457" s="122"/>
      <c r="Y457" s="122"/>
      <c r="Z457" s="122"/>
    </row>
    <row r="458" spans="1:26" s="143" customFormat="1" ht="12.75" x14ac:dyDescent="0.2">
      <c r="A458" s="3"/>
      <c r="B458" s="155"/>
      <c r="C458" s="155" t="s">
        <v>673</v>
      </c>
      <c r="D458" s="155"/>
      <c r="E458" s="155"/>
      <c r="F458" s="125">
        <f t="shared" ref="F458:O458" si="94">F451-F400</f>
        <v>43.589070760865638</v>
      </c>
      <c r="G458" s="125">
        <f t="shared" si="94"/>
        <v>43.758566688881388</v>
      </c>
      <c r="H458" s="125">
        <f t="shared" si="94"/>
        <v>43.830196117895525</v>
      </c>
      <c r="I458" s="125">
        <f t="shared" si="94"/>
        <v>44.00401713866659</v>
      </c>
      <c r="J458" s="125">
        <f t="shared" si="94"/>
        <v>39.080089351260895</v>
      </c>
      <c r="K458" s="125">
        <f t="shared" si="94"/>
        <v>39.25847390346965</v>
      </c>
      <c r="L458" s="125">
        <f t="shared" si="94"/>
        <v>39.439233530194819</v>
      </c>
      <c r="M458" s="125">
        <f t="shared" si="94"/>
        <v>39.622432593827881</v>
      </c>
      <c r="N458" s="125">
        <f t="shared" si="94"/>
        <v>39.708137125646346</v>
      </c>
      <c r="O458" s="125">
        <f t="shared" si="94"/>
        <v>39.896414868254027</v>
      </c>
      <c r="P458" s="122"/>
      <c r="Q458" s="122"/>
      <c r="R458" s="122"/>
      <c r="S458" s="122"/>
      <c r="T458" s="122"/>
      <c r="U458" s="122"/>
      <c r="V458" s="122"/>
      <c r="W458" s="122"/>
      <c r="X458" s="122"/>
      <c r="Y458" s="122"/>
      <c r="Z458" s="122"/>
    </row>
    <row r="459" spans="1:26" s="143" customFormat="1" ht="12.75" x14ac:dyDescent="0.2">
      <c r="A459" s="3"/>
      <c r="B459" s="155"/>
      <c r="C459" s="155" t="s">
        <v>674</v>
      </c>
      <c r="D459" s="155"/>
      <c r="E459" s="155"/>
      <c r="F459" s="125">
        <f>F457-F458</f>
        <v>5.0322562436302718</v>
      </c>
      <c r="G459" s="125">
        <f t="shared" ref="G459:O459" si="95">G457-G458</f>
        <v>7.1779347357190062</v>
      </c>
      <c r="H459" s="125">
        <f t="shared" si="95"/>
        <v>9.4925547822518723</v>
      </c>
      <c r="I459" s="125">
        <f t="shared" si="95"/>
        <v>11.777993517195647</v>
      </c>
      <c r="J459" s="125">
        <f t="shared" si="95"/>
        <v>19.236176846007609</v>
      </c>
      <c r="K459" s="125">
        <f t="shared" si="95"/>
        <v>21.669080687040392</v>
      </c>
      <c r="L459" s="125">
        <f t="shared" si="95"/>
        <v>24.178732244247506</v>
      </c>
      <c r="M459" s="125">
        <f t="shared" si="95"/>
        <v>26.767211311975103</v>
      </c>
      <c r="N459" s="125">
        <f t="shared" si="95"/>
        <v>29.536651612645187</v>
      </c>
      <c r="O459" s="125">
        <f t="shared" si="95"/>
        <v>32.289242168156534</v>
      </c>
      <c r="P459" s="122"/>
      <c r="Q459" s="122"/>
      <c r="R459" s="122"/>
      <c r="S459" s="122"/>
      <c r="T459" s="122"/>
      <c r="U459" s="122"/>
      <c r="V459" s="122"/>
      <c r="W459" s="122"/>
      <c r="X459" s="122"/>
      <c r="Y459" s="122"/>
      <c r="Z459" s="122"/>
    </row>
    <row r="460" spans="1:26" s="143" customFormat="1" ht="12.75" x14ac:dyDescent="0.2">
      <c r="A460" s="3"/>
      <c r="B460" s="122"/>
      <c r="C460" s="122"/>
      <c r="D460" s="122"/>
      <c r="E460" s="122"/>
      <c r="F460" s="122"/>
      <c r="G460" s="122"/>
      <c r="H460" s="122"/>
      <c r="I460" s="122"/>
      <c r="J460" s="122"/>
      <c r="K460" s="122"/>
      <c r="L460" s="122"/>
      <c r="M460" s="122"/>
      <c r="N460" s="122"/>
      <c r="O460" s="122"/>
      <c r="P460" s="122"/>
      <c r="Q460" s="122"/>
      <c r="R460" s="122"/>
      <c r="S460" s="122"/>
      <c r="T460" s="122"/>
      <c r="U460" s="122"/>
      <c r="V460" s="122"/>
      <c r="W460" s="122"/>
      <c r="X460" s="122"/>
      <c r="Y460" s="122"/>
      <c r="Z460" s="122"/>
    </row>
    <row r="461" spans="1:26" s="143" customFormat="1" ht="12.75" x14ac:dyDescent="0.2">
      <c r="A461" s="392" t="s">
        <v>770</v>
      </c>
      <c r="B461" s="119"/>
      <c r="C461" s="119"/>
      <c r="D461" s="161" t="s">
        <v>174</v>
      </c>
      <c r="E461" s="161"/>
      <c r="F461" s="162">
        <v>0</v>
      </c>
      <c r="G461" s="162">
        <v>1</v>
      </c>
      <c r="H461" s="162">
        <v>2</v>
      </c>
      <c r="I461" s="162">
        <v>3</v>
      </c>
      <c r="J461" s="162">
        <v>4</v>
      </c>
      <c r="K461" s="162">
        <v>5</v>
      </c>
      <c r="L461" s="162">
        <v>6</v>
      </c>
      <c r="M461" s="162">
        <v>7</v>
      </c>
      <c r="N461" s="162">
        <v>8</v>
      </c>
      <c r="O461" s="162">
        <v>9</v>
      </c>
      <c r="P461" s="162">
        <v>10</v>
      </c>
      <c r="Q461" s="162">
        <v>11</v>
      </c>
      <c r="R461" s="162">
        <v>12</v>
      </c>
      <c r="S461" s="162">
        <v>13</v>
      </c>
      <c r="T461" s="119"/>
      <c r="U461" s="119"/>
      <c r="V461" s="119"/>
      <c r="W461" s="119"/>
      <c r="X461" s="119"/>
      <c r="Y461" s="119"/>
      <c r="Z461" s="119"/>
    </row>
    <row r="462" spans="1:26" s="143" customFormat="1" ht="12.75" x14ac:dyDescent="0.2">
      <c r="A462" s="122"/>
      <c r="B462" s="154" t="s">
        <v>865</v>
      </c>
      <c r="C462" s="155"/>
      <c r="D462" s="155"/>
      <c r="E462" s="155"/>
      <c r="F462" s="155"/>
      <c r="G462" s="155"/>
      <c r="H462" s="155"/>
      <c r="I462" s="155"/>
      <c r="J462" s="155"/>
      <c r="K462" s="122"/>
      <c r="L462" s="122"/>
      <c r="M462" s="122"/>
      <c r="N462" s="122"/>
      <c r="O462" s="122"/>
      <c r="P462" s="122"/>
      <c r="Q462" s="122"/>
      <c r="R462" s="122"/>
      <c r="S462" s="122"/>
      <c r="T462" s="122"/>
      <c r="U462" s="122"/>
      <c r="V462" s="122"/>
      <c r="W462" s="122"/>
      <c r="X462" s="122"/>
      <c r="Y462" s="122"/>
      <c r="Z462" s="122"/>
    </row>
    <row r="463" spans="1:26" s="143" customFormat="1" ht="12.75" x14ac:dyDescent="0.2">
      <c r="A463" s="122"/>
      <c r="B463" s="155"/>
      <c r="C463" s="155" t="s">
        <v>260</v>
      </c>
      <c r="D463" s="155"/>
      <c r="E463" s="155"/>
      <c r="F463" s="155">
        <f>$I$103*(1+$I$115)</f>
        <v>15120</v>
      </c>
      <c r="G463" s="209">
        <f>$I$104*(1+$I$115)</f>
        <v>15500</v>
      </c>
      <c r="H463" s="209">
        <f>$I$105*(1+$I$115)</f>
        <v>15500</v>
      </c>
      <c r="I463" s="209">
        <f>$I$106*(1+$I$115)</f>
        <v>18000</v>
      </c>
      <c r="J463" s="209">
        <f>$I$107*(1+$I$115)</f>
        <v>18000</v>
      </c>
      <c r="K463" s="122"/>
      <c r="L463" s="122"/>
      <c r="M463" s="122"/>
      <c r="N463" s="122"/>
      <c r="O463" s="122"/>
      <c r="P463" s="122"/>
      <c r="Q463" s="122"/>
      <c r="R463" s="122"/>
      <c r="S463" s="122"/>
      <c r="T463" s="122"/>
      <c r="U463" s="122"/>
      <c r="V463" s="122"/>
      <c r="W463" s="122"/>
      <c r="X463" s="122"/>
      <c r="Y463" s="122"/>
      <c r="Z463" s="122"/>
    </row>
    <row r="464" spans="1:26" s="143" customFormat="1" ht="12.75" x14ac:dyDescent="0.2">
      <c r="A464" s="122"/>
      <c r="B464" s="155"/>
      <c r="C464" s="155" t="s">
        <v>258</v>
      </c>
      <c r="D464" s="155"/>
      <c r="E464" s="155"/>
      <c r="F464" s="210">
        <f>$I$108</f>
        <v>0.9</v>
      </c>
      <c r="G464" s="210">
        <f t="shared" ref="G464:S464" si="96">$I$108</f>
        <v>0.9</v>
      </c>
      <c r="H464" s="210">
        <f t="shared" si="96"/>
        <v>0.9</v>
      </c>
      <c r="I464" s="210">
        <f t="shared" si="96"/>
        <v>0.9</v>
      </c>
      <c r="J464" s="210">
        <f t="shared" si="96"/>
        <v>0.9</v>
      </c>
      <c r="K464" s="210">
        <f t="shared" si="96"/>
        <v>0.9</v>
      </c>
      <c r="L464" s="210">
        <f t="shared" si="96"/>
        <v>0.9</v>
      </c>
      <c r="M464" s="210">
        <f t="shared" si="96"/>
        <v>0.9</v>
      </c>
      <c r="N464" s="210">
        <f t="shared" si="96"/>
        <v>0.9</v>
      </c>
      <c r="O464" s="210">
        <f t="shared" si="96"/>
        <v>0.9</v>
      </c>
      <c r="P464" s="210">
        <f t="shared" si="96"/>
        <v>0.9</v>
      </c>
      <c r="Q464" s="210">
        <f t="shared" si="96"/>
        <v>0.9</v>
      </c>
      <c r="R464" s="210">
        <f t="shared" si="96"/>
        <v>0.9</v>
      </c>
      <c r="S464" s="210">
        <f t="shared" si="96"/>
        <v>0.9</v>
      </c>
      <c r="T464" s="122"/>
      <c r="U464" s="122"/>
      <c r="V464" s="122"/>
      <c r="W464" s="122"/>
      <c r="X464" s="122"/>
      <c r="Y464" s="122"/>
      <c r="Z464" s="122"/>
    </row>
    <row r="465" spans="1:26" s="143" customFormat="1" ht="12.75" x14ac:dyDescent="0.2">
      <c r="A465" s="122"/>
      <c r="B465" s="155"/>
      <c r="C465" s="155" t="s">
        <v>259</v>
      </c>
      <c r="D465" s="155"/>
      <c r="E465" s="155"/>
      <c r="F465" s="132">
        <f>IF(F461&lt;$I$110,0,$I$109)</f>
        <v>0</v>
      </c>
      <c r="G465" s="132">
        <f t="shared" ref="G465:S465" si="97">IF(G461&lt;$I$110,0,$I$109)</f>
        <v>0</v>
      </c>
      <c r="H465" s="132">
        <f t="shared" si="97"/>
        <v>0</v>
      </c>
      <c r="I465" s="132">
        <f t="shared" si="97"/>
        <v>0</v>
      </c>
      <c r="J465" s="132">
        <f t="shared" si="97"/>
        <v>0</v>
      </c>
      <c r="K465" s="132">
        <f t="shared" si="97"/>
        <v>0.2</v>
      </c>
      <c r="L465" s="132">
        <f t="shared" si="97"/>
        <v>0.2</v>
      </c>
      <c r="M465" s="132">
        <f t="shared" si="97"/>
        <v>0.2</v>
      </c>
      <c r="N465" s="132">
        <f t="shared" si="97"/>
        <v>0.2</v>
      </c>
      <c r="O465" s="132">
        <f t="shared" si="97"/>
        <v>0.2</v>
      </c>
      <c r="P465" s="132">
        <f t="shared" si="97"/>
        <v>0.2</v>
      </c>
      <c r="Q465" s="132">
        <f t="shared" si="97"/>
        <v>0.2</v>
      </c>
      <c r="R465" s="132">
        <f t="shared" si="97"/>
        <v>0.2</v>
      </c>
      <c r="S465" s="132">
        <f t="shared" si="97"/>
        <v>0.2</v>
      </c>
      <c r="T465" s="122"/>
      <c r="U465" s="122"/>
      <c r="V465" s="122"/>
      <c r="W465" s="122"/>
      <c r="X465" s="122"/>
      <c r="Y465" s="122"/>
      <c r="Z465" s="122"/>
    </row>
    <row r="466" spans="1:26" s="143" customFormat="1" ht="12.75" x14ac:dyDescent="0.2">
      <c r="A466" s="122"/>
      <c r="B466" s="122"/>
      <c r="C466" s="122"/>
      <c r="D466" s="122"/>
      <c r="E466" s="122"/>
      <c r="F466" s="122"/>
      <c r="G466" s="122"/>
      <c r="H466" s="122"/>
      <c r="I466" s="122"/>
      <c r="J466" s="122"/>
      <c r="K466" s="122"/>
      <c r="L466" s="122"/>
      <c r="M466" s="122"/>
      <c r="N466" s="122"/>
      <c r="O466" s="122"/>
      <c r="P466" s="122"/>
      <c r="Q466" s="122"/>
      <c r="R466" s="122"/>
      <c r="S466" s="122"/>
      <c r="T466" s="122"/>
      <c r="U466" s="122"/>
      <c r="V466" s="122"/>
      <c r="W466" s="122"/>
      <c r="X466" s="122"/>
      <c r="Y466" s="122"/>
      <c r="Z466" s="122"/>
    </row>
    <row r="467" spans="1:26" s="143" customFormat="1" ht="12.75" x14ac:dyDescent="0.2">
      <c r="A467" s="122"/>
      <c r="B467" s="154" t="s">
        <v>867</v>
      </c>
      <c r="C467" s="155"/>
      <c r="D467" s="155"/>
      <c r="E467" s="155"/>
      <c r="F467" s="155"/>
      <c r="G467" s="155"/>
      <c r="H467" s="155"/>
      <c r="I467" s="155"/>
      <c r="J467" s="155"/>
      <c r="K467" s="155"/>
      <c r="L467" s="155"/>
      <c r="M467" s="155"/>
      <c r="N467" s="155"/>
      <c r="O467" s="155"/>
      <c r="P467" s="155"/>
      <c r="Q467" s="155"/>
      <c r="R467" s="155"/>
      <c r="S467" s="155"/>
      <c r="T467" s="122"/>
      <c r="U467" s="122"/>
      <c r="V467" s="122"/>
      <c r="W467" s="122"/>
      <c r="X467" s="122"/>
      <c r="Y467" s="122"/>
      <c r="Z467" s="122"/>
    </row>
    <row r="468" spans="1:26" s="143" customFormat="1" ht="12.75" x14ac:dyDescent="0.2">
      <c r="A468" s="122"/>
      <c r="C468" s="154" t="s">
        <v>681</v>
      </c>
      <c r="D468" s="155"/>
      <c r="E468" s="155"/>
      <c r="F468" s="155"/>
      <c r="G468" s="155"/>
      <c r="H468" s="155"/>
      <c r="I468" s="155"/>
      <c r="J468" s="155"/>
      <c r="K468" s="155"/>
      <c r="L468" s="155"/>
      <c r="M468" s="155"/>
      <c r="N468" s="155"/>
      <c r="O468" s="155"/>
      <c r="P468" s="155"/>
      <c r="Q468" s="155"/>
      <c r="R468" s="155"/>
      <c r="S468" s="155"/>
      <c r="T468" s="122"/>
      <c r="U468" s="122"/>
      <c r="V468" s="122"/>
      <c r="W468" s="122"/>
      <c r="X468" s="122"/>
      <c r="Y468" s="122"/>
      <c r="Z468" s="122"/>
    </row>
    <row r="469" spans="1:26" s="143" customFormat="1" ht="12.75" x14ac:dyDescent="0.2">
      <c r="A469" s="122"/>
      <c r="B469" s="155"/>
      <c r="C469" s="155" t="s">
        <v>252</v>
      </c>
      <c r="D469" s="155"/>
      <c r="E469" s="155"/>
      <c r="F469" s="133">
        <f>$F463*(F464*F459)*(1-F465)</f>
        <v>68478.942963320747</v>
      </c>
      <c r="G469" s="133">
        <f t="shared" ref="G469:S469" si="98">$F463*(G464*G459)*(1-G465)</f>
        <v>97677.335883664244</v>
      </c>
      <c r="H469" s="133">
        <f t="shared" si="98"/>
        <v>129174.68547688349</v>
      </c>
      <c r="I469" s="133">
        <f t="shared" si="98"/>
        <v>160274.93578199839</v>
      </c>
      <c r="J469" s="133">
        <f t="shared" si="98"/>
        <v>261765.89452047157</v>
      </c>
      <c r="K469" s="133">
        <f t="shared" si="98"/>
        <v>235898.27999139653</v>
      </c>
      <c r="L469" s="133">
        <f t="shared" si="98"/>
        <v>263219.35070377606</v>
      </c>
      <c r="M469" s="133">
        <f t="shared" si="98"/>
        <v>291398.5692266858</v>
      </c>
      <c r="N469" s="133">
        <f t="shared" si="98"/>
        <v>321547.8041159006</v>
      </c>
      <c r="O469" s="133">
        <f t="shared" si="98"/>
        <v>351513.6059394193</v>
      </c>
      <c r="P469" s="133">
        <f t="shared" si="98"/>
        <v>0</v>
      </c>
      <c r="Q469" s="133">
        <f t="shared" si="98"/>
        <v>0</v>
      </c>
      <c r="R469" s="133">
        <f t="shared" si="98"/>
        <v>0</v>
      </c>
      <c r="S469" s="133">
        <f t="shared" si="98"/>
        <v>0</v>
      </c>
      <c r="T469" s="122"/>
      <c r="U469" s="122"/>
      <c r="V469" s="122"/>
      <c r="W469" s="122"/>
      <c r="X469" s="122"/>
      <c r="Y469" s="122"/>
      <c r="Z469" s="122"/>
    </row>
    <row r="470" spans="1:26" s="143" customFormat="1" ht="12.75" x14ac:dyDescent="0.2">
      <c r="A470" s="122"/>
      <c r="B470" s="155"/>
      <c r="C470" s="155" t="s">
        <v>253</v>
      </c>
      <c r="D470" s="155"/>
      <c r="E470" s="155"/>
      <c r="F470" s="133"/>
      <c r="G470" s="133">
        <f>$G463*(G464*F459)*(1-G465)</f>
        <v>70199.974598642293</v>
      </c>
      <c r="H470" s="133">
        <f t="shared" ref="H470:S470" si="99">$G463*(H464*G459)*(1-H465)</f>
        <v>100132.18956328015</v>
      </c>
      <c r="I470" s="133">
        <f t="shared" si="99"/>
        <v>132421.13921241363</v>
      </c>
      <c r="J470" s="133">
        <f t="shared" si="99"/>
        <v>164303.00956487929</v>
      </c>
      <c r="K470" s="133">
        <f t="shared" si="99"/>
        <v>214675.73360144492</v>
      </c>
      <c r="L470" s="133">
        <f t="shared" si="99"/>
        <v>241826.94046737079</v>
      </c>
      <c r="M470" s="133">
        <f t="shared" si="99"/>
        <v>269834.6518458022</v>
      </c>
      <c r="N470" s="133">
        <f t="shared" si="99"/>
        <v>298722.07824164216</v>
      </c>
      <c r="O470" s="133">
        <f t="shared" si="99"/>
        <v>329629.0319971203</v>
      </c>
      <c r="P470" s="133">
        <f t="shared" si="99"/>
        <v>360347.94259662693</v>
      </c>
      <c r="Q470" s="133">
        <f t="shared" si="99"/>
        <v>0</v>
      </c>
      <c r="R470" s="133">
        <f t="shared" si="99"/>
        <v>0</v>
      </c>
      <c r="S470" s="133">
        <f t="shared" si="99"/>
        <v>0</v>
      </c>
      <c r="T470" s="122"/>
      <c r="U470" s="122"/>
      <c r="V470" s="122"/>
      <c r="W470" s="122"/>
      <c r="X470" s="122"/>
      <c r="Y470" s="122"/>
      <c r="Z470" s="122"/>
    </row>
    <row r="471" spans="1:26" s="143" customFormat="1" ht="12.75" x14ac:dyDescent="0.2">
      <c r="A471" s="122"/>
      <c r="B471" s="155"/>
      <c r="C471" s="155" t="s">
        <v>254</v>
      </c>
      <c r="D471" s="155"/>
      <c r="E471" s="155"/>
      <c r="F471" s="133"/>
      <c r="G471" s="133"/>
      <c r="H471" s="133">
        <f>$H463*(H464*F459)*(1-H465)</f>
        <v>70199.974598642293</v>
      </c>
      <c r="I471" s="133">
        <f t="shared" ref="I471:S471" si="100">$H463*(I464*G459)*(1-I465)</f>
        <v>100132.18956328015</v>
      </c>
      <c r="J471" s="133">
        <f t="shared" si="100"/>
        <v>132421.13921241363</v>
      </c>
      <c r="K471" s="133">
        <f t="shared" si="100"/>
        <v>131442.40765190343</v>
      </c>
      <c r="L471" s="133">
        <f t="shared" si="100"/>
        <v>214675.73360144492</v>
      </c>
      <c r="M471" s="133">
        <f t="shared" si="100"/>
        <v>241826.94046737079</v>
      </c>
      <c r="N471" s="133">
        <f t="shared" si="100"/>
        <v>269834.6518458022</v>
      </c>
      <c r="O471" s="133">
        <f>$H463*(O464*M459)*(1-O465)</f>
        <v>298722.07824164216</v>
      </c>
      <c r="P471" s="133">
        <f t="shared" si="100"/>
        <v>329629.0319971203</v>
      </c>
      <c r="Q471" s="133">
        <f t="shared" si="100"/>
        <v>360347.94259662693</v>
      </c>
      <c r="R471" s="133">
        <f t="shared" si="100"/>
        <v>0</v>
      </c>
      <c r="S471" s="133">
        <f t="shared" si="100"/>
        <v>0</v>
      </c>
      <c r="T471" s="122"/>
      <c r="U471" s="122"/>
      <c r="V471" s="122"/>
      <c r="W471" s="122"/>
      <c r="X471" s="122"/>
      <c r="Y471" s="122"/>
      <c r="Z471" s="122"/>
    </row>
    <row r="472" spans="1:26" s="143" customFormat="1" ht="12.75" x14ac:dyDescent="0.2">
      <c r="A472" s="122"/>
      <c r="B472" s="155"/>
      <c r="C472" s="155" t="s">
        <v>255</v>
      </c>
      <c r="D472" s="155"/>
      <c r="E472" s="155"/>
      <c r="F472" s="133"/>
      <c r="G472" s="133"/>
      <c r="H472" s="133"/>
      <c r="I472" s="133">
        <f>$I463*(I464*F459)*(1-I465)</f>
        <v>81522.551146810409</v>
      </c>
      <c r="J472" s="133">
        <f t="shared" ref="J472:S472" si="101">$I463*(J464*G459)*(1-J465)</f>
        <v>116282.54271864791</v>
      </c>
      <c r="K472" s="133">
        <f t="shared" si="101"/>
        <v>123023.50997798427</v>
      </c>
      <c r="L472" s="133">
        <f t="shared" si="101"/>
        <v>152642.79598285558</v>
      </c>
      <c r="M472" s="133">
        <f t="shared" si="101"/>
        <v>249300.85192425863</v>
      </c>
      <c r="N472" s="133">
        <f t="shared" si="101"/>
        <v>280831.28570404346</v>
      </c>
      <c r="O472" s="133">
        <f t="shared" si="101"/>
        <v>313356.36988544773</v>
      </c>
      <c r="P472" s="133">
        <f t="shared" si="101"/>
        <v>346903.05860319734</v>
      </c>
      <c r="Q472" s="133">
        <f t="shared" si="101"/>
        <v>382795.00489988166</v>
      </c>
      <c r="R472" s="133">
        <f t="shared" si="101"/>
        <v>418468.57849930873</v>
      </c>
      <c r="S472" s="133">
        <f t="shared" si="101"/>
        <v>0</v>
      </c>
      <c r="T472" s="122"/>
      <c r="U472" s="122"/>
      <c r="V472" s="122"/>
      <c r="W472" s="122"/>
      <c r="X472" s="122"/>
      <c r="Y472" s="122"/>
      <c r="Z472" s="122"/>
    </row>
    <row r="473" spans="1:26" s="143" customFormat="1" ht="12.75" x14ac:dyDescent="0.2">
      <c r="A473" s="122"/>
      <c r="B473" s="155"/>
      <c r="C473" s="155" t="s">
        <v>261</v>
      </c>
      <c r="D473" s="155"/>
      <c r="E473" s="155"/>
      <c r="F473" s="133"/>
      <c r="G473" s="133"/>
      <c r="H473" s="133"/>
      <c r="I473" s="133"/>
      <c r="J473" s="133">
        <f>$J463*(J464*F459)*(1-J465)</f>
        <v>81522.551146810409</v>
      </c>
      <c r="K473" s="133">
        <f t="shared" ref="K473:S473" si="102">$J463*(K464*G459)*(1-K465)</f>
        <v>93026.034174918328</v>
      </c>
      <c r="L473" s="133">
        <f t="shared" si="102"/>
        <v>123023.50997798427</v>
      </c>
      <c r="M473" s="133">
        <f t="shared" si="102"/>
        <v>152642.79598285558</v>
      </c>
      <c r="N473" s="133">
        <f t="shared" si="102"/>
        <v>249300.85192425863</v>
      </c>
      <c r="O473" s="133">
        <f t="shared" si="102"/>
        <v>280831.28570404346</v>
      </c>
      <c r="P473" s="133">
        <f t="shared" si="102"/>
        <v>313356.36988544773</v>
      </c>
      <c r="Q473" s="133">
        <f t="shared" si="102"/>
        <v>346903.05860319734</v>
      </c>
      <c r="R473" s="133">
        <f t="shared" si="102"/>
        <v>382795.00489988166</v>
      </c>
      <c r="S473" s="133">
        <f t="shared" si="102"/>
        <v>418468.57849930873</v>
      </c>
      <c r="T473" s="122"/>
      <c r="U473" s="122"/>
      <c r="V473" s="122"/>
      <c r="W473" s="122"/>
      <c r="X473" s="122"/>
      <c r="Y473" s="122"/>
      <c r="Z473" s="122"/>
    </row>
    <row r="474" spans="1:26" s="143" customFormat="1" ht="12.75" x14ac:dyDescent="0.2">
      <c r="A474" s="122"/>
      <c r="B474" s="155"/>
      <c r="C474" s="198" t="s">
        <v>686</v>
      </c>
      <c r="D474" s="198"/>
      <c r="E474" s="198"/>
      <c r="F474" s="134">
        <f>SUM(F469:F473)</f>
        <v>68478.942963320747</v>
      </c>
      <c r="G474" s="134">
        <f t="shared" ref="G474:S474" si="103">SUM(G469:G473)</f>
        <v>167877.31048230652</v>
      </c>
      <c r="H474" s="134">
        <f t="shared" si="103"/>
        <v>299506.84963880596</v>
      </c>
      <c r="I474" s="134">
        <f t="shared" si="103"/>
        <v>474350.81570450257</v>
      </c>
      <c r="J474" s="134">
        <f t="shared" si="103"/>
        <v>756295.13716322277</v>
      </c>
      <c r="K474" s="134">
        <f t="shared" si="103"/>
        <v>798065.96539764747</v>
      </c>
      <c r="L474" s="134">
        <f t="shared" si="103"/>
        <v>995388.33073343162</v>
      </c>
      <c r="M474" s="134">
        <f t="shared" si="103"/>
        <v>1205003.809446973</v>
      </c>
      <c r="N474" s="134">
        <f t="shared" si="103"/>
        <v>1420236.6718316469</v>
      </c>
      <c r="O474" s="134">
        <f t="shared" si="103"/>
        <v>1574052.3717676729</v>
      </c>
      <c r="P474" s="134">
        <f t="shared" si="103"/>
        <v>1350236.4030823922</v>
      </c>
      <c r="Q474" s="134">
        <f t="shared" si="103"/>
        <v>1090046.0060997061</v>
      </c>
      <c r="R474" s="134">
        <f t="shared" si="103"/>
        <v>801263.58339919033</v>
      </c>
      <c r="S474" s="134">
        <f t="shared" si="103"/>
        <v>418468.57849930873</v>
      </c>
      <c r="T474" s="122"/>
      <c r="U474" s="122"/>
      <c r="V474" s="122"/>
      <c r="W474" s="122"/>
      <c r="X474" s="122"/>
      <c r="Y474" s="122"/>
      <c r="Z474" s="122"/>
    </row>
    <row r="475" spans="1:26" s="143" customFormat="1" ht="12.75" x14ac:dyDescent="0.2">
      <c r="A475" s="122"/>
      <c r="B475" s="122"/>
      <c r="C475" s="122"/>
      <c r="D475" s="122"/>
      <c r="E475" s="122"/>
      <c r="F475" s="122"/>
      <c r="G475" s="122"/>
      <c r="H475" s="122"/>
      <c r="I475" s="122"/>
      <c r="J475" s="122"/>
      <c r="K475" s="122"/>
      <c r="L475" s="122"/>
      <c r="M475" s="122"/>
      <c r="N475" s="122"/>
      <c r="O475" s="122"/>
      <c r="P475" s="122"/>
      <c r="Q475" s="122"/>
      <c r="R475" s="122"/>
      <c r="S475" s="122"/>
      <c r="T475" s="122"/>
      <c r="U475" s="122"/>
      <c r="V475" s="122"/>
      <c r="W475" s="122"/>
      <c r="X475" s="122"/>
      <c r="Y475" s="122"/>
      <c r="Z475" s="122"/>
    </row>
    <row r="476" spans="1:26" s="143" customFormat="1" ht="12.75" x14ac:dyDescent="0.2">
      <c r="A476" s="122"/>
      <c r="B476" s="157"/>
      <c r="C476" s="154" t="s">
        <v>262</v>
      </c>
      <c r="D476" s="155"/>
      <c r="E476" s="155"/>
      <c r="F476" s="155"/>
      <c r="G476" s="155"/>
      <c r="H476" s="155"/>
      <c r="I476" s="155"/>
      <c r="J476" s="155"/>
      <c r="K476" s="155"/>
      <c r="L476" s="155"/>
      <c r="M476" s="155"/>
      <c r="N476" s="155"/>
      <c r="O476" s="155"/>
      <c r="P476" s="155"/>
      <c r="Q476" s="155"/>
      <c r="R476" s="155"/>
      <c r="S476" s="155"/>
      <c r="T476" s="122"/>
      <c r="U476" s="122"/>
      <c r="V476" s="122"/>
      <c r="W476" s="122"/>
      <c r="X476" s="122"/>
      <c r="Y476" s="122"/>
      <c r="Z476" s="122"/>
    </row>
    <row r="477" spans="1:26" s="143" customFormat="1" ht="12.75" x14ac:dyDescent="0.2">
      <c r="A477" s="122"/>
      <c r="B477" s="155"/>
      <c r="C477" s="198" t="s">
        <v>686</v>
      </c>
      <c r="D477" s="198"/>
      <c r="E477" s="198"/>
      <c r="F477" s="82">
        <f>$I$111*(I103/SUM($I$103:$I$107))*F$126/1000*(1+$I$112)</f>
        <v>206802.40566545405</v>
      </c>
      <c r="G477" s="82">
        <f>$I$111*(I104/SUM($I$103:$I$107))*G$126/1000*(1+$I$112)</f>
        <v>211999.8206226546</v>
      </c>
      <c r="H477" s="82">
        <f>$I$111*(I105/SUM($I$103:$I$107))*H$126/1000*(1+$I$112)</f>
        <v>211999.8206226546</v>
      </c>
      <c r="I477" s="82">
        <f>$I$111*(I106/SUM($I$103:$I$107))*I$126/1000*(1+$I$112)</f>
        <v>246193.34007792149</v>
      </c>
      <c r="J477" s="82">
        <f>$I$111*(I107/SUM($I$103:$I$107))*J$126/1000*(1+$I$112)</f>
        <v>246193.34007792149</v>
      </c>
      <c r="K477" s="134"/>
      <c r="L477" s="134"/>
      <c r="M477" s="134"/>
      <c r="N477" s="134"/>
      <c r="O477" s="134"/>
      <c r="P477" s="134"/>
      <c r="Q477" s="134"/>
      <c r="R477" s="134"/>
      <c r="S477" s="134"/>
      <c r="T477" s="122"/>
      <c r="U477" s="122"/>
      <c r="V477" s="122"/>
      <c r="W477" s="122"/>
      <c r="X477" s="122"/>
      <c r="Y477" s="122"/>
      <c r="Z477" s="122"/>
    </row>
    <row r="478" spans="1:26" s="143" customFormat="1" ht="12.75" x14ac:dyDescent="0.2">
      <c r="A478" s="122"/>
      <c r="B478" s="122"/>
      <c r="C478" s="122"/>
      <c r="D478" s="122"/>
      <c r="E478" s="122"/>
      <c r="F478" s="237"/>
      <c r="G478" s="237"/>
      <c r="H478" s="237"/>
      <c r="I478" s="237"/>
      <c r="J478" s="237"/>
      <c r="K478" s="237"/>
      <c r="L478" s="237"/>
      <c r="M478" s="237"/>
      <c r="N478" s="237"/>
      <c r="O478" s="237"/>
      <c r="P478" s="237"/>
      <c r="Q478" s="237"/>
      <c r="R478" s="237"/>
      <c r="S478" s="237"/>
      <c r="T478" s="122"/>
      <c r="U478" s="122"/>
      <c r="V478" s="122"/>
      <c r="W478" s="122"/>
      <c r="X478" s="122"/>
      <c r="Y478" s="122"/>
      <c r="Z478" s="122"/>
    </row>
    <row r="479" spans="1:26" s="143" customFormat="1" ht="12.75" x14ac:dyDescent="0.2">
      <c r="A479" s="122"/>
      <c r="B479" s="122"/>
      <c r="C479" s="206" t="s">
        <v>685</v>
      </c>
      <c r="D479" s="203"/>
      <c r="E479" s="203"/>
      <c r="F479" s="135">
        <f>F474-F477</f>
        <v>-138323.46270213329</v>
      </c>
      <c r="G479" s="135">
        <f t="shared" ref="G479:S479" si="104">G474-G477</f>
        <v>-44122.51014034808</v>
      </c>
      <c r="H479" s="135">
        <f t="shared" si="104"/>
        <v>87507.029016151355</v>
      </c>
      <c r="I479" s="135">
        <f t="shared" si="104"/>
        <v>228157.47562658109</v>
      </c>
      <c r="J479" s="135">
        <f t="shared" si="104"/>
        <v>510101.79708530125</v>
      </c>
      <c r="K479" s="135">
        <f t="shared" si="104"/>
        <v>798065.96539764747</v>
      </c>
      <c r="L479" s="135">
        <f t="shared" si="104"/>
        <v>995388.33073343162</v>
      </c>
      <c r="M479" s="135">
        <f t="shared" si="104"/>
        <v>1205003.809446973</v>
      </c>
      <c r="N479" s="135">
        <f t="shared" si="104"/>
        <v>1420236.6718316469</v>
      </c>
      <c r="O479" s="135">
        <f t="shared" si="104"/>
        <v>1574052.3717676729</v>
      </c>
      <c r="P479" s="135">
        <f t="shared" si="104"/>
        <v>1350236.4030823922</v>
      </c>
      <c r="Q479" s="135">
        <f t="shared" si="104"/>
        <v>1090046.0060997061</v>
      </c>
      <c r="R479" s="135">
        <f t="shared" si="104"/>
        <v>801263.58339919033</v>
      </c>
      <c r="S479" s="135">
        <f t="shared" si="104"/>
        <v>418468.57849930873</v>
      </c>
      <c r="T479" s="122"/>
      <c r="U479" s="122"/>
      <c r="V479" s="122"/>
      <c r="W479" s="122"/>
      <c r="X479" s="122"/>
      <c r="Y479" s="122"/>
      <c r="Z479" s="122"/>
    </row>
    <row r="480" spans="1:26" s="143" customFormat="1" ht="13.5" thickBot="1" x14ac:dyDescent="0.25">
      <c r="A480" s="122"/>
      <c r="B480" s="122"/>
      <c r="C480" s="122"/>
      <c r="D480" s="122"/>
      <c r="E480" s="122"/>
      <c r="F480" s="122"/>
      <c r="G480" s="122"/>
      <c r="H480" s="122"/>
      <c r="I480" s="122"/>
      <c r="J480" s="122"/>
      <c r="K480" s="122"/>
      <c r="L480" s="122"/>
      <c r="M480" s="122"/>
      <c r="N480" s="122"/>
      <c r="O480" s="122"/>
      <c r="P480" s="122"/>
      <c r="Q480" s="122"/>
      <c r="R480" s="122"/>
      <c r="S480" s="122"/>
      <c r="T480" s="122"/>
      <c r="U480" s="122"/>
      <c r="V480" s="122"/>
      <c r="W480" s="122"/>
      <c r="X480" s="122"/>
      <c r="Y480" s="122"/>
      <c r="Z480" s="122"/>
    </row>
    <row r="481" spans="1:26" s="143" customFormat="1" ht="13.5" thickTop="1" x14ac:dyDescent="0.2">
      <c r="A481" s="122"/>
      <c r="B481" s="122"/>
      <c r="C481" s="212" t="s">
        <v>676</v>
      </c>
      <c r="D481" s="212"/>
      <c r="E481" s="212"/>
      <c r="F481" s="344">
        <f>NPV($F$20,G479:S479)+F479</f>
        <v>4071737.3031579661</v>
      </c>
      <c r="G481" s="122"/>
      <c r="H481" s="122"/>
      <c r="I481" s="122"/>
      <c r="J481" s="122"/>
      <c r="K481" s="122"/>
      <c r="L481" s="122"/>
      <c r="M481" s="122"/>
      <c r="N481" s="122"/>
      <c r="O481" s="122"/>
      <c r="P481" s="122"/>
      <c r="Q481" s="122"/>
      <c r="R481" s="122"/>
      <c r="S481" s="122"/>
      <c r="T481" s="122"/>
      <c r="U481" s="122"/>
      <c r="V481" s="122"/>
      <c r="W481" s="122"/>
      <c r="X481" s="122"/>
      <c r="Y481" s="122"/>
      <c r="Z481" s="122"/>
    </row>
    <row r="482" spans="1:26" s="143" customFormat="1" ht="12.75" x14ac:dyDescent="0.2">
      <c r="A482" s="122"/>
      <c r="B482" s="122"/>
      <c r="C482" s="154" t="s">
        <v>677</v>
      </c>
      <c r="D482" s="154"/>
      <c r="E482" s="154"/>
      <c r="F482" s="310">
        <f>F481/$F$10*1000</f>
        <v>25845736.340979856</v>
      </c>
      <c r="G482" s="122"/>
      <c r="H482" s="122"/>
      <c r="I482" s="122"/>
      <c r="J482" s="122"/>
      <c r="K482" s="122"/>
      <c r="L482" s="122"/>
      <c r="M482" s="122"/>
      <c r="N482" s="122"/>
      <c r="O482" s="122"/>
      <c r="P482" s="122"/>
      <c r="Q482" s="122"/>
      <c r="R482" s="122"/>
      <c r="S482" s="122"/>
      <c r="T482" s="122"/>
      <c r="U482" s="122"/>
      <c r="V482" s="122"/>
      <c r="W482" s="122"/>
      <c r="X482" s="122"/>
      <c r="Y482" s="122"/>
      <c r="Z482" s="122"/>
    </row>
    <row r="483" spans="1:26" s="143" customFormat="1" ht="12.75" x14ac:dyDescent="0.2">
      <c r="A483" s="122"/>
      <c r="B483" s="122"/>
      <c r="C483" s="154" t="s">
        <v>683</v>
      </c>
      <c r="D483" s="154"/>
      <c r="E483" s="154"/>
      <c r="F483" s="136">
        <f>IRR(F479:S479,0.5)</f>
        <v>0.94766239039809519</v>
      </c>
      <c r="G483" s="122"/>
      <c r="H483" s="122"/>
      <c r="I483" s="122"/>
      <c r="J483" s="122"/>
      <c r="K483" s="122"/>
      <c r="L483" s="122"/>
      <c r="M483" s="122"/>
      <c r="N483" s="122"/>
      <c r="O483" s="122"/>
      <c r="P483" s="122"/>
      <c r="Q483" s="122"/>
      <c r="R483" s="122"/>
      <c r="S483" s="122"/>
      <c r="T483" s="122"/>
      <c r="U483" s="122"/>
      <c r="V483" s="122"/>
      <c r="W483" s="122"/>
      <c r="X483" s="122"/>
      <c r="Y483" s="122"/>
      <c r="Z483" s="122"/>
    </row>
    <row r="484" spans="1:26" s="143" customFormat="1" ht="13.5" thickBot="1" x14ac:dyDescent="0.25">
      <c r="A484" s="122"/>
      <c r="B484" s="122"/>
      <c r="C484" s="211" t="s">
        <v>684</v>
      </c>
      <c r="D484" s="211"/>
      <c r="E484" s="211"/>
      <c r="F484" s="137">
        <f>MIRR(F479:S479,$F$20,$F$20)</f>
        <v>0.429763538688406</v>
      </c>
      <c r="G484" s="122"/>
      <c r="H484" s="122"/>
      <c r="I484" s="122"/>
      <c r="J484" s="122"/>
      <c r="K484" s="122"/>
      <c r="L484" s="122"/>
      <c r="M484" s="122"/>
      <c r="N484" s="122"/>
      <c r="O484" s="122"/>
      <c r="P484" s="122"/>
      <c r="Q484" s="122"/>
      <c r="R484" s="122"/>
      <c r="S484" s="122"/>
      <c r="T484" s="122"/>
      <c r="U484" s="122"/>
      <c r="V484" s="122"/>
      <c r="W484" s="122"/>
      <c r="X484" s="122"/>
      <c r="Y484" s="122"/>
      <c r="Z484" s="122"/>
    </row>
    <row r="485" spans="1:26" ht="13.5" thickTop="1" x14ac:dyDescent="0.2">
      <c r="A485" s="122"/>
      <c r="B485" s="122"/>
      <c r="C485" s="122"/>
      <c r="D485" s="122"/>
      <c r="E485" s="122"/>
      <c r="F485" s="122"/>
      <c r="G485" s="122"/>
      <c r="H485" s="122"/>
      <c r="I485" s="122"/>
      <c r="J485" s="122"/>
      <c r="K485" s="122"/>
      <c r="L485" s="122"/>
      <c r="M485" s="122"/>
      <c r="N485" s="122"/>
      <c r="O485" s="122"/>
      <c r="P485" s="122"/>
      <c r="Q485" s="122"/>
      <c r="R485" s="122"/>
      <c r="S485" s="122"/>
      <c r="T485" s="122"/>
      <c r="U485" s="122"/>
      <c r="V485" s="122"/>
      <c r="W485" s="122"/>
      <c r="X485" s="122"/>
      <c r="Y485" s="122"/>
      <c r="Z485" s="122"/>
    </row>
    <row r="486" spans="1:26" ht="12.75" x14ac:dyDescent="0.2">
      <c r="A486" s="355" t="s">
        <v>914</v>
      </c>
      <c r="B486" s="353"/>
      <c r="C486" s="353"/>
      <c r="D486" s="356"/>
      <c r="E486" s="356"/>
      <c r="F486" s="357"/>
      <c r="G486" s="357"/>
      <c r="H486" s="357"/>
      <c r="I486" s="357"/>
      <c r="J486" s="357"/>
      <c r="K486" s="357"/>
      <c r="L486" s="357"/>
      <c r="M486" s="357"/>
      <c r="N486" s="357"/>
      <c r="O486" s="357"/>
      <c r="P486" s="357"/>
      <c r="Q486" s="357"/>
      <c r="R486" s="357"/>
      <c r="S486" s="357"/>
      <c r="T486" s="353"/>
      <c r="U486" s="353"/>
      <c r="V486" s="353"/>
      <c r="W486" s="353"/>
      <c r="X486" s="353"/>
      <c r="Y486" s="353"/>
      <c r="Z486" s="353"/>
    </row>
    <row r="487" spans="1:26" customFormat="1" ht="12.75" x14ac:dyDescent="0.2">
      <c r="A487" s="241"/>
      <c r="B487" s="611" t="s">
        <v>752</v>
      </c>
      <c r="C487" s="610"/>
      <c r="D487" s="610"/>
      <c r="E487" s="610"/>
      <c r="F487" s="610"/>
      <c r="G487" s="610"/>
      <c r="H487" s="610"/>
      <c r="I487" s="610"/>
      <c r="J487" s="610"/>
      <c r="K487" s="610"/>
      <c r="L487" s="3"/>
      <c r="M487" s="3"/>
      <c r="N487" s="3"/>
      <c r="O487" s="3"/>
      <c r="P487" s="3"/>
      <c r="Q487" s="3"/>
      <c r="R487" s="3"/>
      <c r="S487" s="3"/>
      <c r="T487" s="3"/>
      <c r="U487" s="3"/>
      <c r="V487" s="3"/>
      <c r="W487" s="3"/>
      <c r="X487" s="3"/>
      <c r="Y487" s="3"/>
      <c r="Z487" s="3"/>
    </row>
    <row r="488" spans="1:26" ht="12.75" x14ac:dyDescent="0.2">
      <c r="A488" s="358"/>
      <c r="B488" s="358"/>
      <c r="C488" s="358"/>
      <c r="D488" s="358"/>
      <c r="E488" s="358"/>
      <c r="F488" s="358"/>
      <c r="G488" s="358"/>
      <c r="H488" s="358"/>
      <c r="I488" s="358"/>
      <c r="J488" s="358"/>
      <c r="K488" s="358"/>
      <c r="L488" s="358"/>
      <c r="M488" s="358"/>
      <c r="N488" s="358"/>
      <c r="O488" s="358"/>
      <c r="P488" s="358"/>
      <c r="Q488" s="358"/>
      <c r="R488" s="358"/>
      <c r="S488" s="358"/>
      <c r="T488" s="358"/>
      <c r="U488" s="358"/>
      <c r="V488" s="358"/>
      <c r="W488" s="358"/>
      <c r="X488" s="358"/>
      <c r="Y488" s="358"/>
      <c r="Z488" s="358"/>
    </row>
    <row r="489" spans="1:26" ht="25.5" x14ac:dyDescent="0.2">
      <c r="A489" s="358"/>
      <c r="B489" s="358"/>
      <c r="C489" s="359" t="s">
        <v>753</v>
      </c>
      <c r="D489" s="360" t="s">
        <v>812</v>
      </c>
      <c r="E489" s="361" t="s">
        <v>813</v>
      </c>
      <c r="F489" s="361" t="s">
        <v>814</v>
      </c>
      <c r="G489" s="358"/>
      <c r="H489" s="359" t="s">
        <v>754</v>
      </c>
      <c r="I489" s="360" t="s">
        <v>812</v>
      </c>
      <c r="J489" s="361" t="s">
        <v>813</v>
      </c>
      <c r="K489" s="361" t="s">
        <v>814</v>
      </c>
      <c r="L489" s="358"/>
      <c r="M489" s="358"/>
      <c r="N489" s="358"/>
      <c r="O489" s="358"/>
      <c r="P489" s="358"/>
      <c r="Q489" s="358"/>
      <c r="R489" s="358"/>
      <c r="S489" s="358"/>
      <c r="T489" s="358"/>
      <c r="U489" s="358"/>
      <c r="V489" s="358"/>
      <c r="W489" s="358"/>
      <c r="X489" s="358"/>
      <c r="Y489" s="358"/>
      <c r="Z489" s="358"/>
    </row>
    <row r="490" spans="1:26" ht="12.75" x14ac:dyDescent="0.2">
      <c r="A490" s="358"/>
      <c r="B490" s="358"/>
      <c r="C490" s="362"/>
      <c r="D490" s="363">
        <f>$F$347</f>
        <v>694.58310994511169</v>
      </c>
      <c r="E490" s="364">
        <f>$F$482</f>
        <v>25845736.340979856</v>
      </c>
      <c r="F490" s="364">
        <f>$H$344*1000/$F$10</f>
        <v>94.179857105519361</v>
      </c>
      <c r="G490" s="358"/>
      <c r="H490" s="362"/>
      <c r="I490" s="363">
        <f>$F$347</f>
        <v>694.58310994511169</v>
      </c>
      <c r="J490" s="364">
        <f>$F$482</f>
        <v>25845736.340979856</v>
      </c>
      <c r="K490" s="364">
        <f>$H$344*1000/$F$10</f>
        <v>94.179857105519361</v>
      </c>
      <c r="L490" s="358"/>
      <c r="M490" s="358"/>
      <c r="N490" s="358"/>
      <c r="O490" s="358"/>
      <c r="P490" s="358"/>
      <c r="Q490" s="358"/>
      <c r="R490" s="358"/>
      <c r="S490" s="358"/>
      <c r="T490" s="358"/>
      <c r="U490" s="358"/>
      <c r="V490" s="358"/>
      <c r="W490" s="358"/>
      <c r="X490" s="358"/>
      <c r="Y490" s="358"/>
      <c r="Z490" s="358"/>
    </row>
    <row r="491" spans="1:26" ht="12.75" x14ac:dyDescent="0.2">
      <c r="A491" s="358"/>
      <c r="B491" s="358"/>
      <c r="C491" s="365">
        <v>0.03</v>
      </c>
      <c r="D491" s="366">
        <f t="dataTable" ref="D491:F496" dt2D="0" dtr="0" r1="F8" ca="1"/>
        <v>694.5831099451118</v>
      </c>
      <c r="E491" s="367">
        <v>25845736.340979859</v>
      </c>
      <c r="F491" s="367">
        <v>94.179857105519304</v>
      </c>
      <c r="G491" s="358"/>
      <c r="H491" s="365">
        <v>-0.01</v>
      </c>
      <c r="I491" s="366">
        <f t="dataTable" ref="I491:K496" dt2D="0" dtr="0" r1="F9" ca="1"/>
        <v>694.58310994511169</v>
      </c>
      <c r="J491" s="367">
        <v>25845736.340979867</v>
      </c>
      <c r="K491" s="367">
        <v>94.179857105519304</v>
      </c>
      <c r="L491" s="358"/>
      <c r="M491" s="358"/>
      <c r="N491" s="358"/>
      <c r="O491" s="358"/>
      <c r="P491" s="358"/>
      <c r="Q491" s="358"/>
      <c r="R491" s="358"/>
      <c r="S491" s="358"/>
      <c r="T491" s="358"/>
      <c r="U491" s="358"/>
      <c r="V491" s="358"/>
      <c r="W491" s="358"/>
      <c r="X491" s="358"/>
      <c r="Y491" s="358"/>
      <c r="Z491" s="358"/>
    </row>
    <row r="492" spans="1:26" ht="12.75" x14ac:dyDescent="0.2">
      <c r="A492" s="358"/>
      <c r="B492" s="358"/>
      <c r="C492" s="368">
        <v>0.05</v>
      </c>
      <c r="D492" s="369">
        <v>694.5831099451118</v>
      </c>
      <c r="E492" s="370">
        <v>25845736.340979867</v>
      </c>
      <c r="F492" s="370">
        <v>94.179857105519403</v>
      </c>
      <c r="G492" s="358"/>
      <c r="H492" s="368">
        <v>0</v>
      </c>
      <c r="I492" s="369">
        <v>694.58310994511169</v>
      </c>
      <c r="J492" s="370">
        <v>25845736.340979859</v>
      </c>
      <c r="K492" s="370">
        <v>94.179857105519403</v>
      </c>
      <c r="L492" s="358"/>
      <c r="M492" s="358"/>
      <c r="N492" s="358"/>
      <c r="O492" s="358"/>
      <c r="P492" s="358"/>
      <c r="Q492" s="358"/>
      <c r="R492" s="358"/>
      <c r="S492" s="358"/>
      <c r="T492" s="358"/>
      <c r="U492" s="358"/>
      <c r="V492" s="358"/>
      <c r="W492" s="358"/>
      <c r="X492" s="358"/>
      <c r="Y492" s="358"/>
      <c r="Z492" s="358"/>
    </row>
    <row r="493" spans="1:26" ht="12.75" x14ac:dyDescent="0.2">
      <c r="A493" s="358"/>
      <c r="B493" s="358"/>
      <c r="C493" s="371">
        <v>7.9000000000000001E-2</v>
      </c>
      <c r="D493" s="372">
        <v>694.58310994511169</v>
      </c>
      <c r="E493" s="373">
        <v>25845736.340979856</v>
      </c>
      <c r="F493" s="373">
        <v>94.179857105519361</v>
      </c>
      <c r="G493" s="358"/>
      <c r="H493" s="368">
        <v>0.01</v>
      </c>
      <c r="I493" s="369">
        <v>694.58310994511169</v>
      </c>
      <c r="J493" s="370">
        <v>25845736.340979859</v>
      </c>
      <c r="K493" s="370">
        <v>94.179857105519403</v>
      </c>
      <c r="L493" s="358"/>
      <c r="M493" s="358"/>
      <c r="N493" s="358"/>
      <c r="O493" s="358"/>
      <c r="P493" s="358"/>
      <c r="Q493" s="358"/>
      <c r="R493" s="358"/>
      <c r="S493" s="358"/>
      <c r="T493" s="358"/>
      <c r="U493" s="358"/>
      <c r="V493" s="358"/>
      <c r="W493" s="358"/>
      <c r="X493" s="358"/>
      <c r="Y493" s="358"/>
      <c r="Z493" s="358"/>
    </row>
    <row r="494" spans="1:26" ht="12.75" x14ac:dyDescent="0.2">
      <c r="A494" s="358"/>
      <c r="B494" s="358"/>
      <c r="C494" s="368">
        <v>0.1</v>
      </c>
      <c r="D494" s="369">
        <v>694.58310994511169</v>
      </c>
      <c r="E494" s="370">
        <v>25845736.34097987</v>
      </c>
      <c r="F494" s="370">
        <v>94.179857105519361</v>
      </c>
      <c r="G494" s="358"/>
      <c r="H494" s="374">
        <v>2.5000000000000001E-2</v>
      </c>
      <c r="I494" s="372">
        <v>694.58310994511169</v>
      </c>
      <c r="J494" s="373">
        <v>25845736.340979856</v>
      </c>
      <c r="K494" s="373">
        <v>94.179857105519361</v>
      </c>
      <c r="L494" s="358"/>
      <c r="M494" s="358"/>
      <c r="N494" s="358"/>
      <c r="O494" s="358"/>
      <c r="P494" s="358"/>
      <c r="Q494" s="358"/>
      <c r="R494" s="358"/>
      <c r="S494" s="358"/>
      <c r="T494" s="358"/>
      <c r="U494" s="358"/>
      <c r="V494" s="358"/>
      <c r="W494" s="358"/>
      <c r="X494" s="358"/>
      <c r="Y494" s="358"/>
      <c r="Z494" s="358"/>
    </row>
    <row r="495" spans="1:26" ht="12.75" x14ac:dyDescent="0.2">
      <c r="A495" s="358"/>
      <c r="B495" s="358"/>
      <c r="C495" s="368">
        <v>0.15</v>
      </c>
      <c r="D495" s="369">
        <v>694.58310994511169</v>
      </c>
      <c r="E495" s="370">
        <v>25845736.340979867</v>
      </c>
      <c r="F495" s="370">
        <v>94.179857105519403</v>
      </c>
      <c r="G495" s="358"/>
      <c r="H495" s="368">
        <v>0.04</v>
      </c>
      <c r="I495" s="369">
        <v>694.58310994511157</v>
      </c>
      <c r="J495" s="370">
        <v>25845736.340979859</v>
      </c>
      <c r="K495" s="370">
        <v>94.179857105519304</v>
      </c>
      <c r="L495" s="358"/>
      <c r="M495" s="358"/>
      <c r="N495" s="358"/>
      <c r="O495" s="358"/>
      <c r="P495" s="358"/>
      <c r="Q495" s="358"/>
      <c r="R495" s="358"/>
      <c r="S495" s="358"/>
      <c r="T495" s="358"/>
      <c r="U495" s="358"/>
      <c r="V495" s="358"/>
      <c r="W495" s="358"/>
      <c r="X495" s="358"/>
      <c r="Y495" s="358"/>
      <c r="Z495" s="358"/>
    </row>
    <row r="496" spans="1:26" ht="12.75" x14ac:dyDescent="0.2">
      <c r="A496" s="358"/>
      <c r="B496" s="358"/>
      <c r="C496" s="375">
        <v>0.2</v>
      </c>
      <c r="D496" s="376">
        <v>694.5831099451118</v>
      </c>
      <c r="E496" s="377">
        <v>25845736.340979867</v>
      </c>
      <c r="F496" s="377">
        <v>94.179857105519403</v>
      </c>
      <c r="G496" s="358"/>
      <c r="H496" s="375">
        <v>0.06</v>
      </c>
      <c r="I496" s="376">
        <v>694.58310994511169</v>
      </c>
      <c r="J496" s="377">
        <v>25845736.340979859</v>
      </c>
      <c r="K496" s="377">
        <v>94.179857105519361</v>
      </c>
      <c r="L496" s="358"/>
      <c r="M496" s="358"/>
      <c r="N496" s="358"/>
      <c r="O496" s="358"/>
      <c r="P496" s="358"/>
      <c r="Q496" s="358"/>
      <c r="R496" s="358"/>
      <c r="S496" s="358"/>
      <c r="T496" s="358"/>
      <c r="U496" s="358"/>
      <c r="V496" s="358"/>
      <c r="W496" s="358"/>
      <c r="X496" s="358"/>
      <c r="Y496" s="358"/>
      <c r="Z496" s="358"/>
    </row>
    <row r="497" spans="1:26" ht="12.75" x14ac:dyDescent="0.2">
      <c r="A497" s="358"/>
      <c r="B497" s="358"/>
      <c r="C497" s="358"/>
      <c r="D497" s="358"/>
      <c r="E497" s="358"/>
      <c r="F497" s="358"/>
      <c r="G497" s="358"/>
      <c r="H497" s="358"/>
      <c r="I497" s="358"/>
      <c r="J497" s="358"/>
      <c r="K497" s="358"/>
      <c r="L497" s="358"/>
      <c r="M497" s="358"/>
      <c r="N497" s="358"/>
      <c r="O497" s="358"/>
      <c r="P497" s="358"/>
      <c r="Q497" s="358"/>
      <c r="R497" s="358"/>
      <c r="S497" s="358"/>
      <c r="T497" s="358"/>
      <c r="U497" s="358"/>
      <c r="V497" s="358"/>
      <c r="W497" s="358"/>
      <c r="X497" s="358"/>
      <c r="Y497" s="358"/>
      <c r="Z497" s="358"/>
    </row>
    <row r="498" spans="1:26" ht="38.25" x14ac:dyDescent="0.2">
      <c r="A498" s="358"/>
      <c r="B498" s="358"/>
      <c r="C498" s="359" t="s">
        <v>181</v>
      </c>
      <c r="D498" s="360" t="s">
        <v>812</v>
      </c>
      <c r="E498" s="361" t="s">
        <v>813</v>
      </c>
      <c r="F498" s="361" t="s">
        <v>814</v>
      </c>
      <c r="G498" s="358"/>
      <c r="H498" s="359" t="s">
        <v>755</v>
      </c>
      <c r="I498" s="360" t="s">
        <v>812</v>
      </c>
      <c r="J498" s="361" t="s">
        <v>813</v>
      </c>
      <c r="K498" s="361" t="s">
        <v>814</v>
      </c>
      <c r="L498" s="358"/>
      <c r="M498" s="358"/>
      <c r="N498" s="358"/>
      <c r="O498" s="358"/>
      <c r="P498" s="358"/>
      <c r="Q498" s="358"/>
      <c r="R498" s="358"/>
      <c r="S498" s="358"/>
      <c r="T498" s="358"/>
      <c r="U498" s="358"/>
      <c r="V498" s="358"/>
      <c r="W498" s="358"/>
      <c r="X498" s="358"/>
      <c r="Y498" s="358"/>
      <c r="Z498" s="358"/>
    </row>
    <row r="499" spans="1:26" ht="12.75" x14ac:dyDescent="0.2">
      <c r="A499" s="354"/>
      <c r="B499" s="354"/>
      <c r="C499" s="362"/>
      <c r="D499" s="363">
        <f>$F$347</f>
        <v>694.58310994511169</v>
      </c>
      <c r="E499" s="364">
        <f>$F$482</f>
        <v>25845736.340979856</v>
      </c>
      <c r="F499" s="364">
        <f>$H$344*1000/$F$10</f>
        <v>94.179857105519361</v>
      </c>
      <c r="G499" s="358"/>
      <c r="H499" s="362"/>
      <c r="I499" s="363">
        <f>$F$347</f>
        <v>694.58310994511169</v>
      </c>
      <c r="J499" s="364">
        <f>$F$482</f>
        <v>25845736.340979856</v>
      </c>
      <c r="K499" s="364">
        <f>$H$344*1000/$F$10</f>
        <v>94.179857105519361</v>
      </c>
      <c r="L499" s="354"/>
      <c r="M499" s="354"/>
      <c r="N499" s="354"/>
      <c r="O499" s="354"/>
      <c r="P499" s="354"/>
      <c r="Q499" s="354"/>
      <c r="R499" s="354"/>
      <c r="S499" s="354"/>
      <c r="T499" s="354"/>
      <c r="U499" s="354"/>
      <c r="V499" s="354"/>
      <c r="W499" s="354"/>
      <c r="X499" s="354"/>
      <c r="Y499" s="354"/>
      <c r="Z499" s="354"/>
    </row>
    <row r="500" spans="1:26" ht="12.75" x14ac:dyDescent="0.2">
      <c r="A500" s="354"/>
      <c r="B500" s="354"/>
      <c r="C500" s="378">
        <v>140</v>
      </c>
      <c r="D500" s="366">
        <f t="dataTable" ref="D500:F505" dt2D="0" dtr="0" r1="F10" ca="1"/>
        <v>858.19911785768977</v>
      </c>
      <c r="E500" s="367">
        <v>36413787.025764652</v>
      </c>
      <c r="F500" s="367">
        <v>119.95365393145369</v>
      </c>
      <c r="G500" s="358"/>
      <c r="H500" s="365">
        <v>-0.1</v>
      </c>
      <c r="I500" s="366">
        <f t="dataTable" ref="I500:K505" dt2D="0" dtr="0" r1="F11" ca="1"/>
        <v>855.69754139273709</v>
      </c>
      <c r="J500" s="367">
        <v>41028265.358691245</v>
      </c>
      <c r="K500" s="367">
        <v>115.37251410551936</v>
      </c>
      <c r="L500" s="354"/>
      <c r="M500" s="354"/>
      <c r="N500" s="354"/>
      <c r="O500" s="354"/>
      <c r="P500" s="354"/>
      <c r="Q500" s="354"/>
      <c r="R500" s="354"/>
      <c r="S500" s="354"/>
      <c r="T500" s="354"/>
      <c r="U500" s="354"/>
      <c r="V500" s="354"/>
      <c r="W500" s="354"/>
      <c r="X500" s="354"/>
      <c r="Y500" s="354"/>
      <c r="Z500" s="354"/>
    </row>
    <row r="501" spans="1:26" ht="12.75" x14ac:dyDescent="0.2">
      <c r="A501" s="354"/>
      <c r="B501" s="354"/>
      <c r="C501" s="379">
        <v>150</v>
      </c>
      <c r="D501" s="369">
        <v>760.22851395595069</v>
      </c>
      <c r="E501" s="370">
        <v>30085810.192313511</v>
      </c>
      <c r="F501" s="370">
        <v>104.52072366935681</v>
      </c>
      <c r="G501" s="358"/>
      <c r="H501" s="368">
        <v>-0.05</v>
      </c>
      <c r="I501" s="369">
        <v>784.05528215996139</v>
      </c>
      <c r="J501" s="370">
        <v>34268044.746884592</v>
      </c>
      <c r="K501" s="370">
        <v>105.05503635551938</v>
      </c>
      <c r="L501" s="354"/>
      <c r="M501" s="354"/>
      <c r="N501" s="354"/>
      <c r="O501" s="354"/>
      <c r="P501" s="354"/>
      <c r="Q501" s="354"/>
      <c r="R501" s="354"/>
      <c r="S501" s="354"/>
      <c r="T501" s="354"/>
      <c r="U501" s="354"/>
      <c r="V501" s="354"/>
      <c r="W501" s="354"/>
      <c r="X501" s="354"/>
      <c r="Y501" s="354"/>
      <c r="Z501" s="354"/>
    </row>
    <row r="502" spans="1:26" ht="12.75" x14ac:dyDescent="0.2">
      <c r="A502" s="354"/>
      <c r="B502" s="354"/>
      <c r="C502" s="380">
        <v>157.54</v>
      </c>
      <c r="D502" s="372">
        <v>694.58310994511169</v>
      </c>
      <c r="E502" s="373">
        <v>25845736.340979856</v>
      </c>
      <c r="F502" s="373">
        <v>94.179857105519361</v>
      </c>
      <c r="G502" s="358"/>
      <c r="H502" s="371">
        <v>0</v>
      </c>
      <c r="I502" s="372">
        <v>694.58310994511169</v>
      </c>
      <c r="J502" s="373">
        <v>25845736.340979856</v>
      </c>
      <c r="K502" s="373">
        <v>94.179857105519361</v>
      </c>
      <c r="L502" s="354"/>
      <c r="M502" s="354"/>
      <c r="N502" s="354"/>
      <c r="O502" s="354"/>
      <c r="P502" s="354"/>
      <c r="Q502" s="354"/>
      <c r="R502" s="354"/>
      <c r="S502" s="354"/>
      <c r="T502" s="354"/>
      <c r="U502" s="354"/>
      <c r="V502" s="354"/>
      <c r="W502" s="354"/>
      <c r="X502" s="354"/>
      <c r="Y502" s="354"/>
      <c r="Z502" s="354"/>
    </row>
    <row r="503" spans="1:26" ht="12.75" x14ac:dyDescent="0.2">
      <c r="A503" s="354"/>
      <c r="B503" s="354"/>
      <c r="C503" s="379">
        <v>165</v>
      </c>
      <c r="D503" s="369">
        <v>635.53865444464645</v>
      </c>
      <c r="E503" s="370">
        <v>22032021.495193899</v>
      </c>
      <c r="F503" s="370">
        <v>84.878812426688</v>
      </c>
      <c r="G503" s="358"/>
      <c r="H503" s="597">
        <v>0.05</v>
      </c>
      <c r="I503" s="369">
        <v>582.47298617274532</v>
      </c>
      <c r="J503" s="370">
        <v>15311227.742220426</v>
      </c>
      <c r="K503" s="370">
        <v>82.746976355519394</v>
      </c>
      <c r="L503" s="354"/>
      <c r="M503" s="354"/>
      <c r="N503" s="354"/>
      <c r="O503" s="354"/>
      <c r="P503" s="354"/>
      <c r="Q503" s="354"/>
      <c r="R503" s="354"/>
      <c r="S503" s="354"/>
      <c r="T503" s="354"/>
      <c r="U503" s="354"/>
      <c r="V503" s="354"/>
      <c r="W503" s="354"/>
      <c r="X503" s="354"/>
      <c r="Y503" s="354"/>
      <c r="Z503" s="354"/>
    </row>
    <row r="504" spans="1:26" ht="12.75" x14ac:dyDescent="0.2">
      <c r="A504" s="354"/>
      <c r="B504" s="354"/>
      <c r="C504" s="379">
        <v>175</v>
      </c>
      <c r="D504" s="369">
        <v>564.28730615247241</v>
      </c>
      <c r="E504" s="370">
        <v>17429856.525411248</v>
      </c>
      <c r="F504" s="370">
        <v>73.654863145162977</v>
      </c>
      <c r="G504" s="358"/>
      <c r="H504" s="368">
        <v>0.1</v>
      </c>
      <c r="I504" s="369">
        <v>441.70726273375112</v>
      </c>
      <c r="J504" s="370">
        <v>2099764.3078598334</v>
      </c>
      <c r="K504" s="370">
        <v>70.75639410551932</v>
      </c>
      <c r="L504" s="354"/>
      <c r="M504" s="354"/>
      <c r="N504" s="354"/>
      <c r="O504" s="354"/>
      <c r="P504" s="354"/>
      <c r="Q504" s="354"/>
      <c r="R504" s="354"/>
      <c r="S504" s="354"/>
      <c r="T504" s="354"/>
      <c r="U504" s="354"/>
      <c r="V504" s="354"/>
      <c r="W504" s="354"/>
      <c r="X504" s="354"/>
      <c r="Y504" s="354"/>
      <c r="Z504" s="354"/>
    </row>
    <row r="505" spans="1:26" ht="12.75" x14ac:dyDescent="0.2">
      <c r="A505" s="354"/>
      <c r="B505" s="354"/>
      <c r="C505" s="381">
        <v>185</v>
      </c>
      <c r="D505" s="376">
        <v>500.73880632431735</v>
      </c>
      <c r="E505" s="377">
        <v>13325222.903713224</v>
      </c>
      <c r="F505" s="377">
        <v>63.644313785964975</v>
      </c>
      <c r="G505" s="358"/>
      <c r="H505" s="375">
        <v>0.15</v>
      </c>
      <c r="I505" s="376">
        <v>264.79778370784811</v>
      </c>
      <c r="J505" s="377">
        <v>-14493093.580674807</v>
      </c>
      <c r="K505" s="377">
        <v>58.208110355519381</v>
      </c>
      <c r="L505" s="354"/>
      <c r="M505" s="354"/>
      <c r="N505" s="354"/>
      <c r="O505" s="354"/>
      <c r="P505" s="354"/>
      <c r="Q505" s="354"/>
      <c r="R505" s="354"/>
      <c r="S505" s="354"/>
      <c r="T505" s="354"/>
      <c r="U505" s="354"/>
      <c r="V505" s="354"/>
      <c r="W505" s="354"/>
      <c r="X505" s="354"/>
      <c r="Y505" s="354"/>
      <c r="Z505" s="354"/>
    </row>
    <row r="506" spans="1:26" ht="12.75" x14ac:dyDescent="0.2">
      <c r="A506" s="354"/>
      <c r="B506" s="354"/>
      <c r="C506" s="354"/>
      <c r="D506" s="354"/>
      <c r="E506" s="354"/>
      <c r="F506" s="354"/>
      <c r="G506" s="354"/>
      <c r="H506" s="354"/>
      <c r="I506" s="354"/>
      <c r="J506" s="354"/>
      <c r="K506" s="354"/>
      <c r="L506" s="354"/>
      <c r="M506" s="354"/>
      <c r="N506" s="354"/>
      <c r="O506" s="354"/>
      <c r="P506" s="354"/>
      <c r="Q506" s="354"/>
      <c r="R506" s="354"/>
      <c r="S506" s="354"/>
      <c r="T506" s="354"/>
      <c r="U506" s="354"/>
      <c r="V506" s="354"/>
      <c r="W506" s="354"/>
      <c r="X506" s="354"/>
      <c r="Y506" s="354"/>
      <c r="Z506" s="354"/>
    </row>
    <row r="507" spans="1:26" ht="25.5" x14ac:dyDescent="0.2">
      <c r="A507" s="354"/>
      <c r="B507" s="354"/>
      <c r="C507" s="359" t="s">
        <v>21</v>
      </c>
      <c r="D507" s="360" t="s">
        <v>812</v>
      </c>
      <c r="E507" s="361" t="s">
        <v>813</v>
      </c>
      <c r="F507" s="361" t="s">
        <v>814</v>
      </c>
      <c r="G507" s="358"/>
      <c r="H507" s="359" t="s">
        <v>23</v>
      </c>
      <c r="I507" s="360" t="s">
        <v>812</v>
      </c>
      <c r="J507" s="361" t="s">
        <v>813</v>
      </c>
      <c r="K507" s="361" t="s">
        <v>814</v>
      </c>
      <c r="L507" s="354"/>
      <c r="M507" s="354"/>
      <c r="N507" s="354"/>
      <c r="O507" s="354"/>
      <c r="P507" s="354"/>
      <c r="Q507" s="354"/>
      <c r="R507" s="354"/>
      <c r="S507" s="354"/>
      <c r="T507" s="354"/>
      <c r="U507" s="354"/>
      <c r="V507" s="354"/>
      <c r="W507" s="354"/>
      <c r="X507" s="354"/>
      <c r="Y507" s="354"/>
      <c r="Z507" s="354"/>
    </row>
    <row r="508" spans="1:26" ht="12.75" x14ac:dyDescent="0.2">
      <c r="A508" s="354"/>
      <c r="B508" s="354"/>
      <c r="C508" s="362"/>
      <c r="D508" s="363">
        <f>$F$347</f>
        <v>694.58310994511169</v>
      </c>
      <c r="E508" s="364">
        <f>$F$482</f>
        <v>25845736.340979856</v>
      </c>
      <c r="F508" s="364">
        <f>$H$344*1000/$F$10</f>
        <v>94.179857105519361</v>
      </c>
      <c r="G508" s="358"/>
      <c r="H508" s="362"/>
      <c r="I508" s="363">
        <f>$F$347</f>
        <v>694.58310994511169</v>
      </c>
      <c r="J508" s="364">
        <f>$F$482</f>
        <v>25845736.340979856</v>
      </c>
      <c r="K508" s="364">
        <f>$H$344*1000/$F$10</f>
        <v>94.179857105519361</v>
      </c>
      <c r="L508" s="354"/>
      <c r="M508" s="354"/>
      <c r="N508" s="354"/>
      <c r="O508" s="354"/>
      <c r="P508" s="354"/>
      <c r="Q508" s="354"/>
      <c r="R508" s="354"/>
      <c r="S508" s="354"/>
      <c r="T508" s="354"/>
      <c r="U508" s="354"/>
      <c r="V508" s="354"/>
      <c r="W508" s="354"/>
      <c r="X508" s="354"/>
      <c r="Y508" s="354"/>
      <c r="Z508" s="354"/>
    </row>
    <row r="509" spans="1:26" ht="12.75" x14ac:dyDescent="0.2">
      <c r="A509" s="354"/>
      <c r="B509" s="354"/>
      <c r="C509" s="382">
        <v>7.0000000000000007E-2</v>
      </c>
      <c r="D509" s="366">
        <f t="dataTable" ref="D509:F514" dt2D="0" dtr="0" r1="F19" ca="1"/>
        <v>1053.0330309706417</v>
      </c>
      <c r="E509" s="367">
        <v>25845736.340979856</v>
      </c>
      <c r="F509" s="367">
        <v>94.179857105519361</v>
      </c>
      <c r="G509" s="358"/>
      <c r="H509" s="365">
        <v>0.06</v>
      </c>
      <c r="I509" s="366">
        <f t="dataTable" ref="I509:K514" dt2D="0" dtr="0" r1="F20" ca="1"/>
        <v>694.58310994511169</v>
      </c>
      <c r="J509" s="367">
        <v>40233287.66868829</v>
      </c>
      <c r="K509" s="367">
        <v>94.179857105519361</v>
      </c>
      <c r="L509" s="354"/>
      <c r="M509" s="354"/>
      <c r="N509" s="354"/>
      <c r="O509" s="354"/>
      <c r="P509" s="354"/>
      <c r="Q509" s="354"/>
      <c r="R509" s="354"/>
      <c r="S509" s="354"/>
      <c r="T509" s="354"/>
      <c r="U509" s="354"/>
      <c r="V509" s="354"/>
      <c r="W509" s="354"/>
      <c r="X509" s="354"/>
      <c r="Y509" s="354"/>
      <c r="Z509" s="354"/>
    </row>
    <row r="510" spans="1:26" ht="12.75" x14ac:dyDescent="0.2">
      <c r="A510" s="354"/>
      <c r="B510" s="354"/>
      <c r="C510" s="383">
        <v>0.1</v>
      </c>
      <c r="D510" s="369">
        <v>917.64309537282179</v>
      </c>
      <c r="E510" s="370">
        <v>25845736.340979856</v>
      </c>
      <c r="F510" s="370">
        <v>94.179857105519361</v>
      </c>
      <c r="G510" s="358"/>
      <c r="H510" s="368">
        <v>0.08</v>
      </c>
      <c r="I510" s="369">
        <v>694.58310994511169</v>
      </c>
      <c r="J510" s="370">
        <v>34563536.913890652</v>
      </c>
      <c r="K510" s="370">
        <v>94.179857105519361</v>
      </c>
      <c r="L510" s="354"/>
      <c r="M510" s="354"/>
      <c r="N510" s="354"/>
      <c r="O510" s="354"/>
      <c r="P510" s="354"/>
      <c r="Q510" s="354"/>
      <c r="R510" s="354"/>
      <c r="S510" s="354"/>
      <c r="T510" s="354"/>
      <c r="U510" s="354"/>
      <c r="V510" s="354"/>
      <c r="W510" s="354"/>
      <c r="X510" s="354"/>
      <c r="Y510" s="354"/>
      <c r="Z510" s="354"/>
    </row>
    <row r="511" spans="1:26" ht="12.75" x14ac:dyDescent="0.2">
      <c r="A511" s="354"/>
      <c r="B511" s="354"/>
      <c r="C511" s="384">
        <v>0.12</v>
      </c>
      <c r="D511" s="385">
        <v>841.55540766484182</v>
      </c>
      <c r="E511" s="386">
        <v>25845736.340979856</v>
      </c>
      <c r="F511" s="386">
        <v>94.179857105519361</v>
      </c>
      <c r="G511" s="358"/>
      <c r="H511" s="368">
        <v>0.1</v>
      </c>
      <c r="I511" s="369">
        <v>694.58310994511169</v>
      </c>
      <c r="J511" s="370">
        <v>29825621.751369767</v>
      </c>
      <c r="K511" s="370">
        <v>94.179857105519361</v>
      </c>
      <c r="L511" s="354"/>
      <c r="M511" s="354"/>
      <c r="N511" s="354"/>
      <c r="O511" s="354"/>
      <c r="P511" s="354"/>
      <c r="Q511" s="354"/>
      <c r="R511" s="354"/>
      <c r="S511" s="354"/>
      <c r="T511" s="354"/>
      <c r="U511" s="354"/>
      <c r="V511" s="354"/>
      <c r="W511" s="354"/>
      <c r="X511" s="354"/>
      <c r="Y511" s="354"/>
      <c r="Z511" s="354"/>
    </row>
    <row r="512" spans="1:26" ht="12.75" x14ac:dyDescent="0.2">
      <c r="A512" s="354"/>
      <c r="B512" s="354"/>
      <c r="C512" s="387">
        <v>0.16800000000000001</v>
      </c>
      <c r="D512" s="372">
        <v>694.58310994511169</v>
      </c>
      <c r="E512" s="373">
        <v>25845736.340979856</v>
      </c>
      <c r="F512" s="373">
        <v>94.179857105519361</v>
      </c>
      <c r="G512" s="358"/>
      <c r="H512" s="371">
        <v>0.12</v>
      </c>
      <c r="I512" s="372">
        <v>694.58310994511169</v>
      </c>
      <c r="J512" s="373">
        <v>25845736.340979856</v>
      </c>
      <c r="K512" s="373">
        <v>94.179857105519361</v>
      </c>
      <c r="L512" s="354"/>
      <c r="M512" s="354"/>
      <c r="N512" s="354"/>
      <c r="O512" s="354"/>
      <c r="P512" s="354"/>
      <c r="Q512" s="354"/>
      <c r="R512" s="354"/>
      <c r="S512" s="354"/>
      <c r="T512" s="354"/>
      <c r="U512" s="354"/>
      <c r="V512" s="354"/>
      <c r="W512" s="354"/>
      <c r="X512" s="354"/>
      <c r="Y512" s="354"/>
      <c r="Z512" s="354"/>
    </row>
    <row r="513" spans="1:26" ht="12.75" x14ac:dyDescent="0.2">
      <c r="A513" s="354"/>
      <c r="B513" s="354"/>
      <c r="C513" s="383">
        <v>0.2</v>
      </c>
      <c r="D513" s="369">
        <v>618.22566983123102</v>
      </c>
      <c r="E513" s="370">
        <v>25845736.340979856</v>
      </c>
      <c r="F513" s="370">
        <v>94.179857105519361</v>
      </c>
      <c r="G513" s="358"/>
      <c r="H513" s="368">
        <v>0.14000000000000001</v>
      </c>
      <c r="I513" s="369">
        <v>694.58310994511169</v>
      </c>
      <c r="J513" s="370">
        <v>22485844.426038913</v>
      </c>
      <c r="K513" s="370">
        <v>94.179857105519361</v>
      </c>
      <c r="L513" s="354"/>
      <c r="M513" s="354"/>
      <c r="N513" s="354"/>
      <c r="O513" s="354"/>
      <c r="P513" s="354"/>
      <c r="Q513" s="354"/>
      <c r="R513" s="354"/>
      <c r="S513" s="354"/>
      <c r="T513" s="354"/>
      <c r="U513" s="354"/>
      <c r="V513" s="354"/>
      <c r="W513" s="354"/>
      <c r="X513" s="354"/>
      <c r="Y513" s="354"/>
      <c r="Z513" s="354"/>
    </row>
    <row r="514" spans="1:26" ht="12.75" x14ac:dyDescent="0.2">
      <c r="A514" s="354"/>
      <c r="B514" s="354"/>
      <c r="C514" s="388">
        <v>0.25</v>
      </c>
      <c r="D514" s="376">
        <v>524.02769464134462</v>
      </c>
      <c r="E514" s="377">
        <v>25845736.340979856</v>
      </c>
      <c r="F514" s="377">
        <v>94.179857105519361</v>
      </c>
      <c r="G514" s="358"/>
      <c r="H514" s="375">
        <v>0.16</v>
      </c>
      <c r="I514" s="376">
        <v>694.58310994511169</v>
      </c>
      <c r="J514" s="377">
        <v>19635700.237353235</v>
      </c>
      <c r="K514" s="377">
        <v>94.179857105519361</v>
      </c>
      <c r="L514" s="354"/>
      <c r="M514" s="354"/>
      <c r="N514" s="354"/>
      <c r="O514" s="354"/>
      <c r="P514" s="354"/>
      <c r="Q514" s="354"/>
      <c r="R514" s="354"/>
      <c r="S514" s="354"/>
      <c r="T514" s="354"/>
      <c r="U514" s="354"/>
      <c r="V514" s="354"/>
      <c r="W514" s="354"/>
      <c r="X514" s="354"/>
      <c r="Y514" s="354"/>
      <c r="Z514" s="354"/>
    </row>
    <row r="515" spans="1:26" ht="12.75" x14ac:dyDescent="0.2">
      <c r="A515" s="122"/>
      <c r="B515" s="122"/>
      <c r="C515" s="122"/>
      <c r="D515" s="122"/>
      <c r="E515" s="122"/>
      <c r="F515" s="122"/>
      <c r="G515" s="122"/>
      <c r="H515" s="122"/>
      <c r="I515" s="122"/>
      <c r="J515" s="122"/>
      <c r="K515" s="122"/>
      <c r="L515" s="122"/>
      <c r="M515" s="122"/>
      <c r="N515" s="122"/>
      <c r="O515" s="122"/>
      <c r="P515" s="122"/>
      <c r="Q515" s="122"/>
      <c r="R515" s="122"/>
      <c r="S515" s="122"/>
      <c r="T515" s="122"/>
      <c r="U515" s="122"/>
      <c r="V515" s="122"/>
      <c r="W515" s="122"/>
      <c r="X515" s="122"/>
      <c r="Y515" s="122"/>
      <c r="Z515" s="122"/>
    </row>
    <row r="516" spans="1:26" customFormat="1" ht="38.25" x14ac:dyDescent="0.2">
      <c r="A516" s="246"/>
      <c r="B516" s="3"/>
      <c r="C516" s="359" t="s">
        <v>950</v>
      </c>
      <c r="D516" s="360" t="s">
        <v>812</v>
      </c>
      <c r="E516" s="361" t="s">
        <v>813</v>
      </c>
      <c r="F516" s="361" t="s">
        <v>814</v>
      </c>
      <c r="G516" s="3"/>
      <c r="H516" s="359" t="s">
        <v>911</v>
      </c>
      <c r="I516" s="360" t="s">
        <v>812</v>
      </c>
      <c r="J516" s="361" t="s">
        <v>813</v>
      </c>
      <c r="K516" s="361" t="s">
        <v>814</v>
      </c>
      <c r="L516" s="3"/>
      <c r="M516" s="3"/>
      <c r="N516" s="3"/>
      <c r="O516" s="3"/>
      <c r="P516" s="3"/>
      <c r="Q516" s="3"/>
      <c r="R516" s="3"/>
      <c r="S516" s="3"/>
      <c r="T516" s="3"/>
      <c r="U516" s="3"/>
      <c r="V516" s="3"/>
      <c r="W516" s="3"/>
      <c r="X516" s="3"/>
      <c r="Y516" s="3"/>
      <c r="Z516" s="3"/>
    </row>
    <row r="517" spans="1:26" customFormat="1" ht="12.75" x14ac:dyDescent="0.2">
      <c r="A517" s="246"/>
      <c r="B517" s="3"/>
      <c r="C517" s="362"/>
      <c r="D517" s="363">
        <f>$F$347</f>
        <v>694.58310994511169</v>
      </c>
      <c r="E517" s="364">
        <f>$F$482</f>
        <v>25845736.340979856</v>
      </c>
      <c r="F517" s="364">
        <f>$H$344*1000/$F$10</f>
        <v>94.179857105519361</v>
      </c>
      <c r="G517" s="3"/>
      <c r="H517" s="362"/>
      <c r="I517" s="363">
        <f>$F$347</f>
        <v>694.58310994511169</v>
      </c>
      <c r="J517" s="364">
        <f>$F$482</f>
        <v>25845736.340979856</v>
      </c>
      <c r="K517" s="364">
        <f>$H$344*1000/$F$10</f>
        <v>94.179857105519361</v>
      </c>
      <c r="L517" s="3"/>
      <c r="M517" s="3"/>
      <c r="N517" s="3"/>
      <c r="O517" s="3"/>
      <c r="P517" s="3"/>
      <c r="Q517" s="3"/>
      <c r="R517" s="3"/>
      <c r="S517" s="3"/>
      <c r="T517" s="3"/>
      <c r="U517" s="3"/>
      <c r="V517" s="3"/>
      <c r="W517" s="3"/>
      <c r="X517" s="3"/>
      <c r="Y517" s="3"/>
      <c r="Z517" s="3"/>
    </row>
    <row r="518" spans="1:26" customFormat="1" ht="12.75" x14ac:dyDescent="0.2">
      <c r="A518" s="246"/>
      <c r="B518" s="3"/>
      <c r="C518" s="382">
        <v>-0.03</v>
      </c>
      <c r="D518" s="621">
        <f t="dataTable" ref="D518:F525" dt2D="0" dtr="0" r1="F54" ca="1"/>
        <v>722.78103573061321</v>
      </c>
      <c r="E518" s="622">
        <v>27579925.827439636</v>
      </c>
      <c r="F518" s="622">
        <v>98.9088689292156</v>
      </c>
      <c r="G518" s="3"/>
      <c r="H518" s="382">
        <v>-0.1</v>
      </c>
      <c r="I518" s="621">
        <f t="dataTable" ref="I518:K525" dt2D="0" dtr="0" r1="F77" ca="1"/>
        <v>767.65571726434416</v>
      </c>
      <c r="J518" s="622">
        <v>31832947.296922237</v>
      </c>
      <c r="K518" s="622">
        <v>107.51167687319739</v>
      </c>
      <c r="L518" s="3"/>
      <c r="M518" s="3"/>
      <c r="N518" s="3"/>
      <c r="O518" s="3"/>
      <c r="P518" s="3"/>
      <c r="Q518" s="3"/>
      <c r="R518" s="3"/>
      <c r="S518" s="3"/>
      <c r="T518" s="3"/>
      <c r="U518" s="3"/>
      <c r="V518" s="3"/>
      <c r="W518" s="3"/>
      <c r="X518" s="3"/>
      <c r="Y518" s="3"/>
      <c r="Z518" s="3"/>
    </row>
    <row r="519" spans="1:26" customFormat="1" ht="12.75" x14ac:dyDescent="0.2">
      <c r="A519" s="246"/>
      <c r="B519" s="3"/>
      <c r="C519" s="383">
        <v>-0.02</v>
      </c>
      <c r="D519" s="613">
        <v>713.75873024822818</v>
      </c>
      <c r="E519" s="614">
        <v>27025709.57612431</v>
      </c>
      <c r="F519" s="614">
        <v>97.348535078757607</v>
      </c>
      <c r="G519" s="3"/>
      <c r="H519" s="383">
        <v>-0.05</v>
      </c>
      <c r="I519" s="613">
        <v>731.11941360472815</v>
      </c>
      <c r="J519" s="614">
        <v>28839341.818951063</v>
      </c>
      <c r="K519" s="614">
        <v>100.84576698935842</v>
      </c>
      <c r="L519" s="3"/>
      <c r="M519" s="3"/>
      <c r="N519" s="3"/>
      <c r="O519" s="3"/>
      <c r="P519" s="3"/>
      <c r="Q519" s="3"/>
      <c r="R519" s="3"/>
      <c r="S519" s="3"/>
      <c r="T519" s="3"/>
      <c r="U519" s="3"/>
      <c r="V519" s="3"/>
      <c r="W519" s="3"/>
      <c r="X519" s="3"/>
      <c r="Y519" s="3"/>
      <c r="Z519" s="3"/>
    </row>
    <row r="520" spans="1:26" customFormat="1" ht="12.75" x14ac:dyDescent="0.2">
      <c r="A520" s="246"/>
      <c r="B520" s="3"/>
      <c r="C520" s="384">
        <v>-0.01</v>
      </c>
      <c r="D520" s="615">
        <v>704.36523698651001</v>
      </c>
      <c r="E520" s="616">
        <v>26448023.418900337</v>
      </c>
      <c r="F520" s="616">
        <v>95.772197804192103</v>
      </c>
      <c r="G520" s="3"/>
      <c r="H520" s="384">
        <v>-0.01</v>
      </c>
      <c r="I520" s="615">
        <v>701.89037067703487</v>
      </c>
      <c r="J520" s="616">
        <v>26444457.436574109</v>
      </c>
      <c r="K520" s="616">
        <v>95.513039082287165</v>
      </c>
      <c r="L520" s="3"/>
      <c r="M520" s="3"/>
      <c r="N520" s="3"/>
      <c r="O520" s="3"/>
      <c r="P520" s="3"/>
      <c r="Q520" s="3"/>
      <c r="R520" s="3"/>
      <c r="S520" s="3"/>
      <c r="T520" s="3"/>
      <c r="U520" s="3"/>
      <c r="V520" s="3"/>
      <c r="W520" s="3"/>
      <c r="X520" s="3"/>
      <c r="Y520" s="3"/>
      <c r="Z520" s="3"/>
    </row>
    <row r="521" spans="1:26" customFormat="1" ht="12.75" x14ac:dyDescent="0.2">
      <c r="A521" s="246"/>
      <c r="B521" s="3"/>
      <c r="C521" s="602">
        <v>0</v>
      </c>
      <c r="D521" s="617">
        <v>694.58310994511169</v>
      </c>
      <c r="E521" s="618">
        <v>25845736.340979856</v>
      </c>
      <c r="F521" s="618">
        <v>94.179857105519361</v>
      </c>
      <c r="G521" s="3"/>
      <c r="H521" s="602">
        <v>0</v>
      </c>
      <c r="I521" s="617">
        <v>694.58310994511169</v>
      </c>
      <c r="J521" s="618">
        <v>25845736.340979856</v>
      </c>
      <c r="K521" s="618">
        <v>94.179857105519361</v>
      </c>
      <c r="L521" s="3"/>
      <c r="M521" s="3"/>
      <c r="N521" s="3"/>
      <c r="O521" s="3"/>
      <c r="P521" s="3"/>
      <c r="Q521" s="3"/>
      <c r="R521" s="3"/>
      <c r="S521" s="3"/>
      <c r="T521" s="3"/>
      <c r="U521" s="3"/>
      <c r="V521" s="3"/>
      <c r="W521" s="3"/>
      <c r="X521" s="3"/>
      <c r="Y521" s="3"/>
      <c r="Z521" s="3"/>
    </row>
    <row r="522" spans="1:26" customFormat="1" ht="12.75" x14ac:dyDescent="0.2">
      <c r="A522" s="246"/>
      <c r="B522" s="3"/>
      <c r="C522" s="383">
        <v>0.01</v>
      </c>
      <c r="D522" s="613">
        <v>684.39410242153633</v>
      </c>
      <c r="E522" s="614">
        <v>25217664.442768812</v>
      </c>
      <c r="F522" s="614">
        <v>92.57151298273935</v>
      </c>
      <c r="G522" s="3"/>
      <c r="H522" s="383">
        <v>0.01</v>
      </c>
      <c r="I522" s="613">
        <v>687.27584921318828</v>
      </c>
      <c r="J522" s="614">
        <v>25247015.245385636</v>
      </c>
      <c r="K522" s="614">
        <v>92.846675128751585</v>
      </c>
      <c r="L522" s="3"/>
      <c r="M522" s="3"/>
      <c r="N522" s="3"/>
      <c r="O522" s="3"/>
      <c r="P522" s="3"/>
      <c r="Q522" s="3"/>
      <c r="R522" s="3"/>
      <c r="S522" s="3"/>
      <c r="T522" s="3"/>
      <c r="U522" s="3"/>
      <c r="V522" s="3"/>
      <c r="W522" s="3"/>
      <c r="X522" s="3"/>
      <c r="Y522" s="3"/>
      <c r="Z522" s="3"/>
    </row>
    <row r="523" spans="1:26" customFormat="1" ht="12.75" x14ac:dyDescent="0.2">
      <c r="A523" s="246"/>
      <c r="B523" s="3"/>
      <c r="C523" s="383">
        <v>0.02</v>
      </c>
      <c r="D523" s="613">
        <v>673.77913440245322</v>
      </c>
      <c r="E523" s="614">
        <v>24562568.756617617</v>
      </c>
      <c r="F523" s="614">
        <v>90.947165435852099</v>
      </c>
      <c r="G523" s="3"/>
      <c r="H523" s="702">
        <v>2.5000000000000001E-2</v>
      </c>
      <c r="I523" s="613">
        <v>676.3149581153034</v>
      </c>
      <c r="J523" s="614">
        <v>24348933.601994291</v>
      </c>
      <c r="K523" s="614">
        <v>90.846902163599836</v>
      </c>
      <c r="L523" s="3"/>
      <c r="M523" s="3"/>
      <c r="N523" s="3"/>
      <c r="O523" s="3"/>
      <c r="P523" s="3"/>
      <c r="Q523" s="3"/>
      <c r="R523" s="3"/>
      <c r="S523" s="3"/>
      <c r="T523" s="3"/>
      <c r="U523" s="3"/>
      <c r="V523" s="3"/>
      <c r="W523" s="3"/>
      <c r="X523" s="3"/>
      <c r="Y523" s="3"/>
      <c r="Z523" s="3"/>
    </row>
    <row r="524" spans="1:26" customFormat="1" ht="12.75" x14ac:dyDescent="0.2">
      <c r="A524" s="246"/>
      <c r="B524" s="3"/>
      <c r="C524" s="383">
        <v>0.03</v>
      </c>
      <c r="D524" s="613">
        <v>662.71825885639873</v>
      </c>
      <c r="E524" s="614">
        <v>23879152.989269931</v>
      </c>
      <c r="F524" s="614">
        <v>89.30681446485768</v>
      </c>
      <c r="G524" s="3"/>
      <c r="H524" s="383">
        <v>0.05</v>
      </c>
      <c r="I524" s="613">
        <v>658.04680628549522</v>
      </c>
      <c r="J524" s="614">
        <v>22852130.863008678</v>
      </c>
      <c r="K524" s="614">
        <v>87.513947221680311</v>
      </c>
      <c r="L524" s="3"/>
      <c r="M524" s="3"/>
      <c r="N524" s="3"/>
      <c r="O524" s="3"/>
      <c r="P524" s="3"/>
      <c r="Q524" s="3"/>
      <c r="R524" s="3"/>
      <c r="S524" s="3"/>
      <c r="T524" s="3"/>
      <c r="U524" s="3"/>
      <c r="V524" s="3"/>
      <c r="W524" s="3"/>
      <c r="X524" s="3"/>
      <c r="Y524" s="3"/>
      <c r="Z524" s="3"/>
    </row>
    <row r="525" spans="1:26" customFormat="1" ht="12.75" x14ac:dyDescent="0.2">
      <c r="A525" s="246"/>
      <c r="B525" s="3"/>
      <c r="C525" s="388">
        <v>0.04</v>
      </c>
      <c r="D525" s="619">
        <v>651.19062689952398</v>
      </c>
      <c r="E525" s="620">
        <v>23166061.188078571</v>
      </c>
      <c r="F525" s="620">
        <v>87.650460069755852</v>
      </c>
      <c r="G525" s="3"/>
      <c r="H525" s="388">
        <v>0.1</v>
      </c>
      <c r="I525" s="619">
        <v>621.51050262587876</v>
      </c>
      <c r="J525" s="620">
        <v>19858525.385037515</v>
      </c>
      <c r="K525" s="620">
        <v>80.848037337841276</v>
      </c>
      <c r="L525" s="3"/>
      <c r="M525" s="3"/>
      <c r="N525" s="3"/>
      <c r="O525" s="3"/>
      <c r="P525" s="3"/>
      <c r="Q525" s="3"/>
      <c r="R525" s="3"/>
      <c r="S525" s="3"/>
      <c r="T525" s="3"/>
      <c r="U525" s="3"/>
      <c r="V525" s="3"/>
      <c r="W525" s="3"/>
      <c r="X525" s="3"/>
      <c r="Y525" s="3"/>
      <c r="Z525" s="3"/>
    </row>
    <row r="526" spans="1:26" customFormat="1" ht="12.75" x14ac:dyDescent="0.2">
      <c r="A526" s="246"/>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customFormat="1" ht="51" x14ac:dyDescent="0.2">
      <c r="A527" s="246"/>
      <c r="B527" s="3"/>
      <c r="C527" s="359" t="s">
        <v>997</v>
      </c>
      <c r="D527" s="360" t="s">
        <v>812</v>
      </c>
      <c r="E527" s="361" t="s">
        <v>813</v>
      </c>
      <c r="F527" s="361" t="s">
        <v>814</v>
      </c>
      <c r="G527" s="3"/>
      <c r="H527" s="359" t="s">
        <v>936</v>
      </c>
      <c r="I527" s="360" t="s">
        <v>812</v>
      </c>
      <c r="J527" s="361" t="s">
        <v>813</v>
      </c>
      <c r="K527" s="361" t="s">
        <v>814</v>
      </c>
      <c r="L527" s="3"/>
      <c r="M527" s="3"/>
      <c r="N527" s="3"/>
      <c r="O527" s="3"/>
      <c r="P527" s="3"/>
      <c r="Q527" s="3"/>
      <c r="R527" s="3"/>
      <c r="S527" s="3"/>
      <c r="T527" s="3"/>
      <c r="U527" s="3"/>
      <c r="V527" s="3"/>
      <c r="W527" s="3"/>
      <c r="X527" s="3"/>
      <c r="Y527" s="3"/>
      <c r="Z527" s="3"/>
    </row>
    <row r="528" spans="1:26" customFormat="1" ht="12.75" x14ac:dyDescent="0.2">
      <c r="A528" s="246"/>
      <c r="B528" s="3"/>
      <c r="C528" s="362"/>
      <c r="D528" s="363">
        <f>$F$347</f>
        <v>694.58310994511169</v>
      </c>
      <c r="E528" s="364">
        <f>$F$482</f>
        <v>25845736.340979856</v>
      </c>
      <c r="F528" s="364">
        <f>$H$344*1000/$F$10</f>
        <v>94.179857105519361</v>
      </c>
      <c r="G528" s="3"/>
      <c r="H528" s="362"/>
      <c r="I528" s="363">
        <f>$F$347</f>
        <v>694.58310994511169</v>
      </c>
      <c r="J528" s="364">
        <f>$F$482</f>
        <v>25845736.340979856</v>
      </c>
      <c r="K528" s="364">
        <f>$H$344*1000/$F$10</f>
        <v>94.179857105519361</v>
      </c>
      <c r="L528" s="3"/>
      <c r="M528" s="3"/>
      <c r="N528" s="3"/>
      <c r="O528" s="3"/>
      <c r="P528" s="3"/>
      <c r="Q528" s="3"/>
      <c r="R528" s="3"/>
      <c r="S528" s="3"/>
      <c r="T528" s="3"/>
      <c r="U528" s="3"/>
      <c r="V528" s="3"/>
      <c r="W528" s="3"/>
      <c r="X528" s="3"/>
      <c r="Y528" s="3"/>
      <c r="Z528" s="3"/>
    </row>
    <row r="529" spans="1:26" customFormat="1" ht="12.75" x14ac:dyDescent="0.2">
      <c r="A529" s="246"/>
      <c r="B529" s="3"/>
      <c r="C529" s="382">
        <v>-0.1</v>
      </c>
      <c r="D529" s="621">
        <f t="dataTable" ref="D529:F536" dt2D="0" dtr="0" r1="F92" ca="1"/>
        <v>500.86954804436698</v>
      </c>
      <c r="E529" s="622">
        <v>13570884.350992361</v>
      </c>
      <c r="F529" s="622">
        <v>60.907434954002319</v>
      </c>
      <c r="G529" s="3"/>
      <c r="H529" s="382">
        <v>-0.1</v>
      </c>
      <c r="I529" s="621">
        <f t="dataTable" ref="I529:K536" dt2D="0" dtr="0" r1="F76" ca="1"/>
        <v>739.38078537106571</v>
      </c>
      <c r="J529" s="622">
        <v>28605657.396004263</v>
      </c>
      <c r="K529" s="622">
        <v>100.07245009777526</v>
      </c>
      <c r="L529" s="3"/>
      <c r="M529" s="3"/>
      <c r="N529" s="3"/>
      <c r="O529" s="3"/>
      <c r="P529" s="3"/>
      <c r="Q529" s="3"/>
      <c r="R529" s="3"/>
      <c r="S529" s="3"/>
      <c r="T529" s="3"/>
      <c r="U529" s="3"/>
      <c r="V529" s="3"/>
      <c r="W529" s="3"/>
      <c r="X529" s="3"/>
      <c r="Y529" s="3"/>
      <c r="Z529" s="3"/>
    </row>
    <row r="530" spans="1:26" customFormat="1" ht="12.75" x14ac:dyDescent="0.2">
      <c r="A530" s="246"/>
      <c r="B530" s="3"/>
      <c r="C530" s="383">
        <v>-0.05</v>
      </c>
      <c r="D530" s="613">
        <v>597.72632899473922</v>
      </c>
      <c r="E530" s="614">
        <v>19708310.345986113</v>
      </c>
      <c r="F530" s="614">
        <v>77.543646029760851</v>
      </c>
      <c r="G530" s="3"/>
      <c r="H530" s="383">
        <v>-0.05</v>
      </c>
      <c r="I530" s="613">
        <v>719.46074067329903</v>
      </c>
      <c r="J530" s="614">
        <v>27382371.359347533</v>
      </c>
      <c r="K530" s="614">
        <v>97.20368771996641</v>
      </c>
      <c r="L530" s="3"/>
      <c r="M530" s="3"/>
      <c r="N530" s="3"/>
      <c r="O530" s="3"/>
      <c r="P530" s="3"/>
      <c r="Q530" s="3"/>
      <c r="R530" s="3"/>
      <c r="S530" s="3"/>
      <c r="T530" s="3"/>
      <c r="U530" s="3"/>
      <c r="V530" s="3"/>
      <c r="W530" s="3"/>
      <c r="X530" s="3"/>
      <c r="Y530" s="3"/>
      <c r="Z530" s="3"/>
    </row>
    <row r="531" spans="1:26" customFormat="1" ht="12.75" x14ac:dyDescent="0.2">
      <c r="A531" s="246"/>
      <c r="B531" s="3"/>
      <c r="C531" s="703">
        <v>-2.5000000000000001E-2</v>
      </c>
      <c r="D531" s="615">
        <v>646.15471946992511</v>
      </c>
      <c r="E531" s="616">
        <v>22777023.343482975</v>
      </c>
      <c r="F531" s="616">
        <v>85.861751567639885</v>
      </c>
      <c r="G531" s="3"/>
      <c r="H531" s="703">
        <v>-2.5000000000000001E-2</v>
      </c>
      <c r="I531" s="615">
        <v>707.71806625342595</v>
      </c>
      <c r="J531" s="616">
        <v>26658169.518822998</v>
      </c>
      <c r="K531" s="616">
        <v>95.711155942322705</v>
      </c>
      <c r="L531" s="3"/>
      <c r="M531" s="3"/>
      <c r="N531" s="3"/>
      <c r="O531" s="3"/>
      <c r="P531" s="3"/>
      <c r="Q531" s="3"/>
      <c r="R531" s="3"/>
      <c r="S531" s="3"/>
      <c r="T531" s="3"/>
      <c r="U531" s="3"/>
      <c r="V531" s="3"/>
      <c r="W531" s="3"/>
      <c r="X531" s="3"/>
      <c r="Y531" s="3"/>
      <c r="Z531" s="3"/>
    </row>
    <row r="532" spans="1:26" customFormat="1" ht="12.75" x14ac:dyDescent="0.2">
      <c r="A532" s="246"/>
      <c r="B532" s="3"/>
      <c r="C532" s="602">
        <v>0</v>
      </c>
      <c r="D532" s="617">
        <v>694.58310994511169</v>
      </c>
      <c r="E532" s="618">
        <v>25845736.340979856</v>
      </c>
      <c r="F532" s="618">
        <v>94.179857105519361</v>
      </c>
      <c r="G532" s="3"/>
      <c r="H532" s="602">
        <v>0</v>
      </c>
      <c r="I532" s="617">
        <v>694.58310994511169</v>
      </c>
      <c r="J532" s="618">
        <v>25845736.340979856</v>
      </c>
      <c r="K532" s="618">
        <v>94.179857105519361</v>
      </c>
      <c r="L532" s="3"/>
      <c r="M532" s="3"/>
      <c r="N532" s="3"/>
      <c r="O532" s="3"/>
      <c r="P532" s="3"/>
      <c r="Q532" s="3"/>
      <c r="R532" s="3"/>
      <c r="S532" s="3"/>
      <c r="T532" s="3"/>
      <c r="U532" s="3"/>
      <c r="V532" s="3"/>
      <c r="W532" s="3"/>
      <c r="X532" s="3"/>
      <c r="Y532" s="3"/>
      <c r="Z532" s="3"/>
    </row>
    <row r="533" spans="1:26" customFormat="1" ht="12.75" x14ac:dyDescent="0.2">
      <c r="A533" s="246"/>
      <c r="B533" s="3"/>
      <c r="C533" s="383">
        <v>0.01</v>
      </c>
      <c r="D533" s="613">
        <v>713.95446613518618</v>
      </c>
      <c r="E533" s="614">
        <v>27073221.539978623</v>
      </c>
      <c r="F533" s="614">
        <v>97.507099320671117</v>
      </c>
      <c r="G533" s="3"/>
      <c r="H533" s="383">
        <v>0.01</v>
      </c>
      <c r="I533" s="613">
        <v>688.9005233603034</v>
      </c>
      <c r="J533" s="614">
        <v>25493543.930449765</v>
      </c>
      <c r="K533" s="614">
        <v>93.556482794233332</v>
      </c>
      <c r="L533" s="3"/>
      <c r="M533" s="3"/>
      <c r="N533" s="3"/>
      <c r="O533" s="3"/>
      <c r="P533" s="3"/>
      <c r="Q533" s="3"/>
      <c r="R533" s="3"/>
      <c r="S533" s="3"/>
      <c r="T533" s="3"/>
      <c r="U533" s="3"/>
      <c r="V533" s="3"/>
      <c r="W533" s="3"/>
      <c r="X533" s="3"/>
      <c r="Y533" s="3"/>
      <c r="Z533" s="3"/>
    </row>
    <row r="534" spans="1:26" customFormat="1" ht="12.75" x14ac:dyDescent="0.2">
      <c r="A534" s="246"/>
      <c r="B534" s="3"/>
      <c r="C534" s="383">
        <v>2.5000000000000001E-2</v>
      </c>
      <c r="D534" s="613">
        <v>743.01150042029724</v>
      </c>
      <c r="E534" s="614">
        <v>28914449.338476721</v>
      </c>
      <c r="F534" s="614">
        <v>102.49796264339855</v>
      </c>
      <c r="G534" s="3"/>
      <c r="H534" s="383">
        <v>2.5000000000000001E-2</v>
      </c>
      <c r="I534" s="613">
        <v>679.87977338854284</v>
      </c>
      <c r="J534" s="614">
        <v>24933646.189633593</v>
      </c>
      <c r="K534" s="614">
        <v>92.609791209556349</v>
      </c>
      <c r="L534" s="3"/>
      <c r="M534" s="3"/>
      <c r="N534" s="3"/>
      <c r="O534" s="3"/>
      <c r="P534" s="3"/>
      <c r="Q534" s="3"/>
      <c r="R534" s="3"/>
      <c r="S534" s="3"/>
      <c r="T534" s="3"/>
      <c r="U534" s="3"/>
      <c r="V534" s="3"/>
      <c r="W534" s="3"/>
      <c r="X534" s="3"/>
      <c r="Y534" s="3"/>
      <c r="Z534" s="3"/>
    </row>
    <row r="535" spans="1:26" customFormat="1" ht="12.75" x14ac:dyDescent="0.2">
      <c r="A535" s="246"/>
      <c r="B535" s="3"/>
      <c r="C535" s="383">
        <v>0.05</v>
      </c>
      <c r="D535" s="613">
        <v>791.43989089548336</v>
      </c>
      <c r="E535" s="614">
        <v>31983162.335973609</v>
      </c>
      <c r="F535" s="614">
        <v>110.81606818127761</v>
      </c>
      <c r="G535" s="3"/>
      <c r="H535" s="383">
        <v>0.05</v>
      </c>
      <c r="I535" s="613">
        <v>663.41102379744291</v>
      </c>
      <c r="J535" s="614">
        <v>23909089.972088434</v>
      </c>
      <c r="K535" s="614">
        <v>91.000958254433925</v>
      </c>
      <c r="L535" s="3"/>
      <c r="M535" s="3"/>
      <c r="N535" s="3"/>
      <c r="O535" s="3"/>
      <c r="P535" s="3"/>
      <c r="Q535" s="3"/>
      <c r="R535" s="3"/>
      <c r="S535" s="3"/>
      <c r="T535" s="3"/>
      <c r="U535" s="3"/>
      <c r="V535" s="3"/>
      <c r="W535" s="3"/>
      <c r="X535" s="3"/>
      <c r="Y535" s="3"/>
      <c r="Z535" s="3"/>
    </row>
    <row r="536" spans="1:26" customFormat="1" ht="12.75" x14ac:dyDescent="0.2">
      <c r="A536" s="246"/>
      <c r="B536" s="3"/>
      <c r="C536" s="388">
        <v>0.1</v>
      </c>
      <c r="D536" s="619">
        <v>888.29667184585571</v>
      </c>
      <c r="E536" s="620">
        <v>38120588.330967352</v>
      </c>
      <c r="F536" s="620">
        <v>127.45227925703634</v>
      </c>
      <c r="G536" s="3"/>
      <c r="H536" s="388">
        <v>0.1</v>
      </c>
      <c r="I536" s="619">
        <v>624.27128235367513</v>
      </c>
      <c r="J536" s="620">
        <v>21463541.268599033</v>
      </c>
      <c r="K536" s="620">
        <v>87.666991166710105</v>
      </c>
      <c r="L536" s="3"/>
      <c r="M536" s="3"/>
      <c r="N536" s="3"/>
      <c r="O536" s="3"/>
      <c r="P536" s="3"/>
      <c r="Q536" s="3"/>
      <c r="R536" s="3"/>
      <c r="S536" s="3"/>
      <c r="T536" s="3"/>
      <c r="U536" s="3"/>
      <c r="V536" s="3"/>
      <c r="W536" s="3"/>
      <c r="X536" s="3"/>
      <c r="Y536" s="3"/>
      <c r="Z536" s="3"/>
    </row>
    <row r="537" spans="1:26" customFormat="1" ht="12.75" x14ac:dyDescent="0.2">
      <c r="A537" s="246"/>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customFormat="1" ht="63.75" x14ac:dyDescent="0.2">
      <c r="A538" s="246"/>
      <c r="B538" s="3"/>
      <c r="C538" s="359" t="s">
        <v>998</v>
      </c>
      <c r="D538" s="360" t="s">
        <v>812</v>
      </c>
      <c r="E538" s="361" t="s">
        <v>813</v>
      </c>
      <c r="F538" s="361" t="s">
        <v>814</v>
      </c>
      <c r="G538" s="3"/>
      <c r="H538" s="359" t="s">
        <v>999</v>
      </c>
      <c r="I538" s="360" t="s">
        <v>812</v>
      </c>
      <c r="J538" s="361" t="s">
        <v>813</v>
      </c>
      <c r="K538" s="361" t="s">
        <v>814</v>
      </c>
      <c r="L538" s="3"/>
      <c r="M538" s="3"/>
      <c r="N538" s="3"/>
      <c r="O538" s="3"/>
      <c r="P538" s="3"/>
      <c r="Q538" s="3"/>
      <c r="R538" s="3"/>
      <c r="S538" s="3"/>
      <c r="T538" s="3"/>
      <c r="U538" s="3"/>
      <c r="V538" s="3"/>
      <c r="W538" s="3"/>
      <c r="X538" s="3"/>
      <c r="Y538" s="3"/>
      <c r="Z538" s="3"/>
    </row>
    <row r="539" spans="1:26" customFormat="1" ht="12.75" x14ac:dyDescent="0.2">
      <c r="A539" s="246"/>
      <c r="B539" s="3"/>
      <c r="C539" s="362"/>
      <c r="D539" s="363">
        <f>$F$347</f>
        <v>694.58310994511169</v>
      </c>
      <c r="E539" s="364">
        <f>$F$482</f>
        <v>25845736.340979856</v>
      </c>
      <c r="F539" s="364">
        <f>$H$344*1000/$F$10</f>
        <v>94.179857105519361</v>
      </c>
      <c r="G539" s="3"/>
      <c r="H539" s="362"/>
      <c r="I539" s="363">
        <f>$F$347</f>
        <v>694.58310994511169</v>
      </c>
      <c r="J539" s="364">
        <f>$F$482</f>
        <v>25845736.340979856</v>
      </c>
      <c r="K539" s="364">
        <f>$H$344*1000/$F$10</f>
        <v>94.179857105519361</v>
      </c>
      <c r="L539" s="3"/>
      <c r="M539" s="3"/>
      <c r="N539" s="3"/>
      <c r="O539" s="3"/>
      <c r="P539" s="3"/>
      <c r="Q539" s="3"/>
      <c r="R539" s="3"/>
      <c r="S539" s="3"/>
      <c r="T539" s="3"/>
      <c r="U539" s="3"/>
      <c r="V539" s="3"/>
      <c r="W539" s="3"/>
      <c r="X539" s="3"/>
      <c r="Y539" s="3"/>
      <c r="Z539" s="3"/>
    </row>
    <row r="540" spans="1:26" customFormat="1" ht="12.75" x14ac:dyDescent="0.2">
      <c r="A540" s="246"/>
      <c r="B540" s="3"/>
      <c r="C540" s="382">
        <v>-0.02</v>
      </c>
      <c r="D540" s="621">
        <f t="dataTable" ref="D540:F546" dt2D="0" dtr="0" r1="F35" ca="1"/>
        <v>967.86651499914149</v>
      </c>
      <c r="E540" s="622">
        <v>43526991.095970839</v>
      </c>
      <c r="F540" s="622">
        <v>125.35457108292194</v>
      </c>
      <c r="G540" s="3"/>
      <c r="H540" s="382">
        <v>-0.02</v>
      </c>
      <c r="I540" s="621">
        <f t="dataTable" ref="I540:K546" dt2D="0" dtr="0" r1="I36" ca="1"/>
        <v>70.25337987351395</v>
      </c>
      <c r="J540" s="622">
        <v>-14577781.855322527</v>
      </c>
      <c r="K540" s="622">
        <v>25.180201295383945</v>
      </c>
      <c r="L540" s="3"/>
      <c r="M540" s="3"/>
      <c r="N540" s="3"/>
      <c r="O540" s="3"/>
      <c r="P540" s="3"/>
      <c r="Q540" s="3"/>
      <c r="R540" s="3"/>
      <c r="S540" s="3"/>
      <c r="T540" s="3"/>
      <c r="U540" s="3"/>
      <c r="V540" s="3"/>
      <c r="W540" s="3"/>
      <c r="X540" s="3"/>
      <c r="Y540" s="3"/>
      <c r="Z540" s="3"/>
    </row>
    <row r="541" spans="1:26" customFormat="1" ht="12.75" x14ac:dyDescent="0.2">
      <c r="A541" s="246"/>
      <c r="B541" s="3"/>
      <c r="C541" s="383">
        <v>-0.01</v>
      </c>
      <c r="D541" s="613">
        <v>886.48829338120049</v>
      </c>
      <c r="E541" s="614">
        <v>38270331.410540707</v>
      </c>
      <c r="F541" s="614">
        <v>115.52389484593451</v>
      </c>
      <c r="G541" s="3"/>
      <c r="H541" s="383">
        <v>-0.01</v>
      </c>
      <c r="I541" s="613">
        <v>198.28047079599742</v>
      </c>
      <c r="J541" s="614">
        <v>-6305956.7198258797</v>
      </c>
      <c r="K541" s="614">
        <v>40.026821769974063</v>
      </c>
      <c r="L541" s="3"/>
      <c r="M541" s="3"/>
      <c r="N541" s="3"/>
      <c r="O541" s="3"/>
      <c r="P541" s="3"/>
      <c r="Q541" s="3"/>
      <c r="R541" s="3"/>
      <c r="S541" s="3"/>
      <c r="T541" s="3"/>
      <c r="U541" s="3"/>
      <c r="V541" s="3"/>
      <c r="W541" s="3"/>
      <c r="X541" s="3"/>
      <c r="Y541" s="3"/>
      <c r="Z541" s="3"/>
    </row>
    <row r="542" spans="1:26" customFormat="1" ht="12.75" x14ac:dyDescent="0.2">
      <c r="A542" s="246"/>
      <c r="B542" s="3"/>
      <c r="C542" s="384">
        <v>0</v>
      </c>
      <c r="D542" s="615">
        <v>803.02830047866416</v>
      </c>
      <c r="E542" s="616">
        <v>32864529.572266817</v>
      </c>
      <c r="F542" s="616">
        <v>106.22817421545969</v>
      </c>
      <c r="G542" s="3"/>
      <c r="H542" s="384">
        <v>0.01</v>
      </c>
      <c r="I542" s="615">
        <v>472.09474974702511</v>
      </c>
      <c r="J542" s="616">
        <v>11415994.707724234</v>
      </c>
      <c r="K542" s="616">
        <v>70.826336253984692</v>
      </c>
      <c r="L542" s="3"/>
      <c r="M542" s="3"/>
      <c r="N542" s="3"/>
      <c r="O542" s="3"/>
      <c r="P542" s="3"/>
      <c r="Q542" s="3"/>
      <c r="R542" s="3"/>
      <c r="S542" s="3"/>
      <c r="T542" s="3"/>
      <c r="U542" s="3"/>
      <c r="V542" s="3"/>
      <c r="W542" s="3"/>
      <c r="X542" s="3"/>
      <c r="Y542" s="3"/>
      <c r="Z542" s="3"/>
    </row>
    <row r="543" spans="1:26" customFormat="1" ht="12.75" x14ac:dyDescent="0.2">
      <c r="A543" s="246"/>
      <c r="B543" s="3"/>
      <c r="C543" s="717">
        <v>0.01</v>
      </c>
      <c r="D543" s="613">
        <v>712.84686137878668</v>
      </c>
      <c r="E543" s="614">
        <v>27029623.446050987</v>
      </c>
      <c r="F543" s="614">
        <v>96.197890339142504</v>
      </c>
      <c r="G543" s="3"/>
      <c r="H543" s="387">
        <v>2.5000000000000001E-2</v>
      </c>
      <c r="I543" s="617">
        <v>694.58310994511169</v>
      </c>
      <c r="J543" s="618">
        <v>25845736.340979856</v>
      </c>
      <c r="K543" s="618">
        <v>94.179857105519361</v>
      </c>
      <c r="L543" s="3"/>
      <c r="M543" s="3"/>
      <c r="N543" s="3"/>
      <c r="O543" s="3"/>
      <c r="P543" s="3"/>
      <c r="Q543" s="3"/>
      <c r="R543" s="3"/>
      <c r="S543" s="3"/>
      <c r="T543" s="3"/>
      <c r="U543" s="3"/>
      <c r="V543" s="3"/>
      <c r="W543" s="3"/>
      <c r="X543" s="3"/>
      <c r="Y543" s="3"/>
      <c r="Z543" s="3"/>
    </row>
    <row r="544" spans="1:26" customFormat="1" ht="12.75" x14ac:dyDescent="0.2">
      <c r="A544" s="246"/>
      <c r="B544" s="3"/>
      <c r="C544" s="387">
        <v>1.2E-2</v>
      </c>
      <c r="D544" s="617">
        <v>694.58310994511169</v>
      </c>
      <c r="E544" s="618">
        <v>25845736.340979856</v>
      </c>
      <c r="F544" s="618">
        <v>94.179857105519361</v>
      </c>
      <c r="G544" s="3"/>
      <c r="H544" s="383">
        <v>0.04</v>
      </c>
      <c r="I544" s="613">
        <v>852.29177572622348</v>
      </c>
      <c r="J544" s="614">
        <v>35742145.680082999</v>
      </c>
      <c r="K544" s="614">
        <v>117.88701353854383</v>
      </c>
      <c r="L544" s="3"/>
      <c r="M544" s="3"/>
      <c r="N544" s="3"/>
      <c r="O544" s="3"/>
      <c r="P544" s="3"/>
      <c r="Q544" s="3"/>
      <c r="R544" s="3"/>
      <c r="S544" s="3"/>
      <c r="T544" s="3"/>
      <c r="U544" s="3"/>
      <c r="V544" s="3"/>
      <c r="W544" s="3"/>
      <c r="X544" s="3"/>
      <c r="Y544" s="3"/>
      <c r="Z544" s="3"/>
    </row>
    <row r="545" spans="1:26" customFormat="1" ht="12.75" x14ac:dyDescent="0.2">
      <c r="A545" s="246"/>
      <c r="B545" s="3"/>
      <c r="C545" s="383">
        <v>0.02</v>
      </c>
      <c r="D545" s="613">
        <v>619.5722343134895</v>
      </c>
      <c r="E545" s="614">
        <v>20983406.3802392</v>
      </c>
      <c r="F545" s="614">
        <v>86.067802643160491</v>
      </c>
      <c r="G545" s="3"/>
      <c r="H545" s="383">
        <v>0.06</v>
      </c>
      <c r="I545" s="613">
        <v>964.87724350340693</v>
      </c>
      <c r="J545" s="614">
        <v>42707277.354302056</v>
      </c>
      <c r="K545" s="614">
        <v>149.62348229188635</v>
      </c>
      <c r="L545" s="3"/>
      <c r="M545" s="3"/>
      <c r="N545" s="3"/>
      <c r="O545" s="3"/>
      <c r="P545" s="3"/>
      <c r="Q545" s="3"/>
      <c r="R545" s="3"/>
      <c r="S545" s="3"/>
      <c r="T545" s="3"/>
      <c r="U545" s="3"/>
      <c r="V545" s="3"/>
      <c r="W545" s="3"/>
      <c r="X545" s="3"/>
      <c r="Y545" s="3"/>
      <c r="Z545" s="3"/>
    </row>
    <row r="546" spans="1:26" customFormat="1" ht="12.75" x14ac:dyDescent="0.2">
      <c r="A546" s="246"/>
      <c r="B546" s="3"/>
      <c r="C546" s="388">
        <v>0.04</v>
      </c>
      <c r="D546" s="619">
        <v>419.76391181826222</v>
      </c>
      <c r="E546" s="620">
        <v>8008715.8349206503</v>
      </c>
      <c r="F546" s="620">
        <v>66.142975218379533</v>
      </c>
      <c r="G546" s="3"/>
      <c r="H546" s="388">
        <v>0.08</v>
      </c>
      <c r="I546" s="619">
        <v>1030.8168425774882</v>
      </c>
      <c r="J546" s="620">
        <v>46800639.008400105</v>
      </c>
      <c r="K546" s="620">
        <v>182.62339594961009</v>
      </c>
      <c r="L546" s="3"/>
      <c r="M546" s="3"/>
      <c r="N546" s="117"/>
      <c r="O546" s="3"/>
      <c r="P546" s="3"/>
      <c r="Q546" s="3"/>
      <c r="R546" s="3"/>
      <c r="S546" s="3"/>
      <c r="T546" s="3"/>
      <c r="U546" s="3"/>
      <c r="V546" s="3"/>
      <c r="W546" s="3"/>
      <c r="X546" s="3"/>
      <c r="Y546" s="3"/>
      <c r="Z546" s="3"/>
    </row>
    <row r="547" spans="1:26" customFormat="1" ht="12.75" x14ac:dyDescent="0.2">
      <c r="A547" s="246"/>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customFormat="1" ht="51" x14ac:dyDescent="0.2">
      <c r="A548" s="246"/>
      <c r="B548" s="3"/>
      <c r="C548" s="359" t="s">
        <v>935</v>
      </c>
      <c r="D548" s="360" t="s">
        <v>812</v>
      </c>
      <c r="E548" s="361" t="s">
        <v>813</v>
      </c>
      <c r="F548" s="361" t="s">
        <v>814</v>
      </c>
      <c r="G548" s="3"/>
      <c r="H548" s="359" t="s">
        <v>948</v>
      </c>
      <c r="I548" s="360" t="s">
        <v>812</v>
      </c>
      <c r="J548" s="361" t="s">
        <v>813</v>
      </c>
      <c r="K548" s="361" t="s">
        <v>814</v>
      </c>
      <c r="L548" s="3"/>
      <c r="M548" s="3"/>
      <c r="N548" s="3"/>
      <c r="O548" s="3"/>
      <c r="P548" s="3"/>
      <c r="Q548" s="3"/>
      <c r="R548" s="3"/>
      <c r="S548" s="3"/>
      <c r="T548" s="3"/>
      <c r="U548" s="3"/>
      <c r="V548" s="3"/>
      <c r="W548" s="3"/>
      <c r="X548" s="3"/>
      <c r="Y548" s="3"/>
      <c r="Z548" s="3"/>
    </row>
    <row r="549" spans="1:26" customFormat="1" ht="12.75" x14ac:dyDescent="0.2">
      <c r="A549" s="246"/>
      <c r="B549" s="3"/>
      <c r="C549" s="362"/>
      <c r="D549" s="363">
        <f>$F$347</f>
        <v>694.58310994511169</v>
      </c>
      <c r="E549" s="364">
        <f>$F$482</f>
        <v>25845736.340979856</v>
      </c>
      <c r="F549" s="364">
        <f>$H$344*1000/$F$10</f>
        <v>94.179857105519361</v>
      </c>
      <c r="G549" s="3"/>
      <c r="H549" s="362"/>
      <c r="I549" s="363">
        <f>$F$347</f>
        <v>694.58310994511169</v>
      </c>
      <c r="J549" s="364">
        <f>$F$482</f>
        <v>25845736.340979856</v>
      </c>
      <c r="K549" s="364">
        <f>$H$344*1000/$F$10</f>
        <v>94.179857105519361</v>
      </c>
      <c r="L549" s="3"/>
      <c r="M549" s="3"/>
      <c r="N549" s="3"/>
      <c r="O549" s="3"/>
      <c r="P549" s="3"/>
      <c r="Q549" s="3"/>
      <c r="R549" s="3"/>
      <c r="S549" s="3"/>
      <c r="T549" s="3"/>
      <c r="U549" s="3"/>
      <c r="V549" s="3"/>
      <c r="W549" s="3"/>
      <c r="X549" s="3"/>
      <c r="Y549" s="3"/>
      <c r="Z549" s="3"/>
    </row>
    <row r="550" spans="1:26" customFormat="1" ht="12.75" x14ac:dyDescent="0.2">
      <c r="A550" s="246"/>
      <c r="B550" s="3"/>
      <c r="C550" s="604">
        <v>2.2000000000000002</v>
      </c>
      <c r="D550" s="613">
        <f t="dataTable" ref="D550:F555" dt2D="0" dtr="0" r1="I32" ca="1"/>
        <v>159.07660100483125</v>
      </c>
      <c r="E550" s="614">
        <v>-8012466.8062443156</v>
      </c>
      <c r="F550" s="614">
        <v>-0.38437847575763895</v>
      </c>
      <c r="G550" s="3"/>
      <c r="H550" s="706">
        <v>-0.4</v>
      </c>
      <c r="I550" s="613">
        <f t="dataTable" ref="I550:K555" dt2D="0" dtr="0" r1="I115" ca="1"/>
        <v>694.58310994511169</v>
      </c>
      <c r="J550" s="614">
        <v>13230461.243846055</v>
      </c>
      <c r="K550" s="614">
        <v>94.179857105519361</v>
      </c>
      <c r="L550" s="3"/>
      <c r="M550" s="3"/>
      <c r="N550" s="3"/>
      <c r="O550" s="3"/>
      <c r="P550" s="3"/>
      <c r="Q550" s="3"/>
      <c r="R550" s="3"/>
      <c r="S550" s="3"/>
      <c r="T550" s="3"/>
      <c r="U550" s="3"/>
      <c r="V550" s="3"/>
      <c r="W550" s="3"/>
      <c r="X550" s="3"/>
      <c r="Y550" s="3"/>
      <c r="Z550" s="3"/>
    </row>
    <row r="551" spans="1:26" customFormat="1" ht="12.75" x14ac:dyDescent="0.2">
      <c r="A551" s="246"/>
      <c r="B551" s="3"/>
      <c r="C551" s="604">
        <v>2.2999999999999998</v>
      </c>
      <c r="D551" s="613">
        <v>337.37475263731068</v>
      </c>
      <c r="E551" s="614">
        <v>3259954.4179782448</v>
      </c>
      <c r="F551" s="614">
        <v>30.713860433883006</v>
      </c>
      <c r="G551" s="3"/>
      <c r="H551" s="706">
        <v>-0.2</v>
      </c>
      <c r="I551" s="613">
        <v>694.58310994511169</v>
      </c>
      <c r="J551" s="614">
        <v>19538098.792412959</v>
      </c>
      <c r="K551" s="614">
        <v>94.179857105519361</v>
      </c>
      <c r="L551" s="3"/>
      <c r="M551" s="3"/>
      <c r="N551" s="3"/>
      <c r="O551" s="3"/>
      <c r="P551" s="3"/>
      <c r="Q551" s="3"/>
      <c r="R551" s="3"/>
      <c r="S551" s="3"/>
      <c r="T551" s="3"/>
      <c r="U551" s="3"/>
      <c r="V551" s="3"/>
      <c r="W551" s="3"/>
      <c r="X551" s="3"/>
      <c r="Y551" s="3"/>
      <c r="Z551" s="3"/>
    </row>
    <row r="552" spans="1:26" customFormat="1" ht="12.75" x14ac:dyDescent="0.2">
      <c r="A552" s="246"/>
      <c r="B552" s="3"/>
      <c r="C552" s="605">
        <v>2.4</v>
      </c>
      <c r="D552" s="615">
        <v>516.2044210401059</v>
      </c>
      <c r="E552" s="616">
        <v>14567938.961575944</v>
      </c>
      <c r="F552" s="616">
        <v>62.446858769701272</v>
      </c>
      <c r="G552" s="3"/>
      <c r="H552" s="705">
        <v>-0.1</v>
      </c>
      <c r="I552" s="615">
        <v>694.58310994511169</v>
      </c>
      <c r="J552" s="616">
        <v>22691917.566696405</v>
      </c>
      <c r="K552" s="616">
        <v>94.179857105519361</v>
      </c>
      <c r="L552" s="3"/>
      <c r="M552" s="3"/>
      <c r="N552" s="3"/>
      <c r="O552" s="3"/>
      <c r="P552" s="3"/>
      <c r="Q552" s="3"/>
      <c r="R552" s="3"/>
      <c r="S552" s="3"/>
      <c r="T552" s="3"/>
      <c r="U552" s="3"/>
      <c r="V552" s="3"/>
      <c r="W552" s="3"/>
      <c r="X552" s="3"/>
      <c r="Y552" s="3"/>
      <c r="Z552" s="3"/>
    </row>
    <row r="553" spans="1:26" customFormat="1" ht="12.75" x14ac:dyDescent="0.2">
      <c r="A553" s="246"/>
      <c r="B553" s="3"/>
      <c r="C553" s="606">
        <v>2.5</v>
      </c>
      <c r="D553" s="617">
        <v>694.58310994511169</v>
      </c>
      <c r="E553" s="618">
        <v>25845736.340979856</v>
      </c>
      <c r="F553" s="618">
        <v>94.179857105519361</v>
      </c>
      <c r="G553" s="3"/>
      <c r="H553" s="704">
        <v>0</v>
      </c>
      <c r="I553" s="617">
        <v>694.58310994511169</v>
      </c>
      <c r="J553" s="618">
        <v>25845736.340979856</v>
      </c>
      <c r="K553" s="618">
        <v>94.179857105519361</v>
      </c>
      <c r="L553" s="3"/>
      <c r="M553" s="3"/>
      <c r="N553" s="3"/>
      <c r="O553" s="3"/>
      <c r="P553" s="3"/>
      <c r="Q553" s="3"/>
      <c r="R553" s="3"/>
      <c r="S553" s="3"/>
      <c r="T553" s="3"/>
      <c r="U553" s="3"/>
      <c r="V553" s="3"/>
      <c r="W553" s="3"/>
      <c r="X553" s="3"/>
      <c r="Y553" s="3"/>
      <c r="Z553" s="3"/>
    </row>
    <row r="554" spans="1:26" customFormat="1" ht="12.75" x14ac:dyDescent="0.2">
      <c r="A554" s="246"/>
      <c r="B554" s="3"/>
      <c r="C554" s="604">
        <v>2.75</v>
      </c>
      <c r="D554" s="613">
        <v>1140.8203723933407</v>
      </c>
      <c r="E554" s="614">
        <v>54060668.049608126</v>
      </c>
      <c r="F554" s="614">
        <v>172.56021380579875</v>
      </c>
      <c r="G554" s="3"/>
      <c r="H554" s="706">
        <v>0.1</v>
      </c>
      <c r="I554" s="613">
        <v>694.58310994511169</v>
      </c>
      <c r="J554" s="614">
        <v>28999555.115263309</v>
      </c>
      <c r="K554" s="614">
        <v>94.179857105519361</v>
      </c>
      <c r="L554" s="3"/>
      <c r="M554" s="3"/>
      <c r="N554" s="3"/>
      <c r="O554" s="3"/>
      <c r="P554" s="3"/>
      <c r="Q554" s="3"/>
      <c r="R554" s="3"/>
      <c r="S554" s="3"/>
      <c r="T554" s="3"/>
      <c r="U554" s="3"/>
      <c r="V554" s="3"/>
      <c r="W554" s="3"/>
      <c r="X554" s="3"/>
      <c r="Y554" s="3"/>
      <c r="Z554" s="3"/>
    </row>
    <row r="555" spans="1:26" customFormat="1" ht="12.75" x14ac:dyDescent="0.2">
      <c r="A555" s="246"/>
      <c r="B555" s="3"/>
      <c r="C555" s="607">
        <v>3</v>
      </c>
      <c r="D555" s="619">
        <v>1586.3572762010385</v>
      </c>
      <c r="E555" s="620">
        <v>82232516.579173461</v>
      </c>
      <c r="F555" s="620">
        <v>250.94057050607833</v>
      </c>
      <c r="G555" s="3"/>
      <c r="H555" s="707">
        <v>0.2</v>
      </c>
      <c r="I555" s="619">
        <v>694.58310994511169</v>
      </c>
      <c r="J555" s="620">
        <v>32153373.889546767</v>
      </c>
      <c r="K555" s="620">
        <v>94.179857105519361</v>
      </c>
      <c r="L555" s="3"/>
      <c r="M555" s="3"/>
      <c r="N555" s="3"/>
      <c r="O555" s="3"/>
      <c r="P555" s="3"/>
      <c r="Q555" s="3"/>
      <c r="R555" s="3"/>
      <c r="S555" s="3"/>
      <c r="T555" s="3"/>
      <c r="U555" s="3"/>
      <c r="V555" s="3"/>
      <c r="W555" s="3"/>
      <c r="X555" s="3"/>
      <c r="Y555" s="3"/>
      <c r="Z555" s="3"/>
    </row>
    <row r="556" spans="1:26" customFormat="1" ht="12.75" x14ac:dyDescent="0.2">
      <c r="A556" s="246"/>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customFormat="1" ht="51" x14ac:dyDescent="0.2">
      <c r="A557" s="246"/>
      <c r="B557" s="3"/>
      <c r="C557" s="359" t="s">
        <v>171</v>
      </c>
      <c r="D557" s="662" t="s">
        <v>812</v>
      </c>
      <c r="E557" s="361" t="s">
        <v>813</v>
      </c>
      <c r="F557" s="657" t="s">
        <v>814</v>
      </c>
      <c r="G557" s="3"/>
      <c r="H557" s="359" t="s">
        <v>939</v>
      </c>
      <c r="I557" s="662" t="s">
        <v>812</v>
      </c>
      <c r="J557" s="361" t="s">
        <v>813</v>
      </c>
      <c r="K557" s="657" t="s">
        <v>814</v>
      </c>
      <c r="L557" s="3"/>
      <c r="M557" s="3"/>
      <c r="N557" s="3"/>
      <c r="O557" s="3"/>
      <c r="P557" s="3"/>
      <c r="Q557" s="3"/>
      <c r="R557" s="3"/>
      <c r="S557" s="3"/>
      <c r="T557" s="3"/>
      <c r="U557" s="3"/>
      <c r="V557" s="3"/>
      <c r="W557" s="3"/>
      <c r="X557" s="3"/>
      <c r="Y557" s="3"/>
      <c r="Z557" s="3"/>
    </row>
    <row r="558" spans="1:26" customFormat="1" ht="12.75" x14ac:dyDescent="0.2">
      <c r="A558" s="246"/>
      <c r="B558" s="3"/>
      <c r="C558" s="362"/>
      <c r="D558" s="363">
        <f>$F$347</f>
        <v>694.58310994511169</v>
      </c>
      <c r="E558" s="364">
        <f>$F$482</f>
        <v>25845736.340979856</v>
      </c>
      <c r="F558" s="364">
        <f>$H$344*1000/$F$10</f>
        <v>94.179857105519361</v>
      </c>
      <c r="G558" s="3"/>
      <c r="H558" s="362"/>
      <c r="I558" s="363">
        <f>$F$347</f>
        <v>694.58310994511169</v>
      </c>
      <c r="J558" s="364">
        <f>$F$482</f>
        <v>25845736.340979856</v>
      </c>
      <c r="K558" s="364">
        <f>$H$344*1000/$F$10</f>
        <v>94.179857105519361</v>
      </c>
      <c r="L558" s="3"/>
      <c r="M558" s="3"/>
      <c r="N558" s="3"/>
      <c r="O558" s="3"/>
      <c r="P558" s="3"/>
      <c r="Q558" s="3"/>
      <c r="R558" s="3"/>
      <c r="S558" s="3"/>
      <c r="T558" s="3"/>
      <c r="U558" s="3"/>
      <c r="V558" s="3"/>
      <c r="W558" s="3"/>
      <c r="X558" s="3"/>
      <c r="Y558" s="3"/>
      <c r="Z558" s="3"/>
    </row>
    <row r="559" spans="1:26" customFormat="1" ht="12.75" x14ac:dyDescent="0.2">
      <c r="A559" s="246"/>
      <c r="B559" s="3"/>
      <c r="C559" s="383">
        <v>0.5</v>
      </c>
      <c r="D559" s="663">
        <f t="dataTable" ref="D559:F564" dt2D="0" dtr="0" r1="I108" ca="1"/>
        <v>694.58310994511169</v>
      </c>
      <c r="E559" s="614">
        <v>11828764.010831187</v>
      </c>
      <c r="F559" s="658">
        <v>94.179857105519361</v>
      </c>
      <c r="G559" s="3"/>
      <c r="H559" s="383">
        <v>-0.3</v>
      </c>
      <c r="I559" s="663">
        <f t="dataTable" ref="I559:K565" dt2D="0" dtr="0" r1="I112" ca="1"/>
        <v>694.58310994511169</v>
      </c>
      <c r="J559" s="614">
        <v>27553471.761536244</v>
      </c>
      <c r="K559" s="658">
        <v>94.179857105519361</v>
      </c>
      <c r="L559" s="3"/>
      <c r="M559" s="3"/>
      <c r="N559" s="3"/>
      <c r="O559" s="3"/>
      <c r="P559" s="3"/>
      <c r="Q559" s="3"/>
      <c r="R559" s="3"/>
      <c r="S559" s="3"/>
      <c r="T559" s="3"/>
      <c r="U559" s="3"/>
      <c r="V559" s="3"/>
      <c r="W559" s="3"/>
      <c r="X559" s="3"/>
      <c r="Y559" s="3"/>
      <c r="Z559" s="3"/>
    </row>
    <row r="560" spans="1:26" customFormat="1" ht="12.75" x14ac:dyDescent="0.2">
      <c r="A560" s="246"/>
      <c r="B560" s="3"/>
      <c r="C560" s="383">
        <v>0.6</v>
      </c>
      <c r="D560" s="663">
        <v>694.58310994511169</v>
      </c>
      <c r="E560" s="614">
        <v>15333007.093368357</v>
      </c>
      <c r="F560" s="658">
        <v>94.179857105519361</v>
      </c>
      <c r="G560" s="3"/>
      <c r="H560" s="383">
        <v>-0.2</v>
      </c>
      <c r="I560" s="663">
        <v>694.58310994511169</v>
      </c>
      <c r="J560" s="614">
        <v>26984226.621350788</v>
      </c>
      <c r="K560" s="658">
        <v>94.179857105519361</v>
      </c>
      <c r="L560" s="3"/>
      <c r="M560" s="3"/>
      <c r="N560" s="3"/>
      <c r="O560" s="3"/>
      <c r="P560" s="3"/>
      <c r="Q560" s="3"/>
      <c r="R560" s="3"/>
      <c r="S560" s="3"/>
      <c r="T560" s="3"/>
      <c r="U560" s="3"/>
      <c r="V560" s="3"/>
      <c r="W560" s="3"/>
      <c r="X560" s="3"/>
      <c r="Y560" s="3"/>
      <c r="Z560" s="3"/>
    </row>
    <row r="561" spans="1:26" customFormat="1" ht="12.75" x14ac:dyDescent="0.2">
      <c r="A561" s="246"/>
      <c r="B561" s="3"/>
      <c r="C561" s="383">
        <v>0.7</v>
      </c>
      <c r="D561" s="664">
        <v>694.58310994511169</v>
      </c>
      <c r="E561" s="616">
        <v>18837250.175905515</v>
      </c>
      <c r="F561" s="659">
        <v>94.179857105519361</v>
      </c>
      <c r="G561" s="3"/>
      <c r="H561" s="384">
        <v>-0.1</v>
      </c>
      <c r="I561" s="664">
        <v>694.58310994511169</v>
      </c>
      <c r="J561" s="616">
        <v>26414981.481165323</v>
      </c>
      <c r="K561" s="659">
        <v>94.179857105519361</v>
      </c>
      <c r="L561" s="3"/>
      <c r="M561" s="3"/>
      <c r="N561" s="3"/>
      <c r="O561" s="3"/>
      <c r="P561" s="3"/>
      <c r="Q561" s="3"/>
      <c r="R561" s="3"/>
      <c r="S561" s="3"/>
      <c r="T561" s="3"/>
      <c r="U561" s="3"/>
      <c r="V561" s="3"/>
      <c r="W561" s="3"/>
      <c r="X561" s="3"/>
      <c r="Y561" s="3"/>
      <c r="Z561" s="3"/>
    </row>
    <row r="562" spans="1:26" customFormat="1" ht="12.75" x14ac:dyDescent="0.2">
      <c r="A562" s="246"/>
      <c r="B562" s="3"/>
      <c r="C562" s="384">
        <v>0.8</v>
      </c>
      <c r="D562" s="663">
        <v>694.58310994511169</v>
      </c>
      <c r="E562" s="614">
        <v>22341493.258442685</v>
      </c>
      <c r="F562" s="658">
        <v>94.179857105519361</v>
      </c>
      <c r="G562" s="3"/>
      <c r="H562" s="608">
        <v>0</v>
      </c>
      <c r="I562" s="665">
        <v>694.58310994511169</v>
      </c>
      <c r="J562" s="618">
        <v>25845736.340979856</v>
      </c>
      <c r="K562" s="660">
        <v>94.179857105519361</v>
      </c>
      <c r="L562" s="3"/>
      <c r="M562" s="3"/>
      <c r="N562" s="3"/>
      <c r="O562" s="3"/>
      <c r="P562" s="3"/>
      <c r="Q562" s="3"/>
      <c r="R562" s="3"/>
      <c r="S562" s="3"/>
      <c r="T562" s="3"/>
      <c r="U562" s="3"/>
      <c r="V562" s="3"/>
      <c r="W562" s="3"/>
      <c r="X562" s="3"/>
      <c r="Y562" s="3"/>
      <c r="Z562" s="3"/>
    </row>
    <row r="563" spans="1:26" customFormat="1" ht="12.75" x14ac:dyDescent="0.2">
      <c r="A563" s="246"/>
      <c r="B563" s="3"/>
      <c r="C563" s="608">
        <v>0.9</v>
      </c>
      <c r="D563" s="665">
        <v>694.58310994511169</v>
      </c>
      <c r="E563" s="618">
        <v>25845736.340979856</v>
      </c>
      <c r="F563" s="660">
        <v>94.179857105519361</v>
      </c>
      <c r="G563" s="3"/>
      <c r="H563" s="383">
        <v>0.1</v>
      </c>
      <c r="I563" s="663">
        <v>694.58310994511169</v>
      </c>
      <c r="J563" s="614">
        <v>25276491.200794388</v>
      </c>
      <c r="K563" s="658">
        <v>94.179857105519361</v>
      </c>
      <c r="L563" s="3"/>
      <c r="M563" s="3"/>
      <c r="N563" s="3"/>
      <c r="O563" s="3"/>
      <c r="P563" s="3"/>
      <c r="Q563" s="3"/>
      <c r="R563" s="3"/>
      <c r="S563" s="3"/>
      <c r="T563" s="3"/>
      <c r="U563" s="3"/>
      <c r="V563" s="3"/>
      <c r="W563" s="3"/>
      <c r="X563" s="3"/>
      <c r="Y563" s="3"/>
      <c r="Z563" s="3"/>
    </row>
    <row r="564" spans="1:26" customFormat="1" ht="12.75" x14ac:dyDescent="0.2">
      <c r="A564" s="246"/>
      <c r="B564" s="3"/>
      <c r="C564" s="609">
        <v>0.95</v>
      </c>
      <c r="D564" s="666">
        <v>694.58310994511169</v>
      </c>
      <c r="E564" s="620">
        <v>27597857.882248435</v>
      </c>
      <c r="F564" s="661">
        <v>94.179857105519361</v>
      </c>
      <c r="G564" s="3"/>
      <c r="H564" s="383">
        <v>0.2</v>
      </c>
      <c r="I564" s="663">
        <v>694.58310994511169</v>
      </c>
      <c r="J564" s="614">
        <v>24707246.060608931</v>
      </c>
      <c r="K564" s="658">
        <v>94.179857105519361</v>
      </c>
      <c r="L564" s="3"/>
      <c r="M564" s="3"/>
      <c r="N564" s="3"/>
      <c r="O564" s="3"/>
      <c r="P564" s="3"/>
      <c r="Q564" s="3"/>
      <c r="R564" s="3"/>
      <c r="S564" s="3"/>
      <c r="T564" s="3"/>
      <c r="U564" s="3"/>
      <c r="V564" s="3"/>
      <c r="W564" s="3"/>
      <c r="X564" s="3"/>
      <c r="Y564" s="3"/>
      <c r="Z564" s="3"/>
    </row>
    <row r="565" spans="1:26" customFormat="1" ht="12.75" x14ac:dyDescent="0.2">
      <c r="A565" s="246"/>
      <c r="B565" s="3"/>
      <c r="C565" s="3"/>
      <c r="D565" s="3"/>
      <c r="E565" s="3"/>
      <c r="F565" s="3"/>
      <c r="G565" s="3"/>
      <c r="H565" s="388">
        <v>0.5</v>
      </c>
      <c r="I565" s="666">
        <v>694.58310994511169</v>
      </c>
      <c r="J565" s="620">
        <v>22999510.640052535</v>
      </c>
      <c r="K565" s="661">
        <v>94.179857105519361</v>
      </c>
      <c r="L565" s="3"/>
      <c r="M565" s="3"/>
      <c r="N565" s="3"/>
      <c r="O565" s="3"/>
      <c r="P565" s="3"/>
      <c r="Q565" s="3"/>
      <c r="R565" s="3"/>
      <c r="S565" s="3"/>
      <c r="T565" s="3"/>
      <c r="U565" s="3"/>
      <c r="V565" s="3"/>
      <c r="W565" s="3"/>
      <c r="X565" s="3"/>
      <c r="Y565" s="3"/>
      <c r="Z565" s="3"/>
    </row>
    <row r="566" spans="1:26" customFormat="1" ht="12.75" x14ac:dyDescent="0.2">
      <c r="A566" s="246"/>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customFormat="1" ht="12.75" x14ac:dyDescent="0.2">
      <c r="A567" s="246"/>
      <c r="B567" s="611" t="s">
        <v>943</v>
      </c>
      <c r="C567" s="610"/>
      <c r="D567" s="610"/>
      <c r="E567" s="610"/>
      <c r="F567" s="610"/>
      <c r="G567" s="610"/>
      <c r="H567" s="610"/>
      <c r="I567" s="610"/>
      <c r="J567" s="610"/>
      <c r="K567" s="610"/>
      <c r="L567" s="610"/>
      <c r="M567" s="610"/>
      <c r="N567" s="3"/>
      <c r="O567" s="3"/>
      <c r="P567" s="3"/>
      <c r="Q567" s="3"/>
      <c r="R567" s="3"/>
      <c r="S567" s="3"/>
      <c r="T567" s="3"/>
      <c r="U567" s="3"/>
      <c r="V567" s="3"/>
      <c r="W567" s="3"/>
      <c r="X567" s="3"/>
      <c r="Y567" s="3"/>
      <c r="Z567" s="3"/>
    </row>
    <row r="568" spans="1:26" customFormat="1" ht="12.75" x14ac:dyDescent="0.2">
      <c r="A568" s="246"/>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customFormat="1" ht="25.5" x14ac:dyDescent="0.2">
      <c r="A569" s="246"/>
      <c r="B569" s="3"/>
      <c r="C569" s="359"/>
      <c r="D569" s="359" t="s">
        <v>812</v>
      </c>
      <c r="E569" s="644" t="s">
        <v>947</v>
      </c>
      <c r="F569" s="639"/>
      <c r="G569" s="640"/>
      <c r="H569" s="643"/>
      <c r="I569" s="639"/>
      <c r="J569" s="639"/>
      <c r="K569" s="639"/>
      <c r="L569" s="639"/>
      <c r="M569" s="641"/>
      <c r="N569" s="3"/>
      <c r="O569" s="3"/>
      <c r="P569" s="3"/>
      <c r="Q569" s="3"/>
      <c r="R569" s="3"/>
      <c r="S569" s="3"/>
      <c r="T569" s="3"/>
      <c r="U569" s="3"/>
      <c r="V569" s="3"/>
      <c r="W569" s="3"/>
      <c r="X569" s="3"/>
      <c r="Y569" s="3"/>
      <c r="Z569" s="3"/>
    </row>
    <row r="570" spans="1:26" customFormat="1" ht="12.75" x14ac:dyDescent="0.2">
      <c r="A570" s="246"/>
      <c r="B570" s="3"/>
      <c r="C570" s="364"/>
      <c r="D570" s="363">
        <f>$F$347</f>
        <v>694.58310994511169</v>
      </c>
      <c r="E570" s="623">
        <v>-0.05</v>
      </c>
      <c r="F570" s="624">
        <v>-0.02</v>
      </c>
      <c r="G570" s="624">
        <v>-0.01</v>
      </c>
      <c r="H570" s="626">
        <v>0</v>
      </c>
      <c r="I570" s="624">
        <v>0.01</v>
      </c>
      <c r="J570" s="624">
        <v>0.02</v>
      </c>
      <c r="K570" s="624">
        <v>0.03</v>
      </c>
      <c r="L570" s="624">
        <v>0.04</v>
      </c>
      <c r="M570" s="625">
        <v>0.05</v>
      </c>
      <c r="N570" s="3"/>
      <c r="O570" s="3"/>
      <c r="P570" s="3"/>
      <c r="Q570" s="3"/>
      <c r="R570" s="3"/>
      <c r="S570" s="3"/>
      <c r="T570" s="3"/>
      <c r="U570" s="3"/>
      <c r="V570" s="3"/>
      <c r="W570" s="3"/>
      <c r="X570" s="3"/>
      <c r="Y570" s="3"/>
      <c r="Z570" s="3"/>
    </row>
    <row r="571" spans="1:26" customFormat="1" ht="12.75" x14ac:dyDescent="0.2">
      <c r="A571" s="246"/>
      <c r="B571" s="3"/>
      <c r="C571" s="857"/>
      <c r="D571" s="382">
        <v>-0.05</v>
      </c>
      <c r="E571" s="627">
        <f t="dataTable" ref="E571:M579" dt2D="1" dtr="1" r1="F76" r2="F54" ca="1"/>
        <v>764.65568276032684</v>
      </c>
      <c r="F571" s="628">
        <v>750.40274991736567</v>
      </c>
      <c r="G571" s="628">
        <v>745.20993199576174</v>
      </c>
      <c r="H571" s="629">
        <v>739.77805203213927</v>
      </c>
      <c r="I571" s="628">
        <v>734.09546544733098</v>
      </c>
      <c r="J571" s="628">
        <v>728.14999235844709</v>
      </c>
      <c r="K571" s="628">
        <v>721.92889592591951</v>
      </c>
      <c r="L571" s="628">
        <v>715.4188599766112</v>
      </c>
      <c r="M571" s="621">
        <v>708.60596588447061</v>
      </c>
      <c r="N571" s="3"/>
      <c r="O571" s="3"/>
      <c r="P571" s="3"/>
      <c r="Q571" s="3"/>
      <c r="R571" s="3"/>
      <c r="S571" s="3"/>
      <c r="T571" s="3"/>
      <c r="U571" s="3"/>
      <c r="V571" s="3"/>
      <c r="W571" s="3"/>
      <c r="X571" s="3"/>
      <c r="Y571" s="3"/>
      <c r="Z571" s="3"/>
    </row>
    <row r="572" spans="1:26" customFormat="1" ht="12.75" x14ac:dyDescent="0.2">
      <c r="A572" s="246"/>
      <c r="B572" s="3"/>
      <c r="C572" s="802"/>
      <c r="D572" s="383">
        <v>-0.02</v>
      </c>
      <c r="E572" s="630">
        <v>738.63636097641574</v>
      </c>
      <c r="F572" s="631">
        <v>724.38342813345423</v>
      </c>
      <c r="G572" s="631">
        <v>719.19061021185075</v>
      </c>
      <c r="H572" s="632">
        <v>713.75873024822818</v>
      </c>
      <c r="I572" s="631">
        <v>708.07614366342011</v>
      </c>
      <c r="J572" s="631">
        <v>702.13067057453623</v>
      </c>
      <c r="K572" s="631">
        <v>695.90957414200841</v>
      </c>
      <c r="L572" s="631">
        <v>689.39953819270022</v>
      </c>
      <c r="M572" s="613">
        <v>682.58664410055974</v>
      </c>
      <c r="N572" s="3"/>
      <c r="O572" s="3"/>
      <c r="P572" s="3"/>
      <c r="Q572" s="3"/>
      <c r="R572" s="3"/>
      <c r="S572" s="3"/>
      <c r="T572" s="3"/>
      <c r="U572" s="3"/>
      <c r="V572" s="3"/>
      <c r="W572" s="3"/>
      <c r="X572" s="3"/>
      <c r="Y572" s="3"/>
      <c r="Z572" s="3"/>
    </row>
    <row r="573" spans="1:26" customFormat="1" ht="12.75" x14ac:dyDescent="0.2">
      <c r="A573" s="246"/>
      <c r="B573" s="3"/>
      <c r="C573" s="802"/>
      <c r="D573" s="384">
        <v>-0.01</v>
      </c>
      <c r="E573" s="633">
        <v>729.24286771469747</v>
      </c>
      <c r="F573" s="634">
        <v>714.9899348717363</v>
      </c>
      <c r="G573" s="634">
        <v>709.79711695013225</v>
      </c>
      <c r="H573" s="632">
        <v>704.36523698651001</v>
      </c>
      <c r="I573" s="634">
        <v>698.68265040170172</v>
      </c>
      <c r="J573" s="634">
        <v>692.73717731281795</v>
      </c>
      <c r="K573" s="634">
        <v>686.51608088029025</v>
      </c>
      <c r="L573" s="634">
        <v>680.00604493098194</v>
      </c>
      <c r="M573" s="615">
        <v>673.19315083884135</v>
      </c>
      <c r="N573" s="3"/>
      <c r="O573" s="3"/>
      <c r="P573" s="3"/>
      <c r="Q573" s="3"/>
      <c r="R573" s="3"/>
      <c r="S573" s="3"/>
      <c r="T573" s="3"/>
      <c r="U573" s="3"/>
      <c r="V573" s="3"/>
      <c r="W573" s="3"/>
      <c r="X573" s="3"/>
      <c r="Y573" s="3"/>
      <c r="Z573" s="3"/>
    </row>
    <row r="574" spans="1:26" customFormat="1" ht="12.75" x14ac:dyDescent="0.2">
      <c r="A574" s="246"/>
      <c r="B574" s="3"/>
      <c r="C574" s="802"/>
      <c r="D574" s="608">
        <v>0</v>
      </c>
      <c r="E574" s="635">
        <v>719.46074067329903</v>
      </c>
      <c r="F574" s="632">
        <v>705.20780783033808</v>
      </c>
      <c r="G574" s="632">
        <v>700.01498990873426</v>
      </c>
      <c r="H574" s="632">
        <v>694.58310994511169</v>
      </c>
      <c r="I574" s="632">
        <v>688.9005233603034</v>
      </c>
      <c r="J574" s="632">
        <v>682.9550502714194</v>
      </c>
      <c r="K574" s="632">
        <v>676.73395383889192</v>
      </c>
      <c r="L574" s="632">
        <v>670.2239178895835</v>
      </c>
      <c r="M574" s="617">
        <v>663.41102379744291</v>
      </c>
      <c r="N574" s="3"/>
      <c r="O574" s="3"/>
      <c r="P574" s="3"/>
      <c r="Q574" s="3"/>
      <c r="R574" s="3"/>
      <c r="S574" s="3"/>
      <c r="T574" s="3"/>
      <c r="U574" s="3"/>
      <c r="V574" s="3"/>
      <c r="W574" s="3"/>
      <c r="X574" s="3"/>
      <c r="Y574" s="3"/>
      <c r="Z574" s="3"/>
    </row>
    <row r="575" spans="1:26" customFormat="1" ht="25.5" customHeight="1" x14ac:dyDescent="0.2">
      <c r="A575" s="246"/>
      <c r="B575" s="3"/>
      <c r="C575" s="858" t="s">
        <v>945</v>
      </c>
      <c r="D575" s="383">
        <v>0.01</v>
      </c>
      <c r="E575" s="630">
        <v>709.27173314972379</v>
      </c>
      <c r="F575" s="631">
        <v>695.0188003067625</v>
      </c>
      <c r="G575" s="631">
        <v>689.8259823851588</v>
      </c>
      <c r="H575" s="632">
        <v>684.39410242153633</v>
      </c>
      <c r="I575" s="631">
        <v>678.71151583672815</v>
      </c>
      <c r="J575" s="631">
        <v>672.76604274784427</v>
      </c>
      <c r="K575" s="631">
        <v>666.54494631531668</v>
      </c>
      <c r="L575" s="631">
        <v>660.03491036600826</v>
      </c>
      <c r="M575" s="613">
        <v>653.22201627386767</v>
      </c>
      <c r="N575" s="3"/>
      <c r="O575" s="3"/>
      <c r="P575" s="3"/>
      <c r="Q575" s="3"/>
      <c r="R575" s="3"/>
      <c r="S575" s="3"/>
      <c r="T575" s="3"/>
      <c r="U575" s="3"/>
      <c r="V575" s="3"/>
      <c r="W575" s="3"/>
      <c r="X575" s="3"/>
      <c r="Y575" s="3"/>
      <c r="Z575" s="3"/>
    </row>
    <row r="576" spans="1:26" customFormat="1" ht="12.75" x14ac:dyDescent="0.2">
      <c r="A576" s="246"/>
      <c r="B576" s="3"/>
      <c r="C576" s="859" t="s">
        <v>944</v>
      </c>
      <c r="D576" s="383">
        <v>0.02</v>
      </c>
      <c r="E576" s="630">
        <v>698.65676513064091</v>
      </c>
      <c r="F576" s="631">
        <v>684.40383228767962</v>
      </c>
      <c r="G576" s="631">
        <v>679.2110143660758</v>
      </c>
      <c r="H576" s="632">
        <v>673.77913440245322</v>
      </c>
      <c r="I576" s="631">
        <v>668.09654781764527</v>
      </c>
      <c r="J576" s="631">
        <v>662.15107472876127</v>
      </c>
      <c r="K576" s="631">
        <v>655.92997829623346</v>
      </c>
      <c r="L576" s="631">
        <v>649.41994234692538</v>
      </c>
      <c r="M576" s="613">
        <v>642.60704825478467</v>
      </c>
      <c r="N576" s="3"/>
      <c r="O576" s="3"/>
      <c r="P576" s="3"/>
      <c r="Q576" s="3"/>
      <c r="R576" s="3"/>
      <c r="S576" s="3"/>
      <c r="T576" s="3"/>
      <c r="U576" s="3"/>
      <c r="V576" s="3"/>
      <c r="W576" s="3"/>
      <c r="X576" s="3"/>
      <c r="Y576" s="3"/>
      <c r="Z576" s="3"/>
    </row>
    <row r="577" spans="1:26" customFormat="1" ht="12.75" x14ac:dyDescent="0.2">
      <c r="A577" s="246"/>
      <c r="B577" s="3"/>
      <c r="C577" s="808"/>
      <c r="D577" s="383">
        <v>0.03</v>
      </c>
      <c r="E577" s="630">
        <v>687.59588958458608</v>
      </c>
      <c r="F577" s="631">
        <v>673.3429567416249</v>
      </c>
      <c r="G577" s="631">
        <v>668.15013882002108</v>
      </c>
      <c r="H577" s="632">
        <v>662.71825885639873</v>
      </c>
      <c r="I577" s="631">
        <v>657.03567227159044</v>
      </c>
      <c r="J577" s="631">
        <v>651.09019918270644</v>
      </c>
      <c r="K577" s="631">
        <v>644.86910275017874</v>
      </c>
      <c r="L577" s="631">
        <v>638.35906680087055</v>
      </c>
      <c r="M577" s="613">
        <v>631.54617270872996</v>
      </c>
      <c r="N577" s="3"/>
      <c r="O577" s="3"/>
      <c r="P577" s="3"/>
      <c r="Q577" s="3"/>
      <c r="R577" s="3"/>
      <c r="S577" s="3"/>
      <c r="T577" s="3"/>
      <c r="U577" s="3"/>
      <c r="V577" s="3"/>
      <c r="W577" s="3"/>
      <c r="X577" s="3"/>
      <c r="Y577" s="3"/>
      <c r="Z577" s="3"/>
    </row>
    <row r="578" spans="1:26" customFormat="1" ht="12.75" x14ac:dyDescent="0.2">
      <c r="A578" s="246"/>
      <c r="B578" s="3"/>
      <c r="C578" s="802"/>
      <c r="D578" s="383">
        <v>0.04</v>
      </c>
      <c r="E578" s="630">
        <v>676.068257627712</v>
      </c>
      <c r="F578" s="631">
        <v>661.81532478475026</v>
      </c>
      <c r="G578" s="631">
        <v>656.62250686314644</v>
      </c>
      <c r="H578" s="632">
        <v>651.19062689952398</v>
      </c>
      <c r="I578" s="631">
        <v>645.50804031471569</v>
      </c>
      <c r="J578" s="631">
        <v>639.5625672258318</v>
      </c>
      <c r="K578" s="631">
        <v>633.34147079330444</v>
      </c>
      <c r="L578" s="631">
        <v>626.83143484399591</v>
      </c>
      <c r="M578" s="613">
        <v>620.0185407518552</v>
      </c>
      <c r="N578" s="3"/>
      <c r="O578" s="3"/>
      <c r="P578" s="3"/>
      <c r="Q578" s="3"/>
      <c r="R578" s="3"/>
      <c r="S578" s="3"/>
      <c r="T578" s="3"/>
      <c r="U578" s="3"/>
      <c r="V578" s="3"/>
      <c r="W578" s="3"/>
      <c r="X578" s="3"/>
      <c r="Y578" s="3"/>
      <c r="Z578" s="3"/>
    </row>
    <row r="579" spans="1:26" customFormat="1" ht="12.75" x14ac:dyDescent="0.2">
      <c r="A579" s="246"/>
      <c r="B579" s="3"/>
      <c r="C579" s="860"/>
      <c r="D579" s="388">
        <v>0.05</v>
      </c>
      <c r="E579" s="636">
        <v>664.05208253374485</v>
      </c>
      <c r="F579" s="637">
        <v>649.79914969078334</v>
      </c>
      <c r="G579" s="637">
        <v>644.60633176917986</v>
      </c>
      <c r="H579" s="638">
        <v>639.17445180555706</v>
      </c>
      <c r="I579" s="637">
        <v>633.49186522074876</v>
      </c>
      <c r="J579" s="637">
        <v>627.54639213186488</v>
      </c>
      <c r="K579" s="637">
        <v>621.32529569933729</v>
      </c>
      <c r="L579" s="637">
        <v>614.81525975002899</v>
      </c>
      <c r="M579" s="619">
        <v>608.0023656578885</v>
      </c>
      <c r="N579" s="3"/>
      <c r="O579" s="3"/>
      <c r="P579" s="3"/>
      <c r="Q579" s="3"/>
      <c r="R579" s="3"/>
      <c r="S579" s="3"/>
      <c r="T579" s="3"/>
      <c r="U579" s="3"/>
      <c r="V579" s="3"/>
      <c r="W579" s="3"/>
      <c r="X579" s="3"/>
      <c r="Y579" s="3"/>
      <c r="Z579" s="3"/>
    </row>
    <row r="580" spans="1:26" customFormat="1" ht="12.75" x14ac:dyDescent="0.2">
      <c r="A580" s="246"/>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customFormat="1" ht="25.5" x14ac:dyDescent="0.2">
      <c r="A581" s="246"/>
      <c r="B581" s="3"/>
      <c r="C581" s="359"/>
      <c r="D581" s="359" t="s">
        <v>812</v>
      </c>
      <c r="E581" s="644" t="s">
        <v>947</v>
      </c>
      <c r="F581" s="639"/>
      <c r="G581" s="640"/>
      <c r="H581" s="643"/>
      <c r="I581" s="639"/>
      <c r="J581" s="639"/>
      <c r="K581" s="639"/>
      <c r="L581" s="639"/>
      <c r="M581" s="641"/>
      <c r="N581" s="3"/>
      <c r="O581" s="3"/>
      <c r="P581" s="3"/>
      <c r="Q581" s="3"/>
      <c r="R581" s="3"/>
      <c r="S581" s="3"/>
      <c r="T581" s="3"/>
      <c r="U581" s="3"/>
      <c r="V581" s="3"/>
      <c r="W581" s="3"/>
      <c r="X581" s="3"/>
      <c r="Y581" s="3"/>
      <c r="Z581" s="3"/>
    </row>
    <row r="582" spans="1:26" customFormat="1" ht="12.75" x14ac:dyDescent="0.2">
      <c r="A582" s="246"/>
      <c r="B582" s="3"/>
      <c r="C582" s="364"/>
      <c r="D582" s="363">
        <f>$F$347</f>
        <v>694.58310994511169</v>
      </c>
      <c r="E582" s="623">
        <v>-0.05</v>
      </c>
      <c r="F582" s="624">
        <v>-0.02</v>
      </c>
      <c r="G582" s="624">
        <v>-0.01</v>
      </c>
      <c r="H582" s="626">
        <v>0</v>
      </c>
      <c r="I582" s="624">
        <v>0.01</v>
      </c>
      <c r="J582" s="624">
        <v>0.02</v>
      </c>
      <c r="K582" s="624">
        <v>0.03</v>
      </c>
      <c r="L582" s="624">
        <v>0.04</v>
      </c>
      <c r="M582" s="625">
        <v>0.05</v>
      </c>
      <c r="N582" s="3"/>
      <c r="O582" s="3"/>
      <c r="P582" s="3"/>
      <c r="Q582" s="3"/>
      <c r="R582" s="3"/>
      <c r="S582" s="3"/>
      <c r="T582" s="3"/>
      <c r="U582" s="3"/>
      <c r="V582" s="3"/>
      <c r="W582" s="3"/>
      <c r="X582" s="3"/>
      <c r="Y582" s="3"/>
      <c r="Z582" s="3"/>
    </row>
    <row r="583" spans="1:26" customFormat="1" ht="12.75" x14ac:dyDescent="0.2">
      <c r="A583" s="246"/>
      <c r="B583" s="3"/>
      <c r="C583" s="857"/>
      <c r="D583" s="382">
        <v>-0.15</v>
      </c>
      <c r="E583" s="627">
        <f t="dataTable" ref="E583:M591" dt2D="1" dtr="1" r1="F76" r2="F92"/>
        <v>428.89039782218254</v>
      </c>
      <c r="F583" s="628">
        <v>414.63746497922119</v>
      </c>
      <c r="G583" s="628">
        <v>409.44464705761737</v>
      </c>
      <c r="H583" s="629">
        <v>404.01276709399491</v>
      </c>
      <c r="I583" s="628">
        <v>398.33018050918656</v>
      </c>
      <c r="J583" s="628">
        <v>392.38470742030268</v>
      </c>
      <c r="K583" s="628">
        <v>386.16361098777503</v>
      </c>
      <c r="L583" s="628">
        <v>379.65357503846678</v>
      </c>
      <c r="M583" s="621">
        <v>372.84068094632613</v>
      </c>
      <c r="N583" s="3"/>
      <c r="O583" s="3"/>
      <c r="P583" s="3"/>
      <c r="Q583" s="3"/>
      <c r="R583" s="3"/>
      <c r="S583" s="3"/>
      <c r="T583" s="3"/>
      <c r="U583" s="3"/>
      <c r="V583" s="3"/>
      <c r="W583" s="3"/>
      <c r="X583" s="3"/>
      <c r="Y583" s="3"/>
      <c r="Z583" s="3"/>
    </row>
    <row r="584" spans="1:26" customFormat="1" ht="12.75" x14ac:dyDescent="0.2">
      <c r="A584" s="246"/>
      <c r="B584" s="3"/>
      <c r="C584" s="802"/>
      <c r="D584" s="383">
        <v>-0.1</v>
      </c>
      <c r="E584" s="630">
        <v>525.74717877255466</v>
      </c>
      <c r="F584" s="631">
        <v>511.49424592959326</v>
      </c>
      <c r="G584" s="631">
        <v>506.30142800798961</v>
      </c>
      <c r="H584" s="632">
        <v>500.86954804436698</v>
      </c>
      <c r="I584" s="631">
        <v>495.18696145955886</v>
      </c>
      <c r="J584" s="631">
        <v>489.24148837067492</v>
      </c>
      <c r="K584" s="631">
        <v>483.02039193814738</v>
      </c>
      <c r="L584" s="631">
        <v>476.51035598883919</v>
      </c>
      <c r="M584" s="613">
        <v>469.69746189669843</v>
      </c>
      <c r="N584" s="3"/>
      <c r="O584" s="3"/>
      <c r="P584" s="3"/>
      <c r="Q584" s="3"/>
      <c r="R584" s="3"/>
      <c r="S584" s="3"/>
      <c r="T584" s="3"/>
      <c r="U584" s="3"/>
      <c r="V584" s="3"/>
      <c r="W584" s="3"/>
      <c r="X584" s="3"/>
      <c r="Y584" s="3"/>
      <c r="Z584" s="3"/>
    </row>
    <row r="585" spans="1:26" customFormat="1" ht="12.75" x14ac:dyDescent="0.2">
      <c r="A585" s="246"/>
      <c r="B585" s="3"/>
      <c r="C585" s="802"/>
      <c r="D585" s="384">
        <v>-0.05</v>
      </c>
      <c r="E585" s="633">
        <v>622.60395972292702</v>
      </c>
      <c r="F585" s="634">
        <v>608.35102687996573</v>
      </c>
      <c r="G585" s="634">
        <v>603.15820895836191</v>
      </c>
      <c r="H585" s="632">
        <v>597.72632899473922</v>
      </c>
      <c r="I585" s="634">
        <v>592.04374240993116</v>
      </c>
      <c r="J585" s="634">
        <v>586.09826932104738</v>
      </c>
      <c r="K585" s="634">
        <v>579.87717288851957</v>
      </c>
      <c r="L585" s="634">
        <v>573.3671369392116</v>
      </c>
      <c r="M585" s="615">
        <v>566.55424284707078</v>
      </c>
      <c r="N585" s="3"/>
      <c r="O585" s="3"/>
      <c r="P585" s="3"/>
      <c r="Q585" s="3"/>
      <c r="R585" s="3"/>
      <c r="S585" s="3"/>
      <c r="T585" s="3"/>
      <c r="U585" s="3"/>
      <c r="V585" s="3"/>
      <c r="W585" s="3"/>
      <c r="X585" s="3"/>
      <c r="Y585" s="3"/>
      <c r="Z585" s="3"/>
    </row>
    <row r="586" spans="1:26" customFormat="1" ht="12.75" x14ac:dyDescent="0.2">
      <c r="A586" s="246"/>
      <c r="B586" s="3"/>
      <c r="C586" s="802"/>
      <c r="D586" s="608">
        <v>0</v>
      </c>
      <c r="E586" s="635">
        <v>719.46074067329903</v>
      </c>
      <c r="F586" s="632">
        <v>705.20780783033808</v>
      </c>
      <c r="G586" s="632">
        <v>700.01498990873426</v>
      </c>
      <c r="H586" s="632">
        <v>694.58310994511169</v>
      </c>
      <c r="I586" s="632">
        <v>688.9005233603034</v>
      </c>
      <c r="J586" s="632">
        <v>682.9550502714194</v>
      </c>
      <c r="K586" s="632">
        <v>676.73395383889192</v>
      </c>
      <c r="L586" s="632">
        <v>670.2239178895835</v>
      </c>
      <c r="M586" s="617">
        <v>663.41102379744291</v>
      </c>
      <c r="N586" s="3"/>
      <c r="O586" s="3"/>
      <c r="P586" s="3"/>
      <c r="Q586" s="3"/>
      <c r="R586" s="3"/>
      <c r="S586" s="3"/>
      <c r="T586" s="3"/>
      <c r="U586" s="3"/>
      <c r="V586" s="3"/>
      <c r="W586" s="3"/>
      <c r="X586" s="3"/>
      <c r="Y586" s="3"/>
      <c r="Z586" s="3"/>
    </row>
    <row r="587" spans="1:26" customFormat="1" ht="12.75" x14ac:dyDescent="0.2">
      <c r="A587" s="246"/>
      <c r="B587" s="3"/>
      <c r="C587" s="858" t="s">
        <v>992</v>
      </c>
      <c r="D587" s="383">
        <v>0.05</v>
      </c>
      <c r="E587" s="630">
        <v>816.31752162367127</v>
      </c>
      <c r="F587" s="631">
        <v>802.06458878070976</v>
      </c>
      <c r="G587" s="631">
        <v>796.87177085910582</v>
      </c>
      <c r="H587" s="632">
        <v>791.43989089548336</v>
      </c>
      <c r="I587" s="631">
        <v>785.75730431067529</v>
      </c>
      <c r="J587" s="631">
        <v>779.81183122179129</v>
      </c>
      <c r="K587" s="631">
        <v>773.59073478926371</v>
      </c>
      <c r="L587" s="631">
        <v>767.08069883995563</v>
      </c>
      <c r="M587" s="613">
        <v>760.26780474781469</v>
      </c>
      <c r="N587" s="3"/>
      <c r="O587" s="3"/>
      <c r="P587" s="3"/>
      <c r="Q587" s="3"/>
      <c r="R587" s="3"/>
      <c r="S587" s="3"/>
      <c r="T587" s="3"/>
      <c r="U587" s="3"/>
      <c r="V587" s="3"/>
      <c r="W587" s="3"/>
      <c r="X587" s="3"/>
      <c r="Y587" s="3"/>
      <c r="Z587" s="3"/>
    </row>
    <row r="588" spans="1:26" customFormat="1" ht="12.75" x14ac:dyDescent="0.2">
      <c r="A588" s="246"/>
      <c r="B588" s="3"/>
      <c r="C588" s="859" t="s">
        <v>944</v>
      </c>
      <c r="D588" s="383">
        <v>0.1</v>
      </c>
      <c r="E588" s="630">
        <v>913.17430257404362</v>
      </c>
      <c r="F588" s="631">
        <v>898.92136973108222</v>
      </c>
      <c r="G588" s="631">
        <v>893.7285518094784</v>
      </c>
      <c r="H588" s="632">
        <v>888.29667184585571</v>
      </c>
      <c r="I588" s="631">
        <v>882.61408526104742</v>
      </c>
      <c r="J588" s="631">
        <v>876.66861217216388</v>
      </c>
      <c r="K588" s="631">
        <v>870.44751573963629</v>
      </c>
      <c r="L588" s="631">
        <v>863.93747979032787</v>
      </c>
      <c r="M588" s="613">
        <v>857.12458569818716</v>
      </c>
      <c r="N588" s="3"/>
      <c r="O588" s="3"/>
      <c r="P588" s="3"/>
      <c r="Q588" s="3"/>
      <c r="R588" s="3"/>
      <c r="S588" s="3"/>
      <c r="T588" s="3"/>
      <c r="U588" s="3"/>
      <c r="V588" s="3"/>
      <c r="W588" s="3"/>
      <c r="X588" s="3"/>
      <c r="Y588" s="3"/>
      <c r="Z588" s="3"/>
    </row>
    <row r="589" spans="1:26" customFormat="1" ht="12.75" x14ac:dyDescent="0.2">
      <c r="A589" s="246"/>
      <c r="B589" s="3"/>
      <c r="C589" s="802"/>
      <c r="D589" s="383">
        <v>0.15</v>
      </c>
      <c r="E589" s="630">
        <v>1010.0310835244153</v>
      </c>
      <c r="F589" s="631">
        <v>995.77815068145412</v>
      </c>
      <c r="G589" s="631">
        <v>990.5853327598503</v>
      </c>
      <c r="H589" s="632">
        <v>985.15345279622784</v>
      </c>
      <c r="I589" s="631">
        <v>979.47086621141943</v>
      </c>
      <c r="J589" s="631">
        <v>973.52539312253577</v>
      </c>
      <c r="K589" s="631">
        <v>967.30429669000819</v>
      </c>
      <c r="L589" s="631">
        <v>960.79426074069966</v>
      </c>
      <c r="M589" s="613">
        <v>953.98136664855917</v>
      </c>
      <c r="N589" s="3"/>
      <c r="O589" s="3"/>
      <c r="P589" s="3"/>
      <c r="Q589" s="3"/>
      <c r="R589" s="3"/>
      <c r="S589" s="3"/>
      <c r="T589" s="3"/>
      <c r="U589" s="3"/>
      <c r="V589" s="3"/>
      <c r="W589" s="3"/>
      <c r="X589" s="3"/>
      <c r="Y589" s="3"/>
      <c r="Z589" s="3"/>
    </row>
    <row r="590" spans="1:26" customFormat="1" ht="12.75" x14ac:dyDescent="0.2">
      <c r="A590" s="246"/>
      <c r="B590" s="3"/>
      <c r="C590" s="802"/>
      <c r="D590" s="383">
        <v>0.2</v>
      </c>
      <c r="E590" s="630">
        <v>1106.8878644747879</v>
      </c>
      <c r="F590" s="631">
        <v>1092.6349316318267</v>
      </c>
      <c r="G590" s="631">
        <v>1087.4421137102229</v>
      </c>
      <c r="H590" s="632">
        <v>1082.0102337466003</v>
      </c>
      <c r="I590" s="631">
        <v>1076.3276471617921</v>
      </c>
      <c r="J590" s="631">
        <v>1070.3821740729084</v>
      </c>
      <c r="K590" s="631">
        <v>1064.1610776403804</v>
      </c>
      <c r="L590" s="631">
        <v>1057.6510416910724</v>
      </c>
      <c r="M590" s="613">
        <v>1050.8381475989318</v>
      </c>
      <c r="N590" s="3"/>
      <c r="O590" s="3"/>
      <c r="P590" s="3"/>
      <c r="Q590" s="3"/>
      <c r="R590" s="3"/>
      <c r="S590" s="3"/>
      <c r="T590" s="3"/>
      <c r="U590" s="3"/>
      <c r="V590" s="3"/>
      <c r="W590" s="3"/>
      <c r="X590" s="3"/>
      <c r="Y590" s="3"/>
      <c r="Z590" s="3"/>
    </row>
    <row r="591" spans="1:26" customFormat="1" ht="12.75" x14ac:dyDescent="0.2">
      <c r="A591" s="246"/>
      <c r="B591" s="3"/>
      <c r="C591" s="860"/>
      <c r="D591" s="388">
        <v>0.25</v>
      </c>
      <c r="E591" s="636">
        <v>1203.7446454251601</v>
      </c>
      <c r="F591" s="637">
        <v>1189.4917125821989</v>
      </c>
      <c r="G591" s="637">
        <v>1184.2988946605951</v>
      </c>
      <c r="H591" s="638">
        <v>1178.8670146969723</v>
      </c>
      <c r="I591" s="637">
        <v>1173.1844281121641</v>
      </c>
      <c r="J591" s="637">
        <v>1167.2389550232804</v>
      </c>
      <c r="K591" s="637">
        <v>1161.0178585907527</v>
      </c>
      <c r="L591" s="637">
        <v>1154.5078226414446</v>
      </c>
      <c r="M591" s="619">
        <v>1147.694928549304</v>
      </c>
      <c r="N591" s="3"/>
      <c r="O591" s="3"/>
      <c r="P591" s="3"/>
      <c r="Q591" s="3"/>
      <c r="R591" s="3"/>
      <c r="S591" s="3"/>
      <c r="T591" s="3"/>
      <c r="U591" s="3"/>
      <c r="V591" s="3"/>
      <c r="W591" s="3"/>
      <c r="X591" s="3"/>
      <c r="Y591" s="3"/>
      <c r="Z591" s="3"/>
    </row>
    <row r="592" spans="1:26" customFormat="1" ht="12.75" x14ac:dyDescent="0.2">
      <c r="A592" s="246"/>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customFormat="1" ht="25.5" x14ac:dyDescent="0.2">
      <c r="A593" s="246"/>
      <c r="B593" s="3"/>
      <c r="C593" s="359"/>
      <c r="D593" s="359" t="s">
        <v>812</v>
      </c>
      <c r="E593" s="644" t="s">
        <v>993</v>
      </c>
      <c r="F593" s="639"/>
      <c r="G593" s="640"/>
      <c r="H593" s="643"/>
      <c r="I593" s="639"/>
      <c r="J593" s="639"/>
      <c r="K593" s="639"/>
      <c r="L593" s="639"/>
      <c r="M593" s="641"/>
      <c r="N593" s="3"/>
      <c r="O593" s="3"/>
      <c r="P593" s="3"/>
      <c r="Q593" s="3"/>
      <c r="R593" s="3"/>
      <c r="S593" s="3"/>
      <c r="T593" s="3"/>
      <c r="U593" s="3"/>
      <c r="V593" s="3"/>
      <c r="W593" s="3"/>
      <c r="X593" s="3"/>
      <c r="Y593" s="3"/>
      <c r="Z593" s="3"/>
    </row>
    <row r="594" spans="1:26" customFormat="1" ht="12.75" x14ac:dyDescent="0.2">
      <c r="A594" s="246"/>
      <c r="B594" s="3"/>
      <c r="C594" s="364"/>
      <c r="D594" s="363">
        <f>$F$347</f>
        <v>694.58310994511169</v>
      </c>
      <c r="E594" s="655">
        <v>1.5</v>
      </c>
      <c r="F594" s="652">
        <v>1.75</v>
      </c>
      <c r="G594" s="718">
        <v>2</v>
      </c>
      <c r="H594" s="652">
        <v>2.25</v>
      </c>
      <c r="I594" s="652">
        <v>2.5</v>
      </c>
      <c r="J594" s="652">
        <v>2.75</v>
      </c>
      <c r="K594" s="650">
        <v>3</v>
      </c>
      <c r="L594" s="650">
        <v>3.25</v>
      </c>
      <c r="M594" s="651">
        <v>3.5</v>
      </c>
      <c r="N594" s="3"/>
      <c r="O594" s="3"/>
      <c r="P594" s="3"/>
      <c r="Q594" s="3"/>
      <c r="R594" s="3"/>
      <c r="S594" s="3"/>
      <c r="T594" s="3"/>
      <c r="U594" s="3"/>
      <c r="V594" s="3"/>
      <c r="W594" s="3"/>
      <c r="X594" s="3"/>
      <c r="Y594" s="3"/>
      <c r="Z594" s="3"/>
    </row>
    <row r="595" spans="1:26" customFormat="1" ht="12.75" x14ac:dyDescent="0.2">
      <c r="A595" s="246"/>
      <c r="B595" s="3"/>
      <c r="C595" s="857"/>
      <c r="D595" s="382">
        <v>-0.15</v>
      </c>
      <c r="E595" s="627">
        <f t="dataTable" ref="E595:M603" dt2D="1" dtr="1" r1="I31" r2="F92" ca="1"/>
        <v>-531.30511958206569</v>
      </c>
      <c r="F595" s="628">
        <v>-63.280778257991443</v>
      </c>
      <c r="G595" s="629">
        <v>404.01276709399491</v>
      </c>
      <c r="H595" s="628">
        <v>784.76239112091491</v>
      </c>
      <c r="I595" s="628">
        <v>958.34315976913922</v>
      </c>
      <c r="J595" s="628">
        <v>947.07483359370838</v>
      </c>
      <c r="K595" s="628">
        <v>935.80650741827787</v>
      </c>
      <c r="L595" s="628">
        <v>924.53818124284714</v>
      </c>
      <c r="M595" s="621">
        <v>913.26985506741619</v>
      </c>
      <c r="N595" s="3"/>
      <c r="O595" s="3"/>
      <c r="P595" s="3"/>
      <c r="Q595" s="3"/>
      <c r="R595" s="3"/>
      <c r="S595" s="3"/>
      <c r="T595" s="3"/>
      <c r="U595" s="3"/>
      <c r="V595" s="3"/>
      <c r="W595" s="3"/>
      <c r="X595" s="3"/>
      <c r="Y595" s="3"/>
      <c r="Z595" s="3"/>
    </row>
    <row r="596" spans="1:26" customFormat="1" ht="12.75" x14ac:dyDescent="0.2">
      <c r="A596" s="246"/>
      <c r="B596" s="3"/>
      <c r="C596" s="802"/>
      <c r="D596" s="383">
        <v>-0.1</v>
      </c>
      <c r="E596" s="630">
        <v>-494.60499206151275</v>
      </c>
      <c r="F596" s="631">
        <v>3.4976759774709687</v>
      </c>
      <c r="G596" s="632">
        <v>500.86954804436698</v>
      </c>
      <c r="H596" s="631">
        <v>906.25825587085706</v>
      </c>
      <c r="I596" s="631">
        <v>1091.4111290529238</v>
      </c>
      <c r="J596" s="631">
        <v>1080.1428028774928</v>
      </c>
      <c r="K596" s="631">
        <v>1068.8744767020621</v>
      </c>
      <c r="L596" s="631">
        <v>1057.6061505266316</v>
      </c>
      <c r="M596" s="613">
        <v>1046.3378243512007</v>
      </c>
      <c r="N596" s="3"/>
      <c r="O596" s="3"/>
      <c r="P596" s="3"/>
      <c r="Q596" s="3"/>
      <c r="R596" s="3"/>
      <c r="S596" s="3"/>
      <c r="T596" s="3"/>
      <c r="U596" s="3"/>
      <c r="V596" s="3"/>
      <c r="W596" s="3"/>
      <c r="X596" s="3"/>
      <c r="Y596" s="3"/>
      <c r="Z596" s="3"/>
    </row>
    <row r="597" spans="1:26" customFormat="1" ht="12.75" x14ac:dyDescent="0.2">
      <c r="A597" s="246"/>
      <c r="B597" s="3"/>
      <c r="C597" s="802"/>
      <c r="D597" s="384">
        <v>-0.05</v>
      </c>
      <c r="E597" s="633">
        <v>-457.9048645409602</v>
      </c>
      <c r="F597" s="634">
        <v>70.276130212933211</v>
      </c>
      <c r="G597" s="632">
        <v>597.72632899473922</v>
      </c>
      <c r="H597" s="631">
        <v>1027.7541206207986</v>
      </c>
      <c r="I597" s="634">
        <v>1224.4790983367084</v>
      </c>
      <c r="J597" s="634">
        <v>1213.2107721612774</v>
      </c>
      <c r="K597" s="634">
        <v>1201.9424459858471</v>
      </c>
      <c r="L597" s="634">
        <v>1190.6741198104162</v>
      </c>
      <c r="M597" s="615">
        <v>1179.4057936349855</v>
      </c>
      <c r="N597" s="3"/>
      <c r="O597" s="3"/>
      <c r="P597" s="3"/>
      <c r="Q597" s="3"/>
      <c r="R597" s="3"/>
      <c r="S597" s="3"/>
      <c r="T597" s="3"/>
      <c r="U597" s="3"/>
      <c r="V597" s="3"/>
      <c r="W597" s="3"/>
      <c r="X597" s="3"/>
      <c r="Y597" s="3"/>
      <c r="Z597" s="3"/>
    </row>
    <row r="598" spans="1:26" customFormat="1" ht="12.75" x14ac:dyDescent="0.2">
      <c r="A598" s="246"/>
      <c r="B598" s="3"/>
      <c r="C598" s="802"/>
      <c r="D598" s="608">
        <v>0</v>
      </c>
      <c r="E598" s="635">
        <v>-421.20473702040726</v>
      </c>
      <c r="F598" s="632">
        <v>137.0545844483959</v>
      </c>
      <c r="G598" s="632">
        <v>694.58310994511169</v>
      </c>
      <c r="H598" s="632">
        <v>1149.2499853707411</v>
      </c>
      <c r="I598" s="632">
        <v>1357.5470676204927</v>
      </c>
      <c r="J598" s="632">
        <v>1346.2787414450625</v>
      </c>
      <c r="K598" s="632">
        <v>1335.0104152696315</v>
      </c>
      <c r="L598" s="632">
        <v>1323.7420890942008</v>
      </c>
      <c r="M598" s="617">
        <v>1312.4737629187703</v>
      </c>
      <c r="N598" s="3"/>
      <c r="O598" s="3"/>
      <c r="P598" s="3"/>
      <c r="Q598" s="3"/>
      <c r="R598" s="3"/>
      <c r="S598" s="3"/>
      <c r="T598" s="3"/>
      <c r="U598" s="3"/>
      <c r="V598" s="3"/>
      <c r="W598" s="3"/>
      <c r="X598" s="3"/>
      <c r="Y598" s="3"/>
      <c r="Z598" s="3"/>
    </row>
    <row r="599" spans="1:26" customFormat="1" ht="12.75" x14ac:dyDescent="0.2">
      <c r="A599" s="246"/>
      <c r="B599" s="3"/>
      <c r="C599" s="858" t="s">
        <v>992</v>
      </c>
      <c r="D599" s="383">
        <v>0.05</v>
      </c>
      <c r="E599" s="630">
        <v>-384.50460949985455</v>
      </c>
      <c r="F599" s="631">
        <v>203.83303868385838</v>
      </c>
      <c r="G599" s="632">
        <v>791.43989089548336</v>
      </c>
      <c r="H599" s="631">
        <v>1270.7458501206831</v>
      </c>
      <c r="I599" s="631">
        <v>1490.6150369042773</v>
      </c>
      <c r="J599" s="631">
        <v>1479.3467107288466</v>
      </c>
      <c r="K599" s="631">
        <v>1468.0783845534158</v>
      </c>
      <c r="L599" s="631">
        <v>1456.8100583779851</v>
      </c>
      <c r="M599" s="613">
        <v>1445.5417322025546</v>
      </c>
      <c r="N599" s="3"/>
      <c r="O599" s="3"/>
      <c r="P599" s="3"/>
      <c r="Q599" s="3"/>
      <c r="R599" s="3"/>
      <c r="S599" s="3"/>
      <c r="T599" s="3"/>
      <c r="U599" s="3"/>
      <c r="V599" s="3"/>
      <c r="W599" s="3"/>
      <c r="X599" s="3"/>
      <c r="Y599" s="3"/>
      <c r="Z599" s="3"/>
    </row>
    <row r="600" spans="1:26" customFormat="1" ht="12.75" x14ac:dyDescent="0.2">
      <c r="A600" s="246"/>
      <c r="B600" s="3"/>
      <c r="C600" s="859" t="s">
        <v>944</v>
      </c>
      <c r="D600" s="383">
        <v>0.1</v>
      </c>
      <c r="E600" s="630">
        <v>-347.80448197930195</v>
      </c>
      <c r="F600" s="631">
        <v>270.61149291932094</v>
      </c>
      <c r="G600" s="632">
        <v>888.29667184585571</v>
      </c>
      <c r="H600" s="631">
        <v>1392.2417148706252</v>
      </c>
      <c r="I600" s="631">
        <v>1623.6830061880626</v>
      </c>
      <c r="J600" s="631">
        <v>1612.4146800126316</v>
      </c>
      <c r="K600" s="631">
        <v>1601.1463538372011</v>
      </c>
      <c r="L600" s="631">
        <v>1589.8780276617706</v>
      </c>
      <c r="M600" s="613">
        <v>1578.6097014863394</v>
      </c>
      <c r="N600" s="3"/>
      <c r="O600" s="3"/>
      <c r="P600" s="3"/>
      <c r="Q600" s="3"/>
      <c r="R600" s="3"/>
      <c r="S600" s="3"/>
      <c r="T600" s="3"/>
      <c r="U600" s="3"/>
      <c r="V600" s="3"/>
      <c r="W600" s="3"/>
      <c r="X600" s="3"/>
      <c r="Y600" s="3"/>
      <c r="Z600" s="3"/>
    </row>
    <row r="601" spans="1:26" customFormat="1" ht="12.75" x14ac:dyDescent="0.2">
      <c r="A601" s="246"/>
      <c r="B601" s="3"/>
      <c r="C601" s="802"/>
      <c r="D601" s="383">
        <v>0.15</v>
      </c>
      <c r="E601" s="630">
        <v>-311.10435445874907</v>
      </c>
      <c r="F601" s="631">
        <v>337.38994715478333</v>
      </c>
      <c r="G601" s="632">
        <v>985.15345279622784</v>
      </c>
      <c r="H601" s="631">
        <v>1513.7375796205677</v>
      </c>
      <c r="I601" s="631">
        <v>1756.750975471846</v>
      </c>
      <c r="J601" s="631">
        <v>1745.4826492964155</v>
      </c>
      <c r="K601" s="631">
        <v>1734.2143231209845</v>
      </c>
      <c r="L601" s="631">
        <v>1722.945996945554</v>
      </c>
      <c r="M601" s="613">
        <v>1711.6776707701231</v>
      </c>
      <c r="N601" s="3"/>
      <c r="O601" s="3"/>
      <c r="P601" s="3"/>
      <c r="Q601" s="3"/>
      <c r="R601" s="3"/>
      <c r="S601" s="3"/>
      <c r="T601" s="3"/>
      <c r="U601" s="3"/>
      <c r="V601" s="3"/>
      <c r="W601" s="3"/>
      <c r="X601" s="3"/>
      <c r="Y601" s="3"/>
      <c r="Z601" s="3"/>
    </row>
    <row r="602" spans="1:26" customFormat="1" ht="12.75" x14ac:dyDescent="0.2">
      <c r="A602" s="246"/>
      <c r="B602" s="3"/>
      <c r="C602" s="802"/>
      <c r="D602" s="383">
        <v>0.2</v>
      </c>
      <c r="E602" s="630">
        <v>-274.40422693819659</v>
      </c>
      <c r="F602" s="631">
        <v>404.16840139024555</v>
      </c>
      <c r="G602" s="632">
        <v>1082.0102337466003</v>
      </c>
      <c r="H602" s="631">
        <v>1635.2334443705092</v>
      </c>
      <c r="I602" s="631">
        <v>1889.8189447556304</v>
      </c>
      <c r="J602" s="631">
        <v>1878.5506185801999</v>
      </c>
      <c r="K602" s="631">
        <v>1867.2822924047689</v>
      </c>
      <c r="L602" s="631">
        <v>1856.0139662293379</v>
      </c>
      <c r="M602" s="613">
        <v>1844.7456400539079</v>
      </c>
      <c r="N602" s="3"/>
      <c r="O602" s="3"/>
      <c r="P602" s="3"/>
      <c r="Q602" s="3"/>
      <c r="R602" s="3"/>
      <c r="S602" s="3"/>
      <c r="T602" s="3"/>
      <c r="U602" s="3"/>
      <c r="V602" s="3"/>
      <c r="W602" s="3"/>
      <c r="X602" s="3"/>
      <c r="Y602" s="3"/>
      <c r="Z602" s="3"/>
    </row>
    <row r="603" spans="1:26" customFormat="1" ht="12.75" x14ac:dyDescent="0.2">
      <c r="A603" s="246"/>
      <c r="B603" s="3"/>
      <c r="C603" s="860"/>
      <c r="D603" s="388">
        <v>0.25</v>
      </c>
      <c r="E603" s="636">
        <v>-237.70409941764368</v>
      </c>
      <c r="F603" s="637">
        <v>470.94685562570828</v>
      </c>
      <c r="G603" s="638">
        <v>1178.8670146969723</v>
      </c>
      <c r="H603" s="637">
        <v>1756.7293091204515</v>
      </c>
      <c r="I603" s="637">
        <v>2022.8869140394149</v>
      </c>
      <c r="J603" s="637">
        <v>2011.6185878639849</v>
      </c>
      <c r="K603" s="637">
        <v>2000.3502616885535</v>
      </c>
      <c r="L603" s="637">
        <v>1989.081935513123</v>
      </c>
      <c r="M603" s="619">
        <v>1977.8136093376927</v>
      </c>
      <c r="N603" s="3"/>
      <c r="O603" s="3"/>
      <c r="P603" s="3"/>
      <c r="Q603" s="3"/>
      <c r="R603" s="3"/>
      <c r="S603" s="3"/>
      <c r="T603" s="3"/>
      <c r="U603" s="3"/>
      <c r="V603" s="3"/>
      <c r="W603" s="3"/>
      <c r="X603" s="3"/>
      <c r="Y603" s="3"/>
      <c r="Z603" s="3"/>
    </row>
    <row r="604" spans="1:26" s="159" customFormat="1" ht="12.75" x14ac:dyDescent="0.2">
      <c r="A604" s="122"/>
      <c r="B604" s="122"/>
      <c r="C604" s="122"/>
      <c r="D604" s="122"/>
      <c r="E604" s="122"/>
      <c r="F604" s="122"/>
      <c r="G604" s="122"/>
      <c r="H604" s="122"/>
      <c r="I604" s="122"/>
      <c r="J604" s="122"/>
      <c r="K604" s="122"/>
      <c r="L604" s="122"/>
      <c r="M604" s="122"/>
      <c r="N604" s="122"/>
      <c r="O604" s="122"/>
      <c r="P604" s="122"/>
      <c r="Q604" s="122"/>
      <c r="R604" s="122"/>
      <c r="S604" s="122"/>
      <c r="T604" s="173"/>
      <c r="U604" s="173"/>
      <c r="V604" s="173"/>
      <c r="W604" s="173"/>
      <c r="X604" s="173"/>
      <c r="Y604" s="173"/>
      <c r="Z604" s="173"/>
    </row>
    <row r="605" spans="1:26" ht="12.75" x14ac:dyDescent="0.2">
      <c r="A605" s="122"/>
      <c r="B605" s="122"/>
      <c r="C605" s="122"/>
      <c r="D605" s="122"/>
      <c r="E605" s="122"/>
      <c r="F605" s="122"/>
      <c r="G605" s="122"/>
      <c r="H605" s="122"/>
      <c r="I605" s="122"/>
      <c r="J605" s="122"/>
      <c r="K605" s="122"/>
      <c r="L605" s="122"/>
      <c r="M605" s="122"/>
      <c r="N605" s="122"/>
      <c r="O605" s="122"/>
      <c r="P605" s="122"/>
      <c r="Q605" s="122"/>
      <c r="R605" s="122"/>
      <c r="S605" s="122"/>
      <c r="T605" s="122"/>
      <c r="U605" s="122"/>
      <c r="V605" s="122"/>
      <c r="W605" s="122"/>
      <c r="X605" s="122"/>
      <c r="Y605" s="122"/>
      <c r="Z605" s="122"/>
    </row>
    <row r="606" spans="1:26" ht="12.75" x14ac:dyDescent="0.2">
      <c r="A606" s="122"/>
      <c r="B606" s="122"/>
      <c r="C606" s="122"/>
      <c r="D606" s="122"/>
      <c r="E606" s="122"/>
      <c r="F606" s="122"/>
      <c r="G606" s="122"/>
      <c r="H606" s="122"/>
      <c r="I606" s="122"/>
      <c r="J606" s="122"/>
      <c r="K606" s="122"/>
      <c r="L606" s="122"/>
      <c r="M606" s="122"/>
      <c r="N606" s="122"/>
      <c r="O606" s="122"/>
      <c r="P606" s="122"/>
      <c r="Q606" s="122"/>
      <c r="R606" s="122"/>
      <c r="S606" s="122"/>
      <c r="T606" s="122"/>
      <c r="U606" s="122"/>
      <c r="V606" s="122"/>
      <c r="W606" s="122"/>
      <c r="X606" s="122"/>
      <c r="Y606" s="122"/>
      <c r="Z606" s="122"/>
    </row>
    <row r="607" spans="1:26" ht="12.75" x14ac:dyDescent="0.2">
      <c r="A607" s="122"/>
      <c r="B607" s="122"/>
      <c r="C607" s="122"/>
      <c r="D607" s="122"/>
      <c r="E607" s="122"/>
      <c r="F607" s="122"/>
      <c r="G607" s="122"/>
      <c r="H607" s="122"/>
      <c r="I607" s="122"/>
      <c r="J607" s="122"/>
      <c r="K607" s="122"/>
      <c r="L607" s="122"/>
      <c r="M607" s="122"/>
      <c r="N607" s="122"/>
      <c r="O607" s="122"/>
      <c r="P607" s="122"/>
      <c r="Q607" s="122"/>
      <c r="R607" s="122"/>
      <c r="S607" s="122"/>
      <c r="T607" s="122"/>
      <c r="U607" s="122"/>
      <c r="V607" s="122"/>
      <c r="W607" s="122"/>
      <c r="X607" s="122"/>
      <c r="Y607" s="122"/>
      <c r="Z607" s="122"/>
    </row>
    <row r="608" spans="1:26" ht="12.75" x14ac:dyDescent="0.2">
      <c r="A608" s="122"/>
      <c r="B608" s="122"/>
      <c r="C608" s="122"/>
      <c r="D608" s="122"/>
      <c r="E608" s="122"/>
      <c r="F608" s="122"/>
      <c r="G608" s="122"/>
      <c r="H608" s="122"/>
      <c r="I608" s="122"/>
      <c r="J608" s="122"/>
      <c r="K608" s="122"/>
      <c r="L608" s="122"/>
      <c r="M608" s="122"/>
      <c r="N608" s="122"/>
      <c r="O608" s="122"/>
      <c r="P608" s="122"/>
      <c r="Q608" s="122"/>
      <c r="R608" s="122"/>
      <c r="S608" s="122"/>
      <c r="T608" s="122"/>
      <c r="U608" s="122"/>
      <c r="V608" s="122"/>
      <c r="W608" s="122"/>
      <c r="X608" s="122"/>
      <c r="Y608" s="122"/>
      <c r="Z608" s="122"/>
    </row>
    <row r="609" spans="1:26" ht="12.75" x14ac:dyDescent="0.2">
      <c r="A609" s="122"/>
      <c r="B609" s="122"/>
      <c r="C609" s="122"/>
      <c r="D609" s="122"/>
      <c r="E609" s="122"/>
      <c r="F609" s="122"/>
      <c r="G609" s="122"/>
      <c r="H609" s="122"/>
      <c r="I609" s="122"/>
      <c r="J609" s="122"/>
      <c r="K609" s="122"/>
      <c r="L609" s="122"/>
      <c r="M609" s="122"/>
      <c r="N609" s="122"/>
      <c r="O609" s="122"/>
      <c r="P609" s="122"/>
      <c r="Q609" s="122"/>
      <c r="R609" s="122"/>
      <c r="S609" s="122"/>
      <c r="T609" s="122"/>
      <c r="U609" s="122"/>
      <c r="V609" s="122"/>
      <c r="W609" s="122"/>
      <c r="X609" s="122"/>
      <c r="Y609" s="122"/>
      <c r="Z609" s="122"/>
    </row>
    <row r="610" spans="1:26" ht="12.75" x14ac:dyDescent="0.2">
      <c r="A610" s="122"/>
      <c r="B610" s="122"/>
      <c r="C610" s="122"/>
      <c r="D610" s="122"/>
      <c r="E610" s="122"/>
      <c r="F610" s="122"/>
      <c r="G610" s="122"/>
      <c r="H610" s="122"/>
      <c r="I610" s="122"/>
      <c r="J610" s="122"/>
      <c r="K610" s="122"/>
      <c r="L610" s="122"/>
      <c r="M610" s="122"/>
      <c r="N610" s="122"/>
      <c r="O610" s="122"/>
      <c r="P610" s="122"/>
      <c r="Q610" s="122"/>
      <c r="R610" s="122"/>
      <c r="S610" s="122"/>
      <c r="T610" s="122"/>
      <c r="U610" s="122"/>
      <c r="V610" s="122"/>
      <c r="W610" s="122"/>
      <c r="X610" s="122"/>
      <c r="Y610" s="122"/>
      <c r="Z610" s="122"/>
    </row>
    <row r="611" spans="1:26" ht="12.75" x14ac:dyDescent="0.2">
      <c r="A611" s="122"/>
      <c r="B611" s="122"/>
      <c r="C611" s="122"/>
      <c r="D611" s="122"/>
      <c r="E611" s="122"/>
      <c r="F611" s="122"/>
      <c r="G611" s="122"/>
      <c r="H611" s="122"/>
      <c r="I611" s="122"/>
      <c r="J611" s="122"/>
      <c r="K611" s="122"/>
      <c r="L611" s="122"/>
      <c r="M611" s="122"/>
      <c r="N611" s="122"/>
      <c r="O611" s="122"/>
      <c r="P611" s="122"/>
      <c r="Q611" s="122"/>
      <c r="R611" s="122"/>
      <c r="S611" s="122"/>
      <c r="T611" s="122"/>
      <c r="U611" s="122"/>
      <c r="V611" s="122"/>
      <c r="W611" s="122"/>
      <c r="X611" s="122"/>
      <c r="Y611" s="122"/>
      <c r="Z611" s="122"/>
    </row>
    <row r="612" spans="1:26" ht="12.75" x14ac:dyDescent="0.2">
      <c r="A612" s="122"/>
      <c r="B612" s="122"/>
      <c r="C612" s="122"/>
      <c r="D612" s="122"/>
      <c r="E612" s="122"/>
      <c r="F612" s="122"/>
      <c r="G612" s="122"/>
      <c r="H612" s="122"/>
      <c r="I612" s="122"/>
      <c r="J612" s="122"/>
      <c r="K612" s="122"/>
      <c r="L612" s="122"/>
      <c r="M612" s="122"/>
      <c r="N612" s="122"/>
      <c r="O612" s="122"/>
      <c r="P612" s="122"/>
      <c r="Q612" s="122"/>
      <c r="R612" s="122"/>
      <c r="S612" s="122"/>
      <c r="T612" s="122"/>
      <c r="U612" s="122"/>
      <c r="V612" s="122"/>
      <c r="W612" s="122"/>
      <c r="X612" s="122"/>
      <c r="Y612" s="122"/>
      <c r="Z612" s="122"/>
    </row>
    <row r="613" spans="1:26" ht="12.75" x14ac:dyDescent="0.2">
      <c r="A613" s="122"/>
      <c r="B613" s="122"/>
      <c r="C613" s="122"/>
      <c r="D613" s="122"/>
      <c r="E613" s="122"/>
      <c r="F613" s="122"/>
      <c r="G613" s="122"/>
      <c r="H613" s="122"/>
      <c r="I613" s="122"/>
      <c r="J613" s="122"/>
      <c r="K613" s="122"/>
      <c r="L613" s="122"/>
      <c r="M613" s="122"/>
      <c r="N613" s="122"/>
      <c r="O613" s="122"/>
      <c r="P613" s="122"/>
      <c r="Q613" s="122"/>
      <c r="R613" s="122"/>
      <c r="S613" s="122"/>
      <c r="T613" s="122"/>
      <c r="U613" s="122"/>
      <c r="V613" s="122"/>
      <c r="W613" s="122"/>
      <c r="X613" s="122"/>
      <c r="Y613" s="122"/>
      <c r="Z613" s="122"/>
    </row>
    <row r="614" spans="1:26" ht="12.75" x14ac:dyDescent="0.2">
      <c r="A614" s="122"/>
      <c r="B614" s="122"/>
      <c r="C614" s="122"/>
      <c r="D614" s="122"/>
      <c r="E614" s="122"/>
      <c r="F614" s="122"/>
      <c r="G614" s="122"/>
      <c r="H614" s="122"/>
      <c r="I614" s="122"/>
      <c r="J614" s="122"/>
      <c r="K614" s="122"/>
      <c r="L614" s="122"/>
      <c r="M614" s="122"/>
      <c r="N614" s="122"/>
      <c r="O614" s="122"/>
      <c r="P614" s="122"/>
      <c r="Q614" s="122"/>
      <c r="R614" s="122"/>
      <c r="S614" s="122"/>
      <c r="T614" s="122"/>
      <c r="U614" s="122"/>
      <c r="V614" s="122"/>
      <c r="W614" s="122"/>
      <c r="X614" s="122"/>
      <c r="Y614" s="122"/>
      <c r="Z614" s="122"/>
    </row>
    <row r="615" spans="1:26" ht="12.75" x14ac:dyDescent="0.2">
      <c r="A615" s="122"/>
      <c r="B615" s="122"/>
      <c r="C615" s="122"/>
      <c r="D615" s="122"/>
      <c r="E615" s="122"/>
      <c r="F615" s="122"/>
      <c r="G615" s="122"/>
      <c r="H615" s="122"/>
      <c r="I615" s="122"/>
      <c r="J615" s="122"/>
      <c r="K615" s="122"/>
      <c r="L615" s="122"/>
      <c r="M615" s="122"/>
      <c r="N615" s="122"/>
      <c r="O615" s="122"/>
      <c r="P615" s="122"/>
      <c r="Q615" s="122"/>
      <c r="R615" s="122"/>
      <c r="S615" s="122"/>
      <c r="T615" s="122"/>
      <c r="U615" s="122"/>
      <c r="V615" s="122"/>
      <c r="W615" s="122"/>
      <c r="X615" s="122"/>
      <c r="Y615" s="122"/>
      <c r="Z615" s="122"/>
    </row>
    <row r="616" spans="1:26" ht="12.75" x14ac:dyDescent="0.2">
      <c r="A616" s="122"/>
      <c r="B616" s="122"/>
      <c r="C616" s="122"/>
      <c r="D616" s="122"/>
      <c r="E616" s="122"/>
      <c r="F616" s="122"/>
      <c r="G616" s="122"/>
      <c r="H616" s="122"/>
      <c r="I616" s="122"/>
      <c r="J616" s="122"/>
      <c r="K616" s="122"/>
      <c r="L616" s="122"/>
      <c r="M616" s="122"/>
      <c r="N616" s="122"/>
      <c r="O616" s="122"/>
      <c r="P616" s="122"/>
      <c r="Q616" s="122"/>
      <c r="R616" s="122"/>
      <c r="S616" s="122"/>
      <c r="T616" s="122"/>
      <c r="U616" s="122"/>
      <c r="V616" s="122"/>
      <c r="W616" s="122"/>
      <c r="X616" s="122"/>
      <c r="Y616" s="122"/>
      <c r="Z616" s="122"/>
    </row>
    <row r="617" spans="1:26" ht="12.75" x14ac:dyDescent="0.2">
      <c r="A617" s="122"/>
      <c r="B617" s="122"/>
      <c r="C617" s="122"/>
      <c r="D617" s="122"/>
      <c r="E617" s="122"/>
      <c r="F617" s="122"/>
      <c r="G617" s="122"/>
      <c r="H617" s="122"/>
      <c r="I617" s="122"/>
      <c r="J617" s="122"/>
      <c r="K617" s="122"/>
      <c r="L617" s="122"/>
      <c r="M617" s="122"/>
      <c r="N617" s="122"/>
      <c r="O617" s="122"/>
      <c r="P617" s="122"/>
      <c r="Q617" s="122"/>
      <c r="R617" s="122"/>
      <c r="S617" s="122"/>
      <c r="T617" s="122"/>
      <c r="U617" s="122"/>
      <c r="V617" s="122"/>
      <c r="W617" s="122"/>
      <c r="X617" s="122"/>
      <c r="Y617" s="122"/>
      <c r="Z617" s="122"/>
    </row>
    <row r="618" spans="1:26" ht="12.75" x14ac:dyDescent="0.2">
      <c r="A618" s="122"/>
      <c r="B618" s="122"/>
      <c r="C618" s="122"/>
      <c r="D618" s="122"/>
      <c r="E618" s="122"/>
      <c r="F618" s="122"/>
      <c r="G618" s="122"/>
      <c r="H618" s="122"/>
      <c r="I618" s="122"/>
      <c r="J618" s="122"/>
      <c r="K618" s="122"/>
      <c r="L618" s="122"/>
      <c r="M618" s="122"/>
      <c r="N618" s="122"/>
      <c r="O618" s="122"/>
      <c r="P618" s="122"/>
      <c r="Q618" s="122"/>
      <c r="R618" s="122"/>
      <c r="S618" s="122"/>
      <c r="T618" s="122"/>
      <c r="U618" s="122"/>
      <c r="V618" s="122"/>
      <c r="W618" s="122"/>
      <c r="X618" s="122"/>
      <c r="Y618" s="122"/>
      <c r="Z618" s="122"/>
    </row>
    <row r="619" spans="1:26" ht="12.75" x14ac:dyDescent="0.2">
      <c r="A619" s="122"/>
      <c r="B619" s="122"/>
      <c r="C619" s="122"/>
      <c r="D619" s="122"/>
      <c r="E619" s="122"/>
      <c r="F619" s="122"/>
      <c r="G619" s="122"/>
      <c r="H619" s="122"/>
      <c r="I619" s="122"/>
      <c r="J619" s="122"/>
      <c r="K619" s="122"/>
      <c r="L619" s="122"/>
      <c r="M619" s="122"/>
      <c r="N619" s="122"/>
      <c r="O619" s="122"/>
      <c r="P619" s="122"/>
      <c r="Q619" s="122"/>
      <c r="R619" s="122"/>
      <c r="S619" s="122"/>
      <c r="T619" s="122"/>
      <c r="U619" s="122"/>
      <c r="V619" s="122"/>
      <c r="W619" s="122"/>
      <c r="X619" s="122"/>
      <c r="Y619" s="122"/>
      <c r="Z619" s="122"/>
    </row>
    <row r="620" spans="1:26" ht="12.75" x14ac:dyDescent="0.2">
      <c r="A620" s="122"/>
      <c r="B620" s="122"/>
      <c r="C620" s="122"/>
      <c r="D620" s="122"/>
      <c r="E620" s="122"/>
      <c r="F620" s="122"/>
      <c r="G620" s="122"/>
      <c r="H620" s="122"/>
      <c r="I620" s="122"/>
      <c r="J620" s="122"/>
      <c r="K620" s="122"/>
      <c r="L620" s="122"/>
      <c r="M620" s="122"/>
      <c r="N620" s="122"/>
      <c r="O620" s="122"/>
      <c r="P620" s="122"/>
      <c r="Q620" s="122"/>
      <c r="R620" s="122"/>
      <c r="S620" s="122"/>
      <c r="T620" s="122"/>
      <c r="U620" s="122"/>
      <c r="V620" s="122"/>
      <c r="W620" s="122"/>
      <c r="X620" s="122"/>
      <c r="Y620" s="122"/>
      <c r="Z620" s="122"/>
    </row>
    <row r="621" spans="1:26" ht="12.75" x14ac:dyDescent="0.2">
      <c r="A621" s="122"/>
      <c r="B621" s="122"/>
      <c r="C621" s="122"/>
      <c r="D621" s="122"/>
      <c r="E621" s="122"/>
      <c r="F621" s="122"/>
      <c r="G621" s="122"/>
      <c r="H621" s="122"/>
      <c r="I621" s="122"/>
      <c r="J621" s="122"/>
      <c r="K621" s="122"/>
      <c r="L621" s="122"/>
      <c r="M621" s="122"/>
      <c r="N621" s="122"/>
      <c r="O621" s="122"/>
      <c r="P621" s="122"/>
      <c r="Q621" s="122"/>
      <c r="R621" s="122"/>
      <c r="S621" s="122"/>
      <c r="T621" s="122"/>
      <c r="U621" s="122"/>
      <c r="V621" s="122"/>
      <c r="W621" s="122"/>
      <c r="X621" s="122"/>
      <c r="Y621" s="122"/>
      <c r="Z621" s="122"/>
    </row>
    <row r="622" spans="1:26" ht="12.75" x14ac:dyDescent="0.2">
      <c r="A622" s="122"/>
      <c r="B622" s="122"/>
      <c r="C622" s="122"/>
      <c r="D622" s="122"/>
      <c r="E622" s="122"/>
      <c r="F622" s="122"/>
      <c r="G622" s="122"/>
      <c r="H622" s="122"/>
      <c r="I622" s="122"/>
      <c r="J622" s="122"/>
      <c r="K622" s="122"/>
      <c r="L622" s="122"/>
      <c r="M622" s="122"/>
      <c r="N622" s="122"/>
      <c r="O622" s="122"/>
      <c r="P622" s="122"/>
      <c r="Q622" s="122"/>
      <c r="R622" s="122"/>
      <c r="S622" s="122"/>
      <c r="T622" s="122"/>
      <c r="U622" s="122"/>
      <c r="V622" s="122"/>
      <c r="W622" s="122"/>
      <c r="X622" s="122"/>
      <c r="Y622" s="122"/>
      <c r="Z622" s="122"/>
    </row>
    <row r="623" spans="1:26" ht="12.75" x14ac:dyDescent="0.2">
      <c r="A623" s="122"/>
      <c r="B623" s="122"/>
      <c r="C623" s="122"/>
      <c r="D623" s="122"/>
      <c r="E623" s="122"/>
      <c r="F623" s="122"/>
      <c r="G623" s="122"/>
      <c r="H623" s="122"/>
      <c r="I623" s="122"/>
      <c r="J623" s="122"/>
      <c r="K623" s="122"/>
      <c r="L623" s="122"/>
      <c r="M623" s="122"/>
      <c r="N623" s="122"/>
      <c r="O623" s="122"/>
      <c r="P623" s="122"/>
      <c r="Q623" s="122"/>
      <c r="R623" s="122"/>
      <c r="S623" s="122"/>
      <c r="T623" s="122"/>
      <c r="U623" s="122"/>
      <c r="V623" s="122"/>
      <c r="W623" s="122"/>
      <c r="X623" s="122"/>
      <c r="Y623" s="122"/>
      <c r="Z623" s="122"/>
    </row>
    <row r="624" spans="1:26" ht="12.75" x14ac:dyDescent="0.2">
      <c r="A624" s="122"/>
      <c r="B624" s="122"/>
      <c r="C624" s="122"/>
      <c r="D624" s="122"/>
      <c r="E624" s="122"/>
      <c r="F624" s="122"/>
      <c r="G624" s="122"/>
      <c r="H624" s="122"/>
      <c r="I624" s="122"/>
      <c r="J624" s="122"/>
      <c r="K624" s="122"/>
      <c r="L624" s="122"/>
      <c r="M624" s="122"/>
      <c r="N624" s="122"/>
      <c r="O624" s="122"/>
      <c r="P624" s="122"/>
      <c r="Q624" s="122"/>
      <c r="R624" s="122"/>
      <c r="S624" s="122"/>
      <c r="T624" s="122"/>
      <c r="U624" s="122"/>
      <c r="V624" s="122"/>
      <c r="W624" s="122"/>
      <c r="X624" s="122"/>
      <c r="Y624" s="122"/>
      <c r="Z624" s="122"/>
    </row>
    <row r="625" spans="1:26" ht="12.75" x14ac:dyDescent="0.2">
      <c r="A625" s="122"/>
      <c r="B625" s="122"/>
      <c r="C625" s="122"/>
      <c r="D625" s="122"/>
      <c r="E625" s="122"/>
      <c r="F625" s="122"/>
      <c r="G625" s="122"/>
      <c r="H625" s="122"/>
      <c r="I625" s="122"/>
      <c r="J625" s="122"/>
      <c r="K625" s="122"/>
      <c r="L625" s="122"/>
      <c r="M625" s="122"/>
      <c r="N625" s="122"/>
      <c r="O625" s="122"/>
      <c r="P625" s="122"/>
      <c r="Q625" s="122"/>
      <c r="R625" s="122"/>
      <c r="S625" s="122"/>
      <c r="T625" s="122"/>
      <c r="U625" s="122"/>
      <c r="V625" s="122"/>
      <c r="W625" s="122"/>
      <c r="X625" s="122"/>
      <c r="Y625" s="122"/>
      <c r="Z625" s="122"/>
    </row>
    <row r="626" spans="1:26" ht="12.75" x14ac:dyDescent="0.2">
      <c r="A626" s="122"/>
      <c r="B626" s="122"/>
      <c r="C626" s="122"/>
      <c r="D626" s="122"/>
      <c r="E626" s="122"/>
      <c r="F626" s="122"/>
      <c r="G626" s="122"/>
      <c r="H626" s="122"/>
      <c r="I626" s="122"/>
      <c r="J626" s="122"/>
      <c r="K626" s="122"/>
      <c r="L626" s="122"/>
      <c r="M626" s="122"/>
      <c r="N626" s="122"/>
      <c r="O626" s="122"/>
      <c r="P626" s="122"/>
      <c r="Q626" s="122"/>
      <c r="R626" s="122"/>
      <c r="S626" s="122"/>
      <c r="T626" s="122"/>
      <c r="U626" s="122"/>
      <c r="V626" s="122"/>
      <c r="W626" s="122"/>
      <c r="X626" s="122"/>
      <c r="Y626" s="122"/>
      <c r="Z626" s="122"/>
    </row>
    <row r="627" spans="1:26" ht="12.75" x14ac:dyDescent="0.2">
      <c r="A627" s="122"/>
      <c r="B627" s="122"/>
      <c r="C627" s="122"/>
      <c r="D627" s="122"/>
      <c r="E627" s="122"/>
      <c r="F627" s="122"/>
      <c r="G627" s="122"/>
      <c r="H627" s="122"/>
      <c r="I627" s="122"/>
      <c r="J627" s="122"/>
      <c r="K627" s="122"/>
      <c r="L627" s="122"/>
      <c r="M627" s="122"/>
      <c r="N627" s="122"/>
      <c r="O627" s="122"/>
      <c r="P627" s="122"/>
      <c r="Q627" s="122"/>
      <c r="R627" s="122"/>
      <c r="S627" s="122"/>
      <c r="T627" s="122"/>
      <c r="U627" s="122"/>
      <c r="V627" s="122"/>
      <c r="W627" s="122"/>
      <c r="X627" s="122"/>
      <c r="Y627" s="122"/>
      <c r="Z627" s="122"/>
    </row>
    <row r="628" spans="1:26" ht="12.75" x14ac:dyDescent="0.2">
      <c r="A628" s="122"/>
      <c r="B628" s="122"/>
      <c r="C628" s="122"/>
      <c r="D628" s="122"/>
      <c r="E628" s="122"/>
      <c r="F628" s="122"/>
      <c r="G628" s="122"/>
      <c r="H628" s="122"/>
      <c r="I628" s="122"/>
      <c r="J628" s="122"/>
      <c r="K628" s="122"/>
      <c r="L628" s="122"/>
      <c r="M628" s="122"/>
      <c r="N628" s="122"/>
      <c r="O628" s="122"/>
      <c r="P628" s="122"/>
      <c r="Q628" s="122"/>
      <c r="R628" s="122"/>
      <c r="S628" s="122"/>
      <c r="T628" s="122"/>
      <c r="U628" s="122"/>
      <c r="V628" s="122"/>
      <c r="W628" s="122"/>
      <c r="X628" s="122"/>
      <c r="Y628" s="122"/>
      <c r="Z628" s="122"/>
    </row>
    <row r="629" spans="1:26" ht="12.75" x14ac:dyDescent="0.2">
      <c r="A629" s="122"/>
      <c r="B629" s="122"/>
      <c r="C629" s="122"/>
      <c r="D629" s="122"/>
      <c r="E629" s="122"/>
      <c r="F629" s="122"/>
      <c r="G629" s="122"/>
      <c r="H629" s="122"/>
      <c r="I629" s="122"/>
      <c r="J629" s="122"/>
      <c r="K629" s="122"/>
      <c r="L629" s="122"/>
      <c r="M629" s="122"/>
      <c r="N629" s="122"/>
      <c r="O629" s="122"/>
      <c r="P629" s="122"/>
      <c r="Q629" s="122"/>
      <c r="R629" s="122"/>
      <c r="S629" s="122"/>
      <c r="T629" s="122"/>
      <c r="U629" s="122"/>
      <c r="V629" s="122"/>
      <c r="W629" s="122"/>
      <c r="X629" s="122"/>
      <c r="Y629" s="122"/>
      <c r="Z629" s="122"/>
    </row>
    <row r="630" spans="1:26" ht="12.75" x14ac:dyDescent="0.2">
      <c r="A630" s="122"/>
      <c r="B630" s="122"/>
      <c r="C630" s="122"/>
      <c r="D630" s="122"/>
      <c r="E630" s="122"/>
      <c r="F630" s="122"/>
      <c r="G630" s="122"/>
      <c r="H630" s="122"/>
      <c r="I630" s="122"/>
      <c r="J630" s="122"/>
      <c r="K630" s="122"/>
      <c r="L630" s="122"/>
      <c r="M630" s="122"/>
      <c r="N630" s="122"/>
      <c r="O630" s="122"/>
      <c r="P630" s="122"/>
      <c r="Q630" s="122"/>
      <c r="R630" s="122"/>
      <c r="S630" s="122"/>
      <c r="T630" s="122"/>
      <c r="U630" s="122"/>
      <c r="V630" s="122"/>
      <c r="W630" s="122"/>
      <c r="X630" s="122"/>
      <c r="Y630" s="122"/>
      <c r="Z630" s="122"/>
    </row>
    <row r="631" spans="1:26" ht="12.75" x14ac:dyDescent="0.2">
      <c r="A631" s="122"/>
      <c r="B631" s="122"/>
      <c r="C631" s="122"/>
      <c r="D631" s="122"/>
      <c r="E631" s="122"/>
      <c r="F631" s="122"/>
      <c r="G631" s="122"/>
      <c r="H631" s="122"/>
      <c r="I631" s="122"/>
      <c r="J631" s="122"/>
      <c r="K631" s="122"/>
      <c r="L631" s="122"/>
      <c r="M631" s="122"/>
      <c r="N631" s="122"/>
      <c r="O631" s="122"/>
      <c r="P631" s="122"/>
      <c r="Q631" s="122"/>
      <c r="R631" s="122"/>
      <c r="S631" s="122"/>
      <c r="T631" s="122"/>
      <c r="U631" s="122"/>
      <c r="V631" s="122"/>
      <c r="W631" s="122"/>
      <c r="X631" s="122"/>
      <c r="Y631" s="122"/>
      <c r="Z631" s="122"/>
    </row>
    <row r="632" spans="1:26" ht="12.75" x14ac:dyDescent="0.2">
      <c r="A632" s="122"/>
      <c r="B632" s="122"/>
      <c r="C632" s="122"/>
      <c r="D632" s="122"/>
      <c r="E632" s="122"/>
      <c r="F632" s="122"/>
      <c r="G632" s="122"/>
      <c r="H632" s="122"/>
      <c r="I632" s="122"/>
      <c r="J632" s="122"/>
      <c r="K632" s="122"/>
      <c r="L632" s="122"/>
      <c r="M632" s="122"/>
      <c r="N632" s="122"/>
      <c r="O632" s="122"/>
      <c r="P632" s="122"/>
      <c r="Q632" s="122"/>
      <c r="R632" s="122"/>
      <c r="S632" s="122"/>
      <c r="T632" s="122"/>
      <c r="U632" s="122"/>
      <c r="V632" s="122"/>
      <c r="W632" s="122"/>
      <c r="X632" s="122"/>
      <c r="Y632" s="122"/>
      <c r="Z632" s="122"/>
    </row>
    <row r="633" spans="1:26" ht="12.75" x14ac:dyDescent="0.2">
      <c r="A633" s="122"/>
      <c r="B633" s="122"/>
      <c r="C633" s="122"/>
      <c r="D633" s="122"/>
      <c r="E633" s="122"/>
      <c r="F633" s="122"/>
      <c r="G633" s="122"/>
      <c r="H633" s="122"/>
      <c r="I633" s="122"/>
      <c r="J633" s="122"/>
      <c r="K633" s="122"/>
      <c r="L633" s="122"/>
      <c r="M633" s="122"/>
      <c r="N633" s="122"/>
      <c r="O633" s="122"/>
      <c r="P633" s="122"/>
      <c r="Q633" s="122"/>
      <c r="R633" s="122"/>
      <c r="S633" s="122"/>
      <c r="T633" s="122"/>
      <c r="U633" s="122"/>
      <c r="V633" s="122"/>
      <c r="W633" s="122"/>
      <c r="X633" s="122"/>
      <c r="Y633" s="122"/>
      <c r="Z633" s="122"/>
    </row>
    <row r="634" spans="1:26" ht="12.75" x14ac:dyDescent="0.2">
      <c r="A634" s="122"/>
      <c r="B634" s="122"/>
      <c r="C634" s="122"/>
      <c r="D634" s="122"/>
      <c r="E634" s="122"/>
      <c r="F634" s="122"/>
      <c r="G634" s="122"/>
      <c r="H634" s="122"/>
      <c r="I634" s="122"/>
      <c r="J634" s="122"/>
      <c r="K634" s="122"/>
      <c r="L634" s="122"/>
      <c r="M634" s="122"/>
      <c r="N634" s="122"/>
      <c r="O634" s="122"/>
      <c r="P634" s="122"/>
      <c r="Q634" s="122"/>
      <c r="R634" s="122"/>
      <c r="S634" s="122"/>
      <c r="T634" s="122"/>
      <c r="U634" s="122"/>
      <c r="V634" s="122"/>
      <c r="W634" s="122"/>
      <c r="X634" s="122"/>
      <c r="Y634" s="122"/>
      <c r="Z634" s="122"/>
    </row>
    <row r="635" spans="1:26" ht="12.75" x14ac:dyDescent="0.2">
      <c r="A635" s="122"/>
      <c r="B635" s="122"/>
      <c r="C635" s="122"/>
      <c r="D635" s="122"/>
      <c r="E635" s="122"/>
      <c r="F635" s="122"/>
      <c r="G635" s="122"/>
      <c r="H635" s="122"/>
      <c r="I635" s="122"/>
      <c r="J635" s="122"/>
      <c r="K635" s="122"/>
      <c r="L635" s="122"/>
      <c r="M635" s="122"/>
      <c r="N635" s="122"/>
      <c r="O635" s="122"/>
      <c r="P635" s="122"/>
      <c r="Q635" s="122"/>
      <c r="R635" s="122"/>
      <c r="S635" s="122"/>
      <c r="T635" s="122"/>
      <c r="U635" s="122"/>
      <c r="V635" s="122"/>
      <c r="W635" s="122"/>
      <c r="X635" s="122"/>
      <c r="Y635" s="122"/>
      <c r="Z635" s="122"/>
    </row>
    <row r="636" spans="1:26" ht="12.75" x14ac:dyDescent="0.2">
      <c r="A636" s="122"/>
      <c r="B636" s="122"/>
      <c r="C636" s="122"/>
      <c r="D636" s="122"/>
      <c r="E636" s="122"/>
      <c r="F636" s="122"/>
      <c r="G636" s="122"/>
      <c r="H636" s="122"/>
      <c r="I636" s="122"/>
      <c r="J636" s="122"/>
      <c r="K636" s="122"/>
      <c r="L636" s="122"/>
      <c r="M636" s="122"/>
      <c r="N636" s="122"/>
      <c r="O636" s="122"/>
      <c r="P636" s="122"/>
      <c r="Q636" s="122"/>
      <c r="R636" s="122"/>
      <c r="S636" s="122"/>
      <c r="T636" s="122"/>
      <c r="U636" s="122"/>
      <c r="V636" s="122"/>
      <c r="W636" s="122"/>
      <c r="X636" s="122"/>
      <c r="Y636" s="122"/>
      <c r="Z636" s="122"/>
    </row>
    <row r="637" spans="1:26" ht="12.75" x14ac:dyDescent="0.2">
      <c r="A637" s="122"/>
      <c r="B637" s="122"/>
      <c r="C637" s="122"/>
      <c r="D637" s="122"/>
      <c r="E637" s="122"/>
      <c r="F637" s="122"/>
      <c r="G637" s="122"/>
      <c r="H637" s="122"/>
      <c r="I637" s="122"/>
      <c r="J637" s="122"/>
      <c r="K637" s="122"/>
      <c r="L637" s="122"/>
      <c r="M637" s="122"/>
      <c r="N637" s="122"/>
      <c r="O637" s="122"/>
      <c r="P637" s="122"/>
      <c r="Q637" s="122"/>
      <c r="R637" s="122"/>
      <c r="S637" s="122"/>
      <c r="T637" s="122"/>
      <c r="U637" s="122"/>
      <c r="V637" s="122"/>
      <c r="W637" s="122"/>
      <c r="X637" s="122"/>
      <c r="Y637" s="122"/>
      <c r="Z637" s="122"/>
    </row>
    <row r="638" spans="1:26" ht="12.75" x14ac:dyDescent="0.2">
      <c r="A638" s="122"/>
      <c r="B638" s="122"/>
      <c r="C638" s="122"/>
      <c r="D638" s="122"/>
      <c r="E638" s="122"/>
      <c r="F638" s="122"/>
      <c r="G638" s="122"/>
      <c r="H638" s="122"/>
      <c r="I638" s="122"/>
      <c r="J638" s="122"/>
      <c r="K638" s="122"/>
      <c r="L638" s="122"/>
      <c r="M638" s="122"/>
      <c r="N638" s="122"/>
      <c r="O638" s="122"/>
      <c r="P638" s="122"/>
      <c r="Q638" s="122"/>
      <c r="R638" s="122"/>
      <c r="S638" s="122"/>
      <c r="T638" s="122"/>
      <c r="U638" s="122"/>
      <c r="V638" s="122"/>
      <c r="W638" s="122"/>
      <c r="X638" s="122"/>
      <c r="Y638" s="122"/>
      <c r="Z638" s="122"/>
    </row>
    <row r="639" spans="1:26" ht="12.75" x14ac:dyDescent="0.2">
      <c r="A639" s="122"/>
      <c r="B639" s="122"/>
      <c r="C639" s="122"/>
      <c r="D639" s="122"/>
      <c r="E639" s="122"/>
      <c r="F639" s="122"/>
      <c r="G639" s="122"/>
      <c r="H639" s="122"/>
      <c r="I639" s="122"/>
      <c r="J639" s="122"/>
      <c r="K639" s="122"/>
      <c r="L639" s="122"/>
      <c r="M639" s="122"/>
      <c r="N639" s="122"/>
      <c r="O639" s="122"/>
      <c r="P639" s="122"/>
      <c r="Q639" s="122"/>
      <c r="R639" s="122"/>
      <c r="S639" s="122"/>
      <c r="T639" s="122"/>
      <c r="U639" s="122"/>
      <c r="V639" s="122"/>
      <c r="W639" s="122"/>
      <c r="X639" s="122"/>
      <c r="Y639" s="122"/>
      <c r="Z639" s="122"/>
    </row>
    <row r="640" spans="1:26" ht="12.75" x14ac:dyDescent="0.2">
      <c r="A640" s="122"/>
      <c r="B640" s="122"/>
      <c r="C640" s="122"/>
      <c r="D640" s="122"/>
      <c r="E640" s="122"/>
      <c r="F640" s="122"/>
      <c r="G640" s="122"/>
      <c r="H640" s="122"/>
      <c r="I640" s="122"/>
      <c r="J640" s="122"/>
      <c r="K640" s="122"/>
      <c r="L640" s="122"/>
      <c r="M640" s="122"/>
      <c r="N640" s="122"/>
      <c r="O640" s="122"/>
      <c r="P640" s="122"/>
      <c r="Q640" s="122"/>
      <c r="R640" s="122"/>
      <c r="S640" s="122"/>
      <c r="T640" s="122"/>
      <c r="U640" s="122"/>
      <c r="V640" s="122"/>
      <c r="W640" s="122"/>
      <c r="X640" s="122"/>
      <c r="Y640" s="122"/>
      <c r="Z640" s="122"/>
    </row>
    <row r="641" spans="1:26" ht="12.75" x14ac:dyDescent="0.2">
      <c r="A641" s="122"/>
      <c r="B641" s="122"/>
      <c r="C641" s="122"/>
      <c r="D641" s="122"/>
      <c r="E641" s="122"/>
      <c r="F641" s="122"/>
      <c r="G641" s="122"/>
      <c r="H641" s="122"/>
      <c r="I641" s="122"/>
      <c r="J641" s="122"/>
      <c r="K641" s="122"/>
      <c r="L641" s="122"/>
      <c r="M641" s="122"/>
      <c r="N641" s="122"/>
      <c r="O641" s="122"/>
      <c r="P641" s="122"/>
      <c r="Q641" s="122"/>
      <c r="R641" s="122"/>
      <c r="S641" s="122"/>
      <c r="T641" s="122"/>
      <c r="U641" s="122"/>
      <c r="V641" s="122"/>
      <c r="W641" s="122"/>
      <c r="X641" s="122"/>
      <c r="Y641" s="122"/>
      <c r="Z641" s="122"/>
    </row>
    <row r="642" spans="1:26" ht="12.75" x14ac:dyDescent="0.2">
      <c r="A642" s="122"/>
      <c r="B642" s="122"/>
      <c r="C642" s="122"/>
      <c r="D642" s="122"/>
      <c r="E642" s="122"/>
      <c r="F642" s="122"/>
      <c r="G642" s="122"/>
      <c r="H642" s="122"/>
      <c r="I642" s="122"/>
      <c r="J642" s="122"/>
      <c r="K642" s="122"/>
      <c r="L642" s="122"/>
      <c r="M642" s="122"/>
      <c r="N642" s="122"/>
      <c r="O642" s="122"/>
      <c r="P642" s="122"/>
      <c r="Q642" s="122"/>
      <c r="R642" s="122"/>
      <c r="S642" s="122"/>
      <c r="T642" s="122"/>
      <c r="U642" s="122"/>
      <c r="V642" s="122"/>
      <c r="W642" s="122"/>
      <c r="X642" s="122"/>
      <c r="Y642" s="122"/>
      <c r="Z642" s="122"/>
    </row>
    <row r="643" spans="1:26" ht="12.75" x14ac:dyDescent="0.2">
      <c r="A643" s="122"/>
      <c r="B643" s="122"/>
      <c r="C643" s="122"/>
      <c r="D643" s="122"/>
      <c r="E643" s="122"/>
      <c r="F643" s="122"/>
      <c r="G643" s="122"/>
      <c r="H643" s="122"/>
      <c r="I643" s="122"/>
      <c r="J643" s="122"/>
      <c r="K643" s="122"/>
      <c r="L643" s="122"/>
      <c r="M643" s="122"/>
      <c r="N643" s="122"/>
      <c r="O643" s="122"/>
      <c r="P643" s="122"/>
      <c r="Q643" s="122"/>
      <c r="R643" s="122"/>
      <c r="S643" s="122"/>
      <c r="T643" s="122"/>
      <c r="U643" s="122"/>
      <c r="V643" s="122"/>
      <c r="W643" s="122"/>
      <c r="X643" s="122"/>
      <c r="Y643" s="122"/>
      <c r="Z643" s="122"/>
    </row>
    <row r="644" spans="1:26" ht="12.75" x14ac:dyDescent="0.2">
      <c r="A644" s="122"/>
      <c r="B644" s="122"/>
      <c r="C644" s="122"/>
      <c r="D644" s="122"/>
      <c r="E644" s="122"/>
      <c r="F644" s="122"/>
      <c r="G644" s="122"/>
      <c r="H644" s="122"/>
      <c r="I644" s="122"/>
      <c r="J644" s="122"/>
      <c r="K644" s="122"/>
      <c r="L644" s="122"/>
      <c r="M644" s="122"/>
      <c r="N644" s="122"/>
      <c r="O644" s="122"/>
      <c r="P644" s="122"/>
      <c r="Q644" s="122"/>
      <c r="R644" s="122"/>
      <c r="S644" s="122"/>
      <c r="T644" s="122"/>
      <c r="U644" s="122"/>
      <c r="V644" s="122"/>
      <c r="W644" s="122"/>
      <c r="X644" s="122"/>
      <c r="Y644" s="122"/>
      <c r="Z644" s="122"/>
    </row>
    <row r="645" spans="1:26" ht="12.75" x14ac:dyDescent="0.2">
      <c r="A645" s="122"/>
      <c r="B645" s="122"/>
      <c r="C645" s="122"/>
      <c r="D645" s="122"/>
      <c r="E645" s="122"/>
      <c r="F645" s="122"/>
      <c r="G645" s="122"/>
      <c r="H645" s="122"/>
      <c r="I645" s="122"/>
      <c r="J645" s="122"/>
      <c r="K645" s="122"/>
      <c r="L645" s="122"/>
      <c r="M645" s="122"/>
      <c r="N645" s="122"/>
      <c r="O645" s="122"/>
      <c r="P645" s="122"/>
      <c r="Q645" s="122"/>
      <c r="R645" s="122"/>
      <c r="S645" s="122"/>
      <c r="T645" s="122"/>
      <c r="U645" s="122"/>
      <c r="V645" s="122"/>
      <c r="W645" s="122"/>
      <c r="X645" s="122"/>
      <c r="Y645" s="122"/>
      <c r="Z645" s="122"/>
    </row>
    <row r="646" spans="1:26" ht="12.75" x14ac:dyDescent="0.2">
      <c r="A646" s="122"/>
      <c r="B646" s="122"/>
      <c r="C646" s="122"/>
      <c r="D646" s="122"/>
      <c r="E646" s="122"/>
      <c r="F646" s="122"/>
      <c r="G646" s="122"/>
      <c r="H646" s="122"/>
      <c r="I646" s="122"/>
      <c r="J646" s="122"/>
      <c r="K646" s="122"/>
      <c r="L646" s="122"/>
      <c r="M646" s="122"/>
      <c r="N646" s="122"/>
      <c r="O646" s="122"/>
      <c r="P646" s="122"/>
      <c r="Q646" s="122"/>
      <c r="R646" s="122"/>
      <c r="S646" s="122"/>
      <c r="T646" s="122"/>
      <c r="U646" s="122"/>
      <c r="V646" s="122"/>
      <c r="W646" s="122"/>
      <c r="X646" s="122"/>
      <c r="Y646" s="122"/>
      <c r="Z646" s="122"/>
    </row>
    <row r="647" spans="1:26" ht="12.75" x14ac:dyDescent="0.2">
      <c r="A647" s="122"/>
      <c r="B647" s="122"/>
      <c r="C647" s="122"/>
      <c r="D647" s="122"/>
      <c r="E647" s="122"/>
      <c r="F647" s="122"/>
      <c r="G647" s="122"/>
      <c r="H647" s="122"/>
      <c r="I647" s="122"/>
      <c r="J647" s="122"/>
      <c r="K647" s="122"/>
      <c r="L647" s="122"/>
      <c r="M647" s="122"/>
      <c r="N647" s="122"/>
      <c r="O647" s="122"/>
      <c r="P647" s="122"/>
      <c r="Q647" s="122"/>
      <c r="R647" s="122"/>
      <c r="S647" s="122"/>
      <c r="T647" s="122"/>
      <c r="U647" s="122"/>
      <c r="V647" s="122"/>
      <c r="W647" s="122"/>
      <c r="X647" s="122"/>
      <c r="Y647" s="122"/>
      <c r="Z647" s="122"/>
    </row>
    <row r="648" spans="1:26" ht="12.75" x14ac:dyDescent="0.2">
      <c r="A648" s="122"/>
      <c r="B648" s="122"/>
      <c r="C648" s="122"/>
      <c r="D648" s="122"/>
      <c r="E648" s="122"/>
      <c r="F648" s="122"/>
      <c r="G648" s="122"/>
      <c r="H648" s="122"/>
      <c r="I648" s="122"/>
      <c r="J648" s="122"/>
      <c r="K648" s="122"/>
      <c r="L648" s="122"/>
      <c r="M648" s="122"/>
      <c r="N648" s="122"/>
      <c r="O648" s="122"/>
      <c r="P648" s="122"/>
      <c r="Q648" s="122"/>
      <c r="R648" s="122"/>
      <c r="S648" s="122"/>
      <c r="T648" s="122"/>
      <c r="U648" s="122"/>
      <c r="V648" s="122"/>
      <c r="W648" s="122"/>
      <c r="X648" s="122"/>
      <c r="Y648" s="122"/>
      <c r="Z648" s="122"/>
    </row>
    <row r="649" spans="1:26" ht="12.75" x14ac:dyDescent="0.2">
      <c r="A649" s="122"/>
      <c r="B649" s="122"/>
      <c r="C649" s="122"/>
      <c r="D649" s="122"/>
      <c r="E649" s="122"/>
      <c r="F649" s="122"/>
      <c r="G649" s="122"/>
      <c r="H649" s="122"/>
      <c r="I649" s="122"/>
      <c r="J649" s="122"/>
      <c r="K649" s="122"/>
      <c r="L649" s="122"/>
      <c r="M649" s="122"/>
      <c r="N649" s="122"/>
      <c r="O649" s="122"/>
      <c r="P649" s="122"/>
      <c r="Q649" s="122"/>
      <c r="R649" s="122"/>
      <c r="S649" s="122"/>
      <c r="T649" s="122"/>
      <c r="U649" s="122"/>
      <c r="V649" s="122"/>
      <c r="W649" s="122"/>
      <c r="X649" s="122"/>
      <c r="Y649" s="122"/>
      <c r="Z649" s="122"/>
    </row>
    <row r="650" spans="1:26" ht="12.75" x14ac:dyDescent="0.2">
      <c r="A650" s="122"/>
      <c r="B650" s="122"/>
      <c r="C650" s="122"/>
      <c r="D650" s="122"/>
      <c r="E650" s="122"/>
      <c r="F650" s="122"/>
      <c r="G650" s="122"/>
      <c r="H650" s="122"/>
      <c r="I650" s="122"/>
      <c r="J650" s="122"/>
      <c r="K650" s="122"/>
      <c r="L650" s="122"/>
      <c r="M650" s="122"/>
      <c r="N650" s="122"/>
      <c r="O650" s="122"/>
      <c r="P650" s="122"/>
      <c r="Q650" s="122"/>
      <c r="R650" s="122"/>
      <c r="S650" s="122"/>
      <c r="T650" s="122"/>
      <c r="U650" s="122"/>
      <c r="V650" s="122"/>
      <c r="W650" s="122"/>
      <c r="X650" s="122"/>
      <c r="Y650" s="122"/>
      <c r="Z650" s="122"/>
    </row>
    <row r="651" spans="1:26" ht="12.75" x14ac:dyDescent="0.2">
      <c r="A651" s="122"/>
      <c r="B651" s="122"/>
      <c r="C651" s="122"/>
      <c r="D651" s="122"/>
      <c r="E651" s="122"/>
      <c r="F651" s="122"/>
      <c r="G651" s="122"/>
      <c r="H651" s="122"/>
      <c r="I651" s="122"/>
      <c r="J651" s="122"/>
      <c r="K651" s="122"/>
      <c r="L651" s="122"/>
      <c r="M651" s="122"/>
      <c r="N651" s="122"/>
      <c r="O651" s="122"/>
      <c r="P651" s="122"/>
      <c r="Q651" s="122"/>
      <c r="R651" s="122"/>
      <c r="S651" s="122"/>
      <c r="T651" s="122"/>
      <c r="U651" s="122"/>
      <c r="V651" s="122"/>
      <c r="W651" s="122"/>
      <c r="X651" s="122"/>
      <c r="Y651" s="122"/>
      <c r="Z651" s="122"/>
    </row>
    <row r="652" spans="1:26" ht="12.75" x14ac:dyDescent="0.2">
      <c r="A652" s="122"/>
      <c r="B652" s="122"/>
      <c r="C652" s="122"/>
      <c r="D652" s="122"/>
      <c r="E652" s="122"/>
      <c r="F652" s="122"/>
      <c r="G652" s="122"/>
      <c r="H652" s="122"/>
      <c r="I652" s="122"/>
      <c r="J652" s="122"/>
      <c r="K652" s="122"/>
      <c r="L652" s="122"/>
      <c r="M652" s="122"/>
      <c r="N652" s="122"/>
      <c r="O652" s="122"/>
      <c r="P652" s="122"/>
      <c r="Q652" s="122"/>
      <c r="R652" s="122"/>
      <c r="S652" s="122"/>
      <c r="T652" s="122"/>
      <c r="U652" s="122"/>
      <c r="V652" s="122"/>
      <c r="W652" s="122"/>
      <c r="X652" s="122"/>
      <c r="Y652" s="122"/>
      <c r="Z652" s="122"/>
    </row>
    <row r="653" spans="1:26" ht="12.75" x14ac:dyDescent="0.2">
      <c r="A653" s="122"/>
      <c r="B653" s="122"/>
      <c r="C653" s="122"/>
      <c r="D653" s="122"/>
      <c r="E653" s="122"/>
      <c r="F653" s="122"/>
      <c r="G653" s="122"/>
      <c r="H653" s="122"/>
      <c r="I653" s="122"/>
      <c r="J653" s="122"/>
      <c r="K653" s="122"/>
      <c r="L653" s="122"/>
      <c r="M653" s="122"/>
      <c r="N653" s="122"/>
      <c r="O653" s="122"/>
      <c r="P653" s="122"/>
      <c r="Q653" s="122"/>
      <c r="R653" s="122"/>
      <c r="S653" s="122"/>
      <c r="T653" s="122"/>
      <c r="U653" s="122"/>
      <c r="V653" s="122"/>
      <c r="W653" s="122"/>
      <c r="X653" s="122"/>
      <c r="Y653" s="122"/>
      <c r="Z653" s="122"/>
    </row>
    <row r="654" spans="1:26" ht="12.75" x14ac:dyDescent="0.2">
      <c r="A654" s="122"/>
      <c r="B654" s="122"/>
      <c r="C654" s="122"/>
      <c r="D654" s="122"/>
      <c r="E654" s="122"/>
      <c r="F654" s="122"/>
      <c r="G654" s="122"/>
      <c r="H654" s="122"/>
      <c r="I654" s="122"/>
      <c r="J654" s="122"/>
      <c r="K654" s="122"/>
      <c r="L654" s="122"/>
      <c r="M654" s="122"/>
      <c r="N654" s="122"/>
      <c r="O654" s="122"/>
      <c r="P654" s="122"/>
      <c r="Q654" s="122"/>
      <c r="R654" s="122"/>
      <c r="S654" s="122"/>
      <c r="T654" s="122"/>
      <c r="U654" s="122"/>
      <c r="V654" s="122"/>
      <c r="W654" s="122"/>
      <c r="X654" s="122"/>
      <c r="Y654" s="122"/>
      <c r="Z654" s="122"/>
    </row>
    <row r="655" spans="1:26" ht="12.75" x14ac:dyDescent="0.2">
      <c r="A655" s="122"/>
      <c r="B655" s="122"/>
      <c r="C655" s="122"/>
      <c r="D655" s="122"/>
      <c r="E655" s="122"/>
      <c r="F655" s="122"/>
      <c r="G655" s="122"/>
      <c r="H655" s="122"/>
      <c r="I655" s="122"/>
      <c r="J655" s="122"/>
      <c r="K655" s="122"/>
      <c r="L655" s="122"/>
      <c r="M655" s="122"/>
      <c r="N655" s="122"/>
      <c r="O655" s="122"/>
      <c r="P655" s="122"/>
      <c r="Q655" s="122"/>
      <c r="R655" s="122"/>
      <c r="S655" s="122"/>
      <c r="T655" s="122"/>
      <c r="U655" s="122"/>
      <c r="V655" s="122"/>
      <c r="W655" s="122"/>
      <c r="X655" s="122"/>
      <c r="Y655" s="122"/>
      <c r="Z655" s="122"/>
    </row>
    <row r="656" spans="1:26" ht="12.75" x14ac:dyDescent="0.2">
      <c r="A656" s="122"/>
      <c r="B656" s="122"/>
      <c r="C656" s="122"/>
      <c r="D656" s="122"/>
      <c r="E656" s="122"/>
      <c r="F656" s="122"/>
      <c r="G656" s="122"/>
      <c r="H656" s="122"/>
      <c r="I656" s="122"/>
      <c r="J656" s="122"/>
      <c r="K656" s="122"/>
      <c r="L656" s="122"/>
      <c r="M656" s="122"/>
      <c r="N656" s="122"/>
      <c r="O656" s="122"/>
      <c r="P656" s="122"/>
      <c r="Q656" s="122"/>
      <c r="R656" s="122"/>
      <c r="S656" s="122"/>
      <c r="T656" s="122"/>
      <c r="U656" s="122"/>
      <c r="V656" s="122"/>
      <c r="W656" s="122"/>
      <c r="X656" s="122"/>
      <c r="Y656" s="122"/>
      <c r="Z656" s="122"/>
    </row>
    <row r="657" spans="1:26" ht="12.75" x14ac:dyDescent="0.2">
      <c r="A657" s="122"/>
      <c r="B657" s="122"/>
      <c r="C657" s="122"/>
      <c r="D657" s="122"/>
      <c r="E657" s="122"/>
      <c r="F657" s="122"/>
      <c r="G657" s="122"/>
      <c r="H657" s="122"/>
      <c r="I657" s="122"/>
      <c r="J657" s="122"/>
      <c r="K657" s="122"/>
      <c r="L657" s="122"/>
      <c r="M657" s="122"/>
      <c r="N657" s="122"/>
      <c r="O657" s="122"/>
      <c r="P657" s="122"/>
      <c r="Q657" s="122"/>
      <c r="R657" s="122"/>
      <c r="S657" s="122"/>
      <c r="T657" s="122"/>
      <c r="U657" s="122"/>
      <c r="V657" s="122"/>
      <c r="W657" s="122"/>
      <c r="X657" s="122"/>
      <c r="Y657" s="122"/>
      <c r="Z657" s="122"/>
    </row>
    <row r="658" spans="1:26" ht="12.75" x14ac:dyDescent="0.2">
      <c r="A658" s="122"/>
      <c r="B658" s="122"/>
      <c r="C658" s="122"/>
      <c r="D658" s="122"/>
      <c r="E658" s="122"/>
      <c r="F658" s="122"/>
      <c r="G658" s="122"/>
      <c r="H658" s="122"/>
      <c r="I658" s="122"/>
      <c r="J658" s="122"/>
      <c r="K658" s="122"/>
      <c r="L658" s="122"/>
      <c r="M658" s="122"/>
      <c r="N658" s="122"/>
      <c r="O658" s="122"/>
      <c r="P658" s="122"/>
      <c r="Q658" s="122"/>
      <c r="R658" s="122"/>
      <c r="S658" s="122"/>
      <c r="T658" s="122"/>
      <c r="U658" s="122"/>
      <c r="V658" s="122"/>
      <c r="W658" s="122"/>
      <c r="X658" s="122"/>
      <c r="Y658" s="122"/>
      <c r="Z658" s="122"/>
    </row>
    <row r="659" spans="1:26" ht="12.75" x14ac:dyDescent="0.2">
      <c r="A659" s="122"/>
      <c r="B659" s="122"/>
      <c r="C659" s="122"/>
      <c r="D659" s="122"/>
      <c r="E659" s="122"/>
      <c r="F659" s="122"/>
      <c r="G659" s="122"/>
      <c r="H659" s="122"/>
      <c r="I659" s="122"/>
      <c r="J659" s="122"/>
      <c r="K659" s="122"/>
      <c r="L659" s="122"/>
      <c r="M659" s="122"/>
      <c r="N659" s="122"/>
      <c r="O659" s="122"/>
      <c r="P659" s="122"/>
      <c r="Q659" s="122"/>
      <c r="R659" s="122"/>
      <c r="S659" s="122"/>
      <c r="T659" s="122"/>
      <c r="U659" s="122"/>
      <c r="V659" s="122"/>
      <c r="W659" s="122"/>
      <c r="X659" s="122"/>
      <c r="Y659" s="122"/>
      <c r="Z659" s="122"/>
    </row>
    <row r="660" spans="1:26" ht="12.75" x14ac:dyDescent="0.2">
      <c r="A660" s="122"/>
      <c r="B660" s="122"/>
      <c r="C660" s="122"/>
      <c r="D660" s="122"/>
      <c r="E660" s="122"/>
      <c r="F660" s="122"/>
      <c r="G660" s="122"/>
      <c r="H660" s="122"/>
      <c r="I660" s="122"/>
      <c r="J660" s="122"/>
      <c r="K660" s="122"/>
      <c r="L660" s="122"/>
      <c r="M660" s="122"/>
      <c r="N660" s="122"/>
      <c r="O660" s="122"/>
      <c r="P660" s="122"/>
      <c r="Q660" s="122"/>
      <c r="R660" s="122"/>
      <c r="S660" s="122"/>
      <c r="T660" s="122"/>
      <c r="U660" s="122"/>
      <c r="V660" s="122"/>
      <c r="W660" s="122"/>
      <c r="X660" s="122"/>
      <c r="Y660" s="122"/>
      <c r="Z660" s="122"/>
    </row>
    <row r="661" spans="1:26" ht="12.75" x14ac:dyDescent="0.2">
      <c r="A661" s="122"/>
      <c r="B661" s="122"/>
      <c r="C661" s="122"/>
      <c r="D661" s="122"/>
      <c r="E661" s="122"/>
      <c r="F661" s="122"/>
      <c r="G661" s="122"/>
      <c r="H661" s="122"/>
      <c r="I661" s="122"/>
      <c r="J661" s="122"/>
      <c r="K661" s="122"/>
      <c r="L661" s="122"/>
      <c r="M661" s="122"/>
      <c r="N661" s="122"/>
      <c r="O661" s="122"/>
      <c r="P661" s="122"/>
      <c r="Q661" s="122"/>
      <c r="R661" s="122"/>
      <c r="S661" s="122"/>
      <c r="T661" s="122"/>
      <c r="U661" s="122"/>
      <c r="V661" s="122"/>
      <c r="W661" s="122"/>
      <c r="X661" s="122"/>
      <c r="Y661" s="122"/>
      <c r="Z661" s="122"/>
    </row>
    <row r="662" spans="1:26" ht="12.75" x14ac:dyDescent="0.2">
      <c r="A662" s="122"/>
      <c r="B662" s="122"/>
      <c r="C662" s="122"/>
      <c r="D662" s="122"/>
      <c r="E662" s="122"/>
      <c r="F662" s="122"/>
      <c r="G662" s="122"/>
      <c r="H662" s="122"/>
      <c r="I662" s="122"/>
      <c r="J662" s="122"/>
      <c r="K662" s="122"/>
      <c r="L662" s="122"/>
      <c r="M662" s="122"/>
      <c r="N662" s="122"/>
      <c r="O662" s="122"/>
      <c r="P662" s="122"/>
      <c r="Q662" s="122"/>
      <c r="R662" s="122"/>
      <c r="S662" s="122"/>
      <c r="T662" s="122"/>
      <c r="U662" s="122"/>
      <c r="V662" s="122"/>
      <c r="W662" s="122"/>
      <c r="X662" s="122"/>
      <c r="Y662" s="122"/>
      <c r="Z662" s="122"/>
    </row>
    <row r="663" spans="1:26" ht="12.75" x14ac:dyDescent="0.2">
      <c r="A663" s="122"/>
      <c r="B663" s="122"/>
      <c r="C663" s="122"/>
      <c r="D663" s="122"/>
      <c r="E663" s="122"/>
      <c r="F663" s="122"/>
      <c r="G663" s="122"/>
      <c r="H663" s="122"/>
      <c r="I663" s="122"/>
      <c r="J663" s="122"/>
      <c r="K663" s="122"/>
      <c r="L663" s="122"/>
      <c r="M663" s="122"/>
      <c r="N663" s="122"/>
      <c r="O663" s="122"/>
      <c r="P663" s="122"/>
      <c r="Q663" s="122"/>
      <c r="R663" s="122"/>
      <c r="S663" s="122"/>
      <c r="T663" s="122"/>
      <c r="U663" s="122"/>
      <c r="V663" s="122"/>
      <c r="W663" s="122"/>
      <c r="X663" s="122"/>
      <c r="Y663" s="122"/>
      <c r="Z663" s="122"/>
    </row>
    <row r="664" spans="1:26" ht="12.75" x14ac:dyDescent="0.2">
      <c r="A664" s="122"/>
      <c r="B664" s="122"/>
      <c r="C664" s="122"/>
      <c r="D664" s="122"/>
      <c r="E664" s="122"/>
      <c r="F664" s="122"/>
      <c r="G664" s="122"/>
      <c r="H664" s="122"/>
      <c r="I664" s="122"/>
      <c r="J664" s="122"/>
      <c r="K664" s="122"/>
      <c r="L664" s="122"/>
      <c r="M664" s="122"/>
      <c r="N664" s="122"/>
      <c r="O664" s="122"/>
      <c r="P664" s="122"/>
      <c r="Q664" s="122"/>
      <c r="R664" s="122"/>
      <c r="S664" s="122"/>
      <c r="T664" s="122"/>
      <c r="U664" s="122"/>
      <c r="V664" s="122"/>
      <c r="W664" s="122"/>
      <c r="X664" s="122"/>
      <c r="Y664" s="122"/>
      <c r="Z664" s="122"/>
    </row>
    <row r="665" spans="1:26" ht="12.75" x14ac:dyDescent="0.2">
      <c r="A665" s="122"/>
      <c r="B665" s="122"/>
      <c r="C665" s="122"/>
      <c r="D665" s="122"/>
      <c r="E665" s="122"/>
      <c r="F665" s="122"/>
      <c r="G665" s="122"/>
      <c r="H665" s="122"/>
      <c r="I665" s="122"/>
      <c r="J665" s="122"/>
      <c r="K665" s="122"/>
      <c r="L665" s="122"/>
      <c r="M665" s="122"/>
      <c r="N665" s="122"/>
      <c r="O665" s="122"/>
      <c r="P665" s="122"/>
      <c r="Q665" s="122"/>
      <c r="R665" s="122"/>
      <c r="S665" s="122"/>
      <c r="T665" s="122"/>
      <c r="U665" s="122"/>
      <c r="V665" s="122"/>
      <c r="W665" s="122"/>
      <c r="X665" s="122"/>
      <c r="Y665" s="122"/>
      <c r="Z665" s="122"/>
    </row>
    <row r="666" spans="1:26" ht="12.75" x14ac:dyDescent="0.2">
      <c r="A666" s="122"/>
      <c r="B666" s="122"/>
      <c r="C666" s="122"/>
      <c r="D666" s="122"/>
      <c r="E666" s="122"/>
      <c r="F666" s="122"/>
      <c r="G666" s="122"/>
      <c r="H666" s="122"/>
      <c r="I666" s="122"/>
      <c r="J666" s="122"/>
      <c r="K666" s="122"/>
      <c r="L666" s="122"/>
      <c r="M666" s="122"/>
      <c r="N666" s="122"/>
      <c r="O666" s="122"/>
      <c r="P666" s="122"/>
      <c r="Q666" s="122"/>
      <c r="R666" s="122"/>
      <c r="S666" s="122"/>
      <c r="T666" s="122"/>
      <c r="U666" s="122"/>
      <c r="V666" s="122"/>
      <c r="W666" s="122"/>
      <c r="X666" s="122"/>
      <c r="Y666" s="122"/>
      <c r="Z666" s="122"/>
    </row>
    <row r="667" spans="1:26" ht="12.75" x14ac:dyDescent="0.2">
      <c r="A667" s="122"/>
      <c r="B667" s="122"/>
      <c r="C667" s="122"/>
      <c r="D667" s="122"/>
      <c r="E667" s="122"/>
      <c r="F667" s="122"/>
      <c r="G667" s="122"/>
      <c r="H667" s="122"/>
      <c r="I667" s="122"/>
      <c r="J667" s="122"/>
      <c r="K667" s="122"/>
      <c r="L667" s="122"/>
      <c r="M667" s="122"/>
      <c r="N667" s="122"/>
      <c r="O667" s="122"/>
      <c r="P667" s="122"/>
      <c r="Q667" s="122"/>
      <c r="R667" s="122"/>
      <c r="S667" s="122"/>
      <c r="T667" s="122"/>
      <c r="U667" s="122"/>
      <c r="V667" s="122"/>
      <c r="W667" s="122"/>
      <c r="X667" s="122"/>
      <c r="Y667" s="122"/>
      <c r="Z667" s="122"/>
    </row>
    <row r="668" spans="1:26" ht="12.75" x14ac:dyDescent="0.2">
      <c r="A668" s="122"/>
      <c r="B668" s="122"/>
      <c r="C668" s="122"/>
      <c r="D668" s="122"/>
      <c r="E668" s="122"/>
      <c r="F668" s="122"/>
      <c r="G668" s="122"/>
      <c r="H668" s="122"/>
      <c r="I668" s="122"/>
      <c r="J668" s="122"/>
      <c r="K668" s="122"/>
      <c r="L668" s="122"/>
      <c r="M668" s="122"/>
      <c r="N668" s="122"/>
      <c r="O668" s="122"/>
      <c r="P668" s="122"/>
      <c r="Q668" s="122"/>
      <c r="R668" s="122"/>
      <c r="S668" s="122"/>
      <c r="T668" s="122"/>
      <c r="U668" s="122"/>
      <c r="V668" s="122"/>
      <c r="W668" s="122"/>
      <c r="X668" s="122"/>
      <c r="Y668" s="122"/>
      <c r="Z668" s="122"/>
    </row>
    <row r="669" spans="1:26" ht="12.75" x14ac:dyDescent="0.2">
      <c r="A669" s="122"/>
      <c r="B669" s="122"/>
      <c r="C669" s="122"/>
      <c r="D669" s="122"/>
      <c r="E669" s="122"/>
      <c r="F669" s="122"/>
      <c r="G669" s="122"/>
      <c r="H669" s="122"/>
      <c r="I669" s="122"/>
      <c r="J669" s="122"/>
      <c r="K669" s="122"/>
      <c r="L669" s="122"/>
      <c r="M669" s="122"/>
      <c r="N669" s="122"/>
      <c r="O669" s="122"/>
      <c r="P669" s="122"/>
      <c r="Q669" s="122"/>
      <c r="R669" s="122"/>
      <c r="S669" s="122"/>
      <c r="T669" s="122"/>
      <c r="U669" s="122"/>
      <c r="V669" s="122"/>
      <c r="W669" s="122"/>
      <c r="X669" s="122"/>
      <c r="Y669" s="122"/>
      <c r="Z669" s="122"/>
    </row>
    <row r="670" spans="1:26" ht="12.75" x14ac:dyDescent="0.2">
      <c r="A670" s="122"/>
      <c r="B670" s="122"/>
      <c r="C670" s="122"/>
      <c r="D670" s="122"/>
      <c r="E670" s="122"/>
      <c r="F670" s="122"/>
      <c r="G670" s="122"/>
      <c r="H670" s="122"/>
      <c r="I670" s="122"/>
      <c r="J670" s="122"/>
      <c r="K670" s="122"/>
      <c r="L670" s="122"/>
      <c r="M670" s="122"/>
      <c r="N670" s="122"/>
      <c r="O670" s="122"/>
      <c r="P670" s="122"/>
      <c r="Q670" s="122"/>
      <c r="R670" s="122"/>
      <c r="S670" s="122"/>
      <c r="T670" s="122"/>
      <c r="U670" s="122"/>
      <c r="V670" s="122"/>
      <c r="W670" s="122"/>
      <c r="X670" s="122"/>
      <c r="Y670" s="122"/>
      <c r="Z670" s="122"/>
    </row>
    <row r="671" spans="1:26" ht="12.75" x14ac:dyDescent="0.2">
      <c r="A671" s="122"/>
      <c r="B671" s="122"/>
      <c r="C671" s="122"/>
      <c r="D671" s="122"/>
      <c r="E671" s="122"/>
      <c r="F671" s="122"/>
      <c r="G671" s="122"/>
      <c r="H671" s="122"/>
      <c r="I671" s="122"/>
      <c r="J671" s="122"/>
      <c r="K671" s="122"/>
      <c r="L671" s="122"/>
      <c r="M671" s="122"/>
      <c r="N671" s="122"/>
      <c r="O671" s="122"/>
      <c r="P671" s="122"/>
      <c r="Q671" s="122"/>
      <c r="R671" s="122"/>
      <c r="S671" s="122"/>
      <c r="T671" s="122"/>
      <c r="U671" s="122"/>
      <c r="V671" s="122"/>
      <c r="W671" s="122"/>
      <c r="X671" s="122"/>
      <c r="Y671" s="122"/>
      <c r="Z671" s="122"/>
    </row>
    <row r="672" spans="1:26" ht="12.75" x14ac:dyDescent="0.2">
      <c r="A672" s="122"/>
      <c r="B672" s="122"/>
      <c r="C672" s="122"/>
      <c r="D672" s="122"/>
      <c r="E672" s="122"/>
      <c r="F672" s="122"/>
      <c r="G672" s="122"/>
      <c r="H672" s="122"/>
      <c r="I672" s="122"/>
      <c r="J672" s="122"/>
      <c r="K672" s="122"/>
      <c r="L672" s="122"/>
      <c r="M672" s="122"/>
      <c r="N672" s="122"/>
      <c r="O672" s="122"/>
      <c r="P672" s="122"/>
      <c r="Q672" s="122"/>
      <c r="R672" s="122"/>
      <c r="S672" s="122"/>
      <c r="T672" s="122"/>
      <c r="U672" s="122"/>
      <c r="V672" s="122"/>
      <c r="W672" s="122"/>
      <c r="X672" s="122"/>
      <c r="Y672" s="122"/>
      <c r="Z672" s="122"/>
    </row>
    <row r="673" spans="1:26" ht="12.75" x14ac:dyDescent="0.2">
      <c r="A673" s="122"/>
      <c r="B673" s="122"/>
      <c r="C673" s="122"/>
      <c r="D673" s="122"/>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row>
    <row r="674" spans="1:26" ht="12.75" x14ac:dyDescent="0.2">
      <c r="A674" s="122"/>
      <c r="B674" s="122"/>
      <c r="C674" s="122"/>
      <c r="D674" s="122"/>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row>
    <row r="675" spans="1:26" ht="12.75" x14ac:dyDescent="0.2">
      <c r="A675" s="122"/>
      <c r="B675" s="122"/>
      <c r="C675" s="122"/>
      <c r="D675" s="122"/>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row>
    <row r="676" spans="1:26" ht="12.75" x14ac:dyDescent="0.2">
      <c r="A676" s="122"/>
      <c r="B676" s="122"/>
      <c r="C676" s="122"/>
      <c r="D676" s="122"/>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row>
    <row r="677" spans="1:26" ht="12.75" x14ac:dyDescent="0.2">
      <c r="A677" s="122"/>
      <c r="B677" s="122"/>
      <c r="C677" s="122"/>
      <c r="D677" s="122"/>
      <c r="E677" s="122"/>
      <c r="F677" s="122"/>
      <c r="G677" s="122"/>
      <c r="H677" s="122"/>
      <c r="I677" s="122"/>
      <c r="J677" s="122"/>
      <c r="K677" s="122"/>
      <c r="L677" s="122"/>
      <c r="M677" s="122"/>
      <c r="N677" s="122"/>
      <c r="O677" s="122"/>
      <c r="P677" s="122"/>
      <c r="Q677" s="122"/>
      <c r="R677" s="122"/>
      <c r="S677" s="122"/>
      <c r="T677" s="122"/>
      <c r="U677" s="122"/>
      <c r="V677" s="122"/>
      <c r="W677" s="122"/>
      <c r="X677" s="122"/>
      <c r="Y677" s="122"/>
      <c r="Z677" s="122"/>
    </row>
    <row r="678" spans="1:26" ht="12.75" x14ac:dyDescent="0.2">
      <c r="A678" s="122"/>
      <c r="B678" s="122"/>
      <c r="C678" s="122"/>
      <c r="D678" s="122"/>
      <c r="E678" s="122"/>
      <c r="F678" s="122"/>
      <c r="G678" s="122"/>
      <c r="H678" s="122"/>
      <c r="I678" s="122"/>
      <c r="J678" s="122"/>
      <c r="K678" s="122"/>
      <c r="L678" s="122"/>
      <c r="M678" s="122"/>
      <c r="N678" s="122"/>
      <c r="O678" s="122"/>
      <c r="P678" s="122"/>
      <c r="Q678" s="122"/>
      <c r="R678" s="122"/>
      <c r="S678" s="122"/>
      <c r="T678" s="122"/>
      <c r="U678" s="122"/>
      <c r="V678" s="122"/>
      <c r="W678" s="122"/>
      <c r="X678" s="122"/>
      <c r="Y678" s="122"/>
      <c r="Z678" s="122"/>
    </row>
    <row r="679" spans="1:26" ht="12.75" x14ac:dyDescent="0.2">
      <c r="A679" s="122"/>
      <c r="B679" s="122"/>
      <c r="C679" s="122"/>
      <c r="D679" s="122"/>
      <c r="E679" s="122"/>
      <c r="F679" s="122"/>
      <c r="G679" s="122"/>
      <c r="H679" s="122"/>
      <c r="I679" s="122"/>
      <c r="J679" s="122"/>
      <c r="K679" s="122"/>
      <c r="L679" s="122"/>
      <c r="M679" s="122"/>
      <c r="N679" s="122"/>
      <c r="O679" s="122"/>
      <c r="P679" s="122"/>
      <c r="Q679" s="122"/>
      <c r="R679" s="122"/>
      <c r="S679" s="122"/>
      <c r="T679" s="122"/>
      <c r="U679" s="122"/>
      <c r="V679" s="122"/>
      <c r="W679" s="122"/>
      <c r="X679" s="122"/>
      <c r="Y679" s="122"/>
      <c r="Z679" s="122"/>
    </row>
    <row r="680" spans="1:26" ht="12.75" x14ac:dyDescent="0.2">
      <c r="A680" s="122"/>
      <c r="B680" s="122"/>
      <c r="C680" s="122"/>
      <c r="D680" s="122"/>
      <c r="E680" s="122"/>
      <c r="F680" s="122"/>
      <c r="G680" s="122"/>
      <c r="H680" s="122"/>
      <c r="I680" s="122"/>
      <c r="J680" s="122"/>
      <c r="K680" s="122"/>
      <c r="L680" s="122"/>
      <c r="M680" s="122"/>
      <c r="N680" s="122"/>
      <c r="O680" s="122"/>
      <c r="P680" s="122"/>
      <c r="Q680" s="122"/>
      <c r="R680" s="122"/>
      <c r="S680" s="122"/>
      <c r="T680" s="122"/>
      <c r="U680" s="122"/>
      <c r="V680" s="122"/>
      <c r="W680" s="122"/>
      <c r="X680" s="122"/>
      <c r="Y680" s="122"/>
      <c r="Z680" s="122"/>
    </row>
    <row r="681" spans="1:26" ht="12.75" x14ac:dyDescent="0.2">
      <c r="A681" s="122"/>
      <c r="B681" s="122"/>
      <c r="C681" s="122"/>
      <c r="D681" s="122"/>
      <c r="E681" s="122"/>
      <c r="F681" s="122"/>
      <c r="G681" s="122"/>
      <c r="H681" s="122"/>
      <c r="I681" s="122"/>
      <c r="J681" s="122"/>
      <c r="K681" s="122"/>
      <c r="L681" s="122"/>
      <c r="M681" s="122"/>
      <c r="N681" s="122"/>
      <c r="O681" s="122"/>
      <c r="P681" s="122"/>
      <c r="Q681" s="122"/>
      <c r="R681" s="122"/>
      <c r="S681" s="122"/>
      <c r="T681" s="122"/>
      <c r="U681" s="122"/>
      <c r="V681" s="122"/>
      <c r="W681" s="122"/>
      <c r="X681" s="122"/>
      <c r="Y681" s="122"/>
      <c r="Z681" s="122"/>
    </row>
    <row r="682" spans="1:26" ht="12.75" x14ac:dyDescent="0.2">
      <c r="A682" s="122"/>
      <c r="B682" s="122"/>
      <c r="C682" s="122"/>
      <c r="D682" s="122"/>
      <c r="E682" s="122"/>
      <c r="F682" s="122"/>
      <c r="G682" s="122"/>
      <c r="H682" s="122"/>
      <c r="I682" s="122"/>
      <c r="J682" s="122"/>
      <c r="K682" s="122"/>
      <c r="L682" s="122"/>
      <c r="M682" s="122"/>
      <c r="N682" s="122"/>
      <c r="O682" s="122"/>
      <c r="P682" s="122"/>
      <c r="Q682" s="122"/>
      <c r="R682" s="122"/>
      <c r="S682" s="122"/>
      <c r="T682" s="122"/>
      <c r="U682" s="122"/>
      <c r="V682" s="122"/>
      <c r="W682" s="122"/>
      <c r="X682" s="122"/>
      <c r="Y682" s="122"/>
      <c r="Z682" s="122"/>
    </row>
    <row r="683" spans="1:26" ht="12.75" x14ac:dyDescent="0.2">
      <c r="A683" s="122"/>
      <c r="B683" s="122"/>
      <c r="C683" s="122"/>
      <c r="D683" s="122"/>
      <c r="E683" s="122"/>
      <c r="F683" s="122"/>
      <c r="G683" s="122"/>
      <c r="H683" s="122"/>
      <c r="I683" s="122"/>
      <c r="J683" s="122"/>
      <c r="K683" s="122"/>
      <c r="L683" s="122"/>
      <c r="M683" s="122"/>
      <c r="N683" s="122"/>
      <c r="O683" s="122"/>
      <c r="P683" s="122"/>
      <c r="Q683" s="122"/>
      <c r="R683" s="122"/>
      <c r="S683" s="122"/>
      <c r="T683" s="122"/>
      <c r="U683" s="122"/>
      <c r="V683" s="122"/>
      <c r="W683" s="122"/>
      <c r="X683" s="122"/>
      <c r="Y683" s="122"/>
      <c r="Z683" s="122"/>
    </row>
    <row r="684" spans="1:26" ht="12.75" x14ac:dyDescent="0.2">
      <c r="A684" s="122"/>
      <c r="B684" s="122"/>
      <c r="C684" s="122"/>
      <c r="D684" s="122"/>
      <c r="E684" s="122"/>
      <c r="F684" s="122"/>
      <c r="G684" s="122"/>
      <c r="H684" s="122"/>
      <c r="I684" s="122"/>
      <c r="J684" s="122"/>
      <c r="K684" s="122"/>
      <c r="L684" s="122"/>
      <c r="M684" s="122"/>
      <c r="N684" s="122"/>
      <c r="O684" s="122"/>
      <c r="P684" s="122"/>
      <c r="Q684" s="122"/>
      <c r="R684" s="122"/>
      <c r="S684" s="122"/>
      <c r="T684" s="122"/>
      <c r="U684" s="122"/>
      <c r="V684" s="122"/>
      <c r="W684" s="122"/>
      <c r="X684" s="122"/>
      <c r="Y684" s="122"/>
      <c r="Z684" s="122"/>
    </row>
    <row r="685" spans="1:26" ht="12.75" x14ac:dyDescent="0.2">
      <c r="A685" s="122"/>
      <c r="B685" s="122"/>
      <c r="C685" s="122"/>
      <c r="D685" s="122"/>
      <c r="E685" s="122"/>
      <c r="F685" s="122"/>
      <c r="G685" s="122"/>
      <c r="H685" s="122"/>
      <c r="I685" s="122"/>
      <c r="J685" s="122"/>
      <c r="K685" s="122"/>
      <c r="L685" s="122"/>
      <c r="M685" s="122"/>
      <c r="N685" s="122"/>
      <c r="O685" s="122"/>
      <c r="P685" s="122"/>
      <c r="Q685" s="122"/>
      <c r="R685" s="122"/>
      <c r="S685" s="122"/>
      <c r="T685" s="122"/>
      <c r="U685" s="122"/>
      <c r="V685" s="122"/>
      <c r="W685" s="122"/>
      <c r="X685" s="122"/>
      <c r="Y685" s="122"/>
      <c r="Z685" s="122"/>
    </row>
    <row r="686" spans="1:26" ht="12.75" x14ac:dyDescent="0.2">
      <c r="A686" s="122"/>
      <c r="B686" s="122"/>
      <c r="C686" s="122"/>
      <c r="D686" s="122"/>
      <c r="E686" s="122"/>
      <c r="F686" s="122"/>
      <c r="G686" s="122"/>
      <c r="H686" s="122"/>
      <c r="I686" s="122"/>
      <c r="J686" s="122"/>
      <c r="K686" s="122"/>
      <c r="L686" s="122"/>
      <c r="M686" s="122"/>
      <c r="N686" s="122"/>
      <c r="O686" s="122"/>
      <c r="P686" s="122"/>
      <c r="Q686" s="122"/>
      <c r="R686" s="122"/>
      <c r="S686" s="122"/>
      <c r="T686" s="122"/>
      <c r="U686" s="122"/>
      <c r="V686" s="122"/>
      <c r="W686" s="122"/>
      <c r="X686" s="122"/>
      <c r="Y686" s="122"/>
      <c r="Z686" s="122"/>
    </row>
    <row r="687" spans="1:26" ht="12.75" x14ac:dyDescent="0.2">
      <c r="A687" s="122"/>
      <c r="B687" s="122"/>
      <c r="C687" s="122"/>
      <c r="D687" s="122"/>
      <c r="E687" s="122"/>
      <c r="F687" s="122"/>
      <c r="G687" s="122"/>
      <c r="H687" s="122"/>
      <c r="I687" s="122"/>
      <c r="J687" s="122"/>
      <c r="K687" s="122"/>
      <c r="L687" s="122"/>
      <c r="M687" s="122"/>
      <c r="N687" s="122"/>
      <c r="O687" s="122"/>
      <c r="P687" s="122"/>
      <c r="Q687" s="122"/>
      <c r="R687" s="122"/>
      <c r="S687" s="122"/>
      <c r="T687" s="122"/>
      <c r="U687" s="122"/>
      <c r="V687" s="122"/>
      <c r="W687" s="122"/>
      <c r="X687" s="122"/>
      <c r="Y687" s="122"/>
      <c r="Z687" s="122"/>
    </row>
    <row r="688" spans="1:26" ht="12.75" x14ac:dyDescent="0.2">
      <c r="A688" s="122"/>
      <c r="B688" s="122"/>
      <c r="C688" s="122"/>
      <c r="D688" s="122"/>
      <c r="E688" s="122"/>
      <c r="F688" s="122"/>
      <c r="G688" s="122"/>
      <c r="H688" s="122"/>
      <c r="I688" s="122"/>
      <c r="J688" s="122"/>
      <c r="K688" s="122"/>
      <c r="L688" s="122"/>
      <c r="M688" s="122"/>
      <c r="N688" s="122"/>
      <c r="O688" s="122"/>
      <c r="P688" s="122"/>
      <c r="Q688" s="122"/>
      <c r="R688" s="122"/>
      <c r="S688" s="122"/>
      <c r="T688" s="122"/>
      <c r="U688" s="122"/>
      <c r="V688" s="122"/>
      <c r="W688" s="122"/>
      <c r="X688" s="122"/>
      <c r="Y688" s="122"/>
      <c r="Z688" s="122"/>
    </row>
    <row r="689" spans="1:26" ht="12.75" x14ac:dyDescent="0.2">
      <c r="A689" s="122"/>
      <c r="B689" s="122"/>
      <c r="C689" s="122"/>
      <c r="D689" s="122"/>
      <c r="E689" s="122"/>
      <c r="F689" s="122"/>
      <c r="G689" s="122"/>
      <c r="H689" s="122"/>
      <c r="I689" s="122"/>
      <c r="J689" s="122"/>
      <c r="K689" s="122"/>
      <c r="L689" s="122"/>
      <c r="M689" s="122"/>
      <c r="N689" s="122"/>
      <c r="O689" s="122"/>
      <c r="P689" s="122"/>
      <c r="Q689" s="122"/>
      <c r="R689" s="122"/>
      <c r="S689" s="122"/>
      <c r="T689" s="122"/>
      <c r="U689" s="122"/>
      <c r="V689" s="122"/>
      <c r="W689" s="122"/>
      <c r="X689" s="122"/>
      <c r="Y689" s="122"/>
      <c r="Z689" s="122"/>
    </row>
    <row r="690" spans="1:26" ht="12.75" x14ac:dyDescent="0.2">
      <c r="A690" s="122"/>
      <c r="B690" s="122"/>
      <c r="C690" s="122"/>
      <c r="D690" s="122"/>
      <c r="E690" s="122"/>
      <c r="F690" s="122"/>
      <c r="G690" s="122"/>
      <c r="H690" s="122"/>
      <c r="I690" s="122"/>
      <c r="J690" s="122"/>
      <c r="K690" s="122"/>
      <c r="L690" s="122"/>
      <c r="M690" s="122"/>
      <c r="N690" s="122"/>
      <c r="O690" s="122"/>
      <c r="P690" s="122"/>
      <c r="Q690" s="122"/>
      <c r="R690" s="122"/>
      <c r="S690" s="122"/>
      <c r="T690" s="122"/>
      <c r="U690" s="122"/>
      <c r="V690" s="122"/>
      <c r="W690" s="122"/>
      <c r="X690" s="122"/>
      <c r="Y690" s="122"/>
      <c r="Z690" s="122"/>
    </row>
    <row r="691" spans="1:26" ht="12.75" x14ac:dyDescent="0.2">
      <c r="A691" s="122"/>
      <c r="B691" s="122"/>
      <c r="C691" s="122"/>
      <c r="D691" s="122"/>
      <c r="E691" s="122"/>
      <c r="F691" s="122"/>
      <c r="G691" s="122"/>
      <c r="H691" s="122"/>
      <c r="I691" s="122"/>
      <c r="J691" s="122"/>
      <c r="K691" s="122"/>
      <c r="L691" s="122"/>
      <c r="M691" s="122"/>
      <c r="N691" s="122"/>
      <c r="O691" s="122"/>
      <c r="P691" s="122"/>
      <c r="Q691" s="122"/>
      <c r="R691" s="122"/>
      <c r="S691" s="122"/>
      <c r="T691" s="122"/>
      <c r="U691" s="122"/>
      <c r="V691" s="122"/>
      <c r="W691" s="122"/>
      <c r="X691" s="122"/>
      <c r="Y691" s="122"/>
      <c r="Z691" s="122"/>
    </row>
    <row r="692" spans="1:26" ht="12.75" x14ac:dyDescent="0.2">
      <c r="A692" s="122"/>
      <c r="B692" s="122"/>
      <c r="C692" s="122"/>
      <c r="D692" s="122"/>
      <c r="E692" s="122"/>
      <c r="F692" s="122"/>
      <c r="G692" s="122"/>
      <c r="H692" s="122"/>
      <c r="I692" s="122"/>
      <c r="J692" s="122"/>
      <c r="K692" s="122"/>
      <c r="L692" s="122"/>
      <c r="M692" s="122"/>
      <c r="N692" s="122"/>
      <c r="O692" s="122"/>
      <c r="P692" s="122"/>
      <c r="Q692" s="122"/>
      <c r="R692" s="122"/>
      <c r="S692" s="122"/>
      <c r="T692" s="122"/>
      <c r="U692" s="122"/>
      <c r="V692" s="122"/>
      <c r="W692" s="122"/>
      <c r="X692" s="122"/>
      <c r="Y692" s="122"/>
      <c r="Z692" s="122"/>
    </row>
    <row r="693" spans="1:26" ht="12.75" x14ac:dyDescent="0.2">
      <c r="A693" s="122"/>
      <c r="B693" s="122"/>
      <c r="C693" s="122"/>
      <c r="D693" s="122"/>
      <c r="E693" s="122"/>
      <c r="F693" s="122"/>
      <c r="G693" s="122"/>
      <c r="H693" s="122"/>
      <c r="I693" s="122"/>
      <c r="J693" s="122"/>
      <c r="K693" s="122"/>
      <c r="L693" s="122"/>
      <c r="M693" s="122"/>
      <c r="N693" s="122"/>
      <c r="O693" s="122"/>
      <c r="P693" s="122"/>
      <c r="Q693" s="122"/>
      <c r="R693" s="122"/>
      <c r="S693" s="122"/>
      <c r="T693" s="122"/>
      <c r="U693" s="122"/>
      <c r="V693" s="122"/>
      <c r="W693" s="122"/>
      <c r="X693" s="122"/>
      <c r="Y693" s="122"/>
      <c r="Z693" s="122"/>
    </row>
    <row r="694" spans="1:26" ht="12.75" x14ac:dyDescent="0.2">
      <c r="A694" s="122"/>
      <c r="B694" s="122"/>
      <c r="C694" s="122"/>
      <c r="D694" s="122"/>
      <c r="E694" s="122"/>
      <c r="F694" s="122"/>
      <c r="G694" s="122"/>
      <c r="H694" s="122"/>
      <c r="I694" s="122"/>
      <c r="J694" s="122"/>
      <c r="K694" s="122"/>
      <c r="L694" s="122"/>
      <c r="M694" s="122"/>
      <c r="N694" s="122"/>
      <c r="O694" s="122"/>
      <c r="P694" s="122"/>
      <c r="Q694" s="122"/>
      <c r="R694" s="122"/>
      <c r="S694" s="122"/>
      <c r="T694" s="122"/>
      <c r="U694" s="122"/>
      <c r="V694" s="122"/>
      <c r="W694" s="122"/>
      <c r="X694" s="122"/>
      <c r="Y694" s="122"/>
      <c r="Z694" s="122"/>
    </row>
    <row r="695" spans="1:26" ht="12.75" x14ac:dyDescent="0.2">
      <c r="A695" s="122"/>
      <c r="B695" s="122"/>
      <c r="C695" s="122"/>
      <c r="D695" s="122"/>
      <c r="E695" s="122"/>
      <c r="F695" s="122"/>
      <c r="G695" s="122"/>
      <c r="H695" s="122"/>
      <c r="I695" s="122"/>
      <c r="J695" s="122"/>
      <c r="K695" s="122"/>
      <c r="L695" s="122"/>
      <c r="M695" s="122"/>
      <c r="N695" s="122"/>
      <c r="O695" s="122"/>
      <c r="P695" s="122"/>
      <c r="Q695" s="122"/>
      <c r="R695" s="122"/>
      <c r="S695" s="122"/>
      <c r="T695" s="122"/>
      <c r="U695" s="122"/>
      <c r="V695" s="122"/>
      <c r="W695" s="122"/>
      <c r="X695" s="122"/>
      <c r="Y695" s="122"/>
      <c r="Z695" s="122"/>
    </row>
    <row r="696" spans="1:26" ht="12.75" x14ac:dyDescent="0.2">
      <c r="A696" s="122"/>
      <c r="B696" s="122"/>
      <c r="C696" s="122"/>
      <c r="D696" s="122"/>
      <c r="E696" s="122"/>
      <c r="F696" s="122"/>
      <c r="G696" s="122"/>
      <c r="H696" s="122"/>
      <c r="I696" s="122"/>
      <c r="J696" s="122"/>
      <c r="K696" s="122"/>
      <c r="L696" s="122"/>
      <c r="M696" s="122"/>
      <c r="N696" s="122"/>
      <c r="O696" s="122"/>
      <c r="P696" s="122"/>
      <c r="Q696" s="122"/>
      <c r="R696" s="122"/>
      <c r="S696" s="122"/>
      <c r="T696" s="122"/>
      <c r="U696" s="122"/>
      <c r="V696" s="122"/>
      <c r="W696" s="122"/>
      <c r="X696" s="122"/>
      <c r="Y696" s="122"/>
      <c r="Z696" s="122"/>
    </row>
    <row r="697" spans="1:26" ht="12.75" x14ac:dyDescent="0.2">
      <c r="A697" s="122"/>
      <c r="B697" s="122"/>
      <c r="C697" s="122"/>
      <c r="D697" s="122"/>
      <c r="E697" s="122"/>
      <c r="F697" s="122"/>
      <c r="G697" s="122"/>
      <c r="H697" s="122"/>
      <c r="I697" s="122"/>
      <c r="J697" s="122"/>
      <c r="K697" s="122"/>
      <c r="L697" s="122"/>
      <c r="M697" s="122"/>
      <c r="N697" s="122"/>
      <c r="O697" s="122"/>
      <c r="P697" s="122"/>
      <c r="Q697" s="122"/>
      <c r="R697" s="122"/>
      <c r="S697" s="122"/>
      <c r="T697" s="122"/>
      <c r="U697" s="122"/>
      <c r="V697" s="122"/>
      <c r="W697" s="122"/>
      <c r="X697" s="122"/>
      <c r="Y697" s="122"/>
      <c r="Z697" s="122"/>
    </row>
    <row r="698" spans="1:26" ht="12.75" x14ac:dyDescent="0.2">
      <c r="A698" s="122"/>
      <c r="B698" s="122"/>
      <c r="C698" s="122"/>
      <c r="D698" s="122"/>
      <c r="E698" s="122"/>
      <c r="F698" s="122"/>
      <c r="G698" s="122"/>
      <c r="H698" s="122"/>
      <c r="I698" s="122"/>
      <c r="J698" s="122"/>
      <c r="K698" s="122"/>
      <c r="L698" s="122"/>
      <c r="M698" s="122"/>
      <c r="N698" s="122"/>
      <c r="O698" s="122"/>
      <c r="P698" s="122"/>
      <c r="Q698" s="122"/>
      <c r="R698" s="122"/>
      <c r="S698" s="122"/>
      <c r="T698" s="122"/>
      <c r="U698" s="122"/>
      <c r="V698" s="122"/>
      <c r="W698" s="122"/>
      <c r="X698" s="122"/>
      <c r="Y698" s="122"/>
      <c r="Z698" s="122"/>
    </row>
    <row r="699" spans="1:26" ht="12.75" x14ac:dyDescent="0.2">
      <c r="A699" s="122"/>
      <c r="B699" s="122"/>
      <c r="C699" s="122"/>
      <c r="D699" s="122"/>
      <c r="E699" s="122"/>
      <c r="F699" s="122"/>
      <c r="G699" s="122"/>
      <c r="H699" s="122"/>
      <c r="I699" s="122"/>
      <c r="J699" s="122"/>
      <c r="K699" s="122"/>
      <c r="L699" s="122"/>
      <c r="M699" s="122"/>
      <c r="N699" s="122"/>
      <c r="O699" s="122"/>
      <c r="P699" s="122"/>
      <c r="Q699" s="122"/>
      <c r="R699" s="122"/>
      <c r="S699" s="122"/>
      <c r="T699" s="122"/>
      <c r="U699" s="122"/>
      <c r="V699" s="122"/>
      <c r="W699" s="122"/>
      <c r="X699" s="122"/>
      <c r="Y699" s="122"/>
      <c r="Z699" s="122"/>
    </row>
    <row r="700" spans="1:26" ht="12.75" x14ac:dyDescent="0.2">
      <c r="A700" s="122"/>
      <c r="B700" s="122"/>
      <c r="C700" s="122"/>
      <c r="D700" s="122"/>
      <c r="E700" s="122"/>
      <c r="F700" s="122"/>
      <c r="G700" s="122"/>
      <c r="H700" s="122"/>
      <c r="I700" s="122"/>
      <c r="J700" s="122"/>
      <c r="K700" s="122"/>
      <c r="L700" s="122"/>
      <c r="M700" s="122"/>
      <c r="N700" s="122"/>
      <c r="O700" s="122"/>
      <c r="P700" s="122"/>
      <c r="Q700" s="122"/>
      <c r="R700" s="122"/>
      <c r="S700" s="122"/>
      <c r="T700" s="122"/>
      <c r="U700" s="122"/>
      <c r="V700" s="122"/>
      <c r="W700" s="122"/>
      <c r="X700" s="122"/>
      <c r="Y700" s="122"/>
      <c r="Z700" s="122"/>
    </row>
    <row r="701" spans="1:26" ht="12.75" x14ac:dyDescent="0.2">
      <c r="A701" s="122"/>
      <c r="B701" s="122"/>
      <c r="C701" s="122"/>
      <c r="D701" s="122"/>
      <c r="E701" s="122"/>
      <c r="F701" s="122"/>
      <c r="G701" s="122"/>
      <c r="H701" s="122"/>
      <c r="I701" s="122"/>
      <c r="J701" s="122"/>
      <c r="K701" s="122"/>
      <c r="L701" s="122"/>
      <c r="M701" s="122"/>
      <c r="N701" s="122"/>
      <c r="O701" s="122"/>
      <c r="P701" s="122"/>
      <c r="Q701" s="122"/>
      <c r="R701" s="122"/>
      <c r="S701" s="122"/>
      <c r="T701" s="122"/>
      <c r="U701" s="122"/>
      <c r="V701" s="122"/>
      <c r="W701" s="122"/>
      <c r="X701" s="122"/>
      <c r="Y701" s="122"/>
      <c r="Z701" s="122"/>
    </row>
    <row r="702" spans="1:26" ht="12.75" x14ac:dyDescent="0.2">
      <c r="A702" s="122"/>
      <c r="B702" s="122"/>
      <c r="C702" s="122"/>
      <c r="D702" s="122"/>
      <c r="E702" s="122"/>
      <c r="F702" s="122"/>
      <c r="G702" s="122"/>
      <c r="H702" s="122"/>
      <c r="I702" s="122"/>
      <c r="J702" s="122"/>
      <c r="K702" s="122"/>
      <c r="L702" s="122"/>
      <c r="M702" s="122"/>
      <c r="N702" s="122"/>
      <c r="O702" s="122"/>
      <c r="P702" s="122"/>
      <c r="Q702" s="122"/>
      <c r="R702" s="122"/>
      <c r="S702" s="122"/>
      <c r="T702" s="122"/>
      <c r="U702" s="122"/>
      <c r="V702" s="122"/>
      <c r="W702" s="122"/>
      <c r="X702" s="122"/>
      <c r="Y702" s="122"/>
      <c r="Z702" s="122"/>
    </row>
    <row r="703" spans="1:26" ht="12.75" x14ac:dyDescent="0.2">
      <c r="A703" s="122"/>
      <c r="B703" s="122"/>
      <c r="C703" s="122"/>
      <c r="D703" s="122"/>
      <c r="E703" s="122"/>
      <c r="F703" s="122"/>
      <c r="G703" s="122"/>
      <c r="H703" s="122"/>
      <c r="I703" s="122"/>
      <c r="J703" s="122"/>
      <c r="K703" s="122"/>
      <c r="L703" s="122"/>
      <c r="M703" s="122"/>
      <c r="N703" s="122"/>
      <c r="O703" s="122"/>
      <c r="P703" s="122"/>
      <c r="Q703" s="122"/>
      <c r="R703" s="122"/>
      <c r="S703" s="122"/>
      <c r="T703" s="122"/>
      <c r="U703" s="122"/>
      <c r="V703" s="122"/>
      <c r="W703" s="122"/>
      <c r="X703" s="122"/>
      <c r="Y703" s="122"/>
      <c r="Z703" s="122"/>
    </row>
    <row r="704" spans="1:26" ht="12.75" x14ac:dyDescent="0.2">
      <c r="A704" s="122"/>
      <c r="B704" s="122"/>
      <c r="C704" s="122"/>
      <c r="D704" s="122"/>
      <c r="E704" s="122"/>
      <c r="F704" s="122"/>
      <c r="G704" s="122"/>
      <c r="H704" s="122"/>
      <c r="I704" s="122"/>
      <c r="J704" s="122"/>
      <c r="K704" s="122"/>
      <c r="L704" s="122"/>
      <c r="M704" s="122"/>
      <c r="N704" s="122"/>
      <c r="O704" s="122"/>
      <c r="P704" s="122"/>
      <c r="Q704" s="122"/>
      <c r="R704" s="122"/>
      <c r="S704" s="122"/>
      <c r="T704" s="122"/>
      <c r="U704" s="122"/>
      <c r="V704" s="122"/>
      <c r="W704" s="122"/>
      <c r="X704" s="122"/>
      <c r="Y704" s="122"/>
      <c r="Z704" s="122"/>
    </row>
    <row r="705" spans="1:26" ht="12.75" x14ac:dyDescent="0.2">
      <c r="A705" s="122"/>
      <c r="B705" s="122"/>
      <c r="C705" s="122"/>
      <c r="D705" s="122"/>
      <c r="E705" s="122"/>
      <c r="F705" s="122"/>
      <c r="G705" s="122"/>
      <c r="H705" s="122"/>
      <c r="I705" s="122"/>
      <c r="J705" s="122"/>
      <c r="K705" s="122"/>
      <c r="L705" s="122"/>
      <c r="M705" s="122"/>
      <c r="N705" s="122"/>
      <c r="O705" s="122"/>
      <c r="P705" s="122"/>
      <c r="Q705" s="122"/>
      <c r="R705" s="122"/>
      <c r="S705" s="122"/>
      <c r="T705" s="122"/>
      <c r="U705" s="122"/>
      <c r="V705" s="122"/>
      <c r="W705" s="122"/>
      <c r="X705" s="122"/>
      <c r="Y705" s="122"/>
      <c r="Z705" s="122"/>
    </row>
    <row r="706" spans="1:26" ht="12.75" x14ac:dyDescent="0.2">
      <c r="A706" s="122"/>
      <c r="B706" s="122"/>
      <c r="C706" s="122"/>
      <c r="D706" s="122"/>
      <c r="E706" s="122"/>
      <c r="F706" s="122"/>
      <c r="G706" s="122"/>
      <c r="H706" s="122"/>
      <c r="I706" s="122"/>
      <c r="J706" s="122"/>
      <c r="K706" s="122"/>
      <c r="L706" s="122"/>
      <c r="M706" s="122"/>
      <c r="N706" s="122"/>
      <c r="O706" s="122"/>
      <c r="P706" s="122"/>
      <c r="Q706" s="122"/>
      <c r="R706" s="122"/>
      <c r="S706" s="122"/>
      <c r="T706" s="122"/>
      <c r="U706" s="122"/>
      <c r="V706" s="122"/>
      <c r="W706" s="122"/>
      <c r="X706" s="122"/>
      <c r="Y706" s="122"/>
      <c r="Z706" s="122"/>
    </row>
    <row r="707" spans="1:26" ht="12.75" x14ac:dyDescent="0.2">
      <c r="A707" s="122"/>
      <c r="B707" s="122"/>
      <c r="C707" s="122"/>
      <c r="D707" s="122"/>
      <c r="E707" s="122"/>
      <c r="F707" s="122"/>
      <c r="G707" s="122"/>
      <c r="H707" s="122"/>
      <c r="I707" s="122"/>
      <c r="J707" s="122"/>
      <c r="K707" s="122"/>
      <c r="L707" s="122"/>
      <c r="M707" s="122"/>
      <c r="N707" s="122"/>
      <c r="O707" s="122"/>
      <c r="P707" s="122"/>
      <c r="Q707" s="122"/>
      <c r="R707" s="122"/>
      <c r="S707" s="122"/>
      <c r="T707" s="122"/>
      <c r="U707" s="122"/>
      <c r="V707" s="122"/>
      <c r="W707" s="122"/>
      <c r="X707" s="122"/>
      <c r="Y707" s="122"/>
      <c r="Z707" s="122"/>
    </row>
    <row r="708" spans="1:26" ht="12.75" x14ac:dyDescent="0.2">
      <c r="A708" s="122"/>
      <c r="B708" s="122"/>
      <c r="C708" s="122"/>
      <c r="D708" s="122"/>
      <c r="E708" s="122"/>
      <c r="F708" s="122"/>
      <c r="G708" s="122"/>
      <c r="H708" s="122"/>
      <c r="I708" s="122"/>
      <c r="J708" s="122"/>
      <c r="K708" s="122"/>
      <c r="L708" s="122"/>
      <c r="M708" s="122"/>
      <c r="N708" s="122"/>
      <c r="O708" s="122"/>
      <c r="P708" s="122"/>
      <c r="Q708" s="122"/>
      <c r="R708" s="122"/>
      <c r="S708" s="122"/>
      <c r="T708" s="122"/>
      <c r="U708" s="122"/>
      <c r="V708" s="122"/>
      <c r="W708" s="122"/>
      <c r="X708" s="122"/>
      <c r="Y708" s="122"/>
      <c r="Z708" s="122"/>
    </row>
    <row r="709" spans="1:26" ht="12.75" x14ac:dyDescent="0.2">
      <c r="A709" s="122"/>
      <c r="B709" s="122"/>
      <c r="C709" s="122"/>
      <c r="D709" s="122"/>
      <c r="E709" s="122"/>
      <c r="F709" s="122"/>
      <c r="G709" s="122"/>
      <c r="H709" s="122"/>
      <c r="I709" s="122"/>
      <c r="J709" s="122"/>
      <c r="K709" s="122"/>
      <c r="L709" s="122"/>
      <c r="M709" s="122"/>
      <c r="N709" s="122"/>
      <c r="O709" s="122"/>
      <c r="P709" s="122"/>
      <c r="Q709" s="122"/>
      <c r="R709" s="122"/>
      <c r="S709" s="122"/>
      <c r="T709" s="122"/>
      <c r="U709" s="122"/>
      <c r="V709" s="122"/>
      <c r="W709" s="122"/>
      <c r="X709" s="122"/>
      <c r="Y709" s="122"/>
      <c r="Z709" s="122"/>
    </row>
    <row r="710" spans="1:26" ht="12.75" x14ac:dyDescent="0.2">
      <c r="A710" s="122"/>
      <c r="B710" s="122"/>
      <c r="C710" s="122"/>
      <c r="D710" s="122"/>
      <c r="E710" s="122"/>
      <c r="F710" s="122"/>
      <c r="G710" s="122"/>
      <c r="H710" s="122"/>
      <c r="I710" s="122"/>
      <c r="J710" s="122"/>
      <c r="K710" s="122"/>
      <c r="L710" s="122"/>
      <c r="M710" s="122"/>
      <c r="N710" s="122"/>
      <c r="O710" s="122"/>
      <c r="P710" s="122"/>
      <c r="Q710" s="122"/>
      <c r="R710" s="122"/>
      <c r="S710" s="122"/>
      <c r="T710" s="122"/>
      <c r="U710" s="122"/>
      <c r="V710" s="122"/>
      <c r="W710" s="122"/>
      <c r="X710" s="122"/>
      <c r="Y710" s="122"/>
      <c r="Z710" s="122"/>
    </row>
    <row r="711" spans="1:26" ht="12.75" x14ac:dyDescent="0.2">
      <c r="A711" s="122"/>
      <c r="B711" s="122"/>
      <c r="C711" s="122"/>
      <c r="D711" s="122"/>
      <c r="E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row>
    <row r="712" spans="1:26" ht="12.75" x14ac:dyDescent="0.2">
      <c r="A712" s="122"/>
      <c r="B712" s="122"/>
      <c r="C712" s="122"/>
      <c r="D712" s="122"/>
      <c r="E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row>
    <row r="713" spans="1:26" ht="12.75" x14ac:dyDescent="0.2">
      <c r="A713" s="122"/>
      <c r="B713" s="122"/>
      <c r="C713" s="122"/>
      <c r="D713" s="122"/>
      <c r="E713" s="122"/>
      <c r="F713" s="122"/>
      <c r="G713" s="122"/>
      <c r="H713" s="122"/>
      <c r="I713" s="122"/>
      <c r="J713" s="122"/>
      <c r="K713" s="122"/>
      <c r="L713" s="122"/>
      <c r="M713" s="122"/>
      <c r="N713" s="122"/>
      <c r="O713" s="122"/>
      <c r="P713" s="122"/>
      <c r="Q713" s="122"/>
      <c r="R713" s="122"/>
      <c r="S713" s="122"/>
      <c r="T713" s="122"/>
      <c r="U713" s="122"/>
      <c r="V713" s="122"/>
      <c r="W713" s="122"/>
      <c r="X713" s="122"/>
      <c r="Y713" s="122"/>
      <c r="Z713" s="122"/>
    </row>
    <row r="714" spans="1:26" ht="12.75" x14ac:dyDescent="0.2">
      <c r="A714" s="122"/>
      <c r="B714" s="122"/>
      <c r="C714" s="122"/>
      <c r="D714" s="122"/>
      <c r="E714" s="122"/>
      <c r="F714" s="122"/>
      <c r="G714" s="122"/>
      <c r="H714" s="122"/>
      <c r="I714" s="122"/>
      <c r="J714" s="122"/>
      <c r="K714" s="122"/>
      <c r="L714" s="122"/>
      <c r="M714" s="122"/>
      <c r="N714" s="122"/>
      <c r="O714" s="122"/>
      <c r="P714" s="122"/>
      <c r="Q714" s="122"/>
      <c r="R714" s="122"/>
      <c r="S714" s="122"/>
      <c r="T714" s="122"/>
      <c r="U714" s="122"/>
      <c r="V714" s="122"/>
      <c r="W714" s="122"/>
      <c r="X714" s="122"/>
      <c r="Y714" s="122"/>
      <c r="Z714" s="122"/>
    </row>
    <row r="715" spans="1:26" ht="12.75" x14ac:dyDescent="0.2">
      <c r="A715" s="122"/>
      <c r="B715" s="122"/>
      <c r="C715" s="122"/>
      <c r="D715" s="122"/>
      <c r="E715" s="122"/>
      <c r="F715" s="122"/>
      <c r="G715" s="122"/>
      <c r="H715" s="122"/>
      <c r="I715" s="122"/>
      <c r="J715" s="122"/>
      <c r="K715" s="122"/>
      <c r="L715" s="122"/>
      <c r="M715" s="122"/>
      <c r="N715" s="122"/>
      <c r="O715" s="122"/>
      <c r="P715" s="122"/>
      <c r="Q715" s="122"/>
      <c r="R715" s="122"/>
      <c r="S715" s="122"/>
      <c r="T715" s="122"/>
      <c r="U715" s="122"/>
      <c r="V715" s="122"/>
      <c r="W715" s="122"/>
      <c r="X715" s="122"/>
      <c r="Y715" s="122"/>
      <c r="Z715" s="122"/>
    </row>
    <row r="716" spans="1:26" ht="12.75" x14ac:dyDescent="0.2">
      <c r="A716" s="122"/>
      <c r="B716" s="122"/>
      <c r="C716" s="122"/>
      <c r="D716" s="122"/>
      <c r="E716" s="122"/>
      <c r="F716" s="122"/>
      <c r="G716" s="122"/>
      <c r="H716" s="122"/>
      <c r="I716" s="122"/>
      <c r="J716" s="122"/>
      <c r="K716" s="122"/>
      <c r="L716" s="122"/>
      <c r="M716" s="122"/>
      <c r="N716" s="122"/>
      <c r="O716" s="122"/>
      <c r="P716" s="122"/>
      <c r="Q716" s="122"/>
      <c r="R716" s="122"/>
      <c r="S716" s="122"/>
      <c r="T716" s="122"/>
      <c r="U716" s="122"/>
      <c r="V716" s="122"/>
      <c r="W716" s="122"/>
      <c r="X716" s="122"/>
      <c r="Y716" s="122"/>
      <c r="Z716" s="122"/>
    </row>
    <row r="717" spans="1:26" ht="12.75" x14ac:dyDescent="0.2">
      <c r="A717" s="122"/>
      <c r="B717" s="122"/>
      <c r="C717" s="122"/>
      <c r="D717" s="122"/>
      <c r="E717" s="122"/>
      <c r="F717" s="122"/>
      <c r="G717" s="122"/>
      <c r="H717" s="122"/>
      <c r="I717" s="122"/>
      <c r="J717" s="122"/>
      <c r="K717" s="122"/>
      <c r="L717" s="122"/>
      <c r="M717" s="122"/>
      <c r="N717" s="122"/>
      <c r="O717" s="122"/>
      <c r="P717" s="122"/>
      <c r="Q717" s="122"/>
      <c r="R717" s="122"/>
      <c r="S717" s="122"/>
      <c r="T717" s="122"/>
      <c r="U717" s="122"/>
      <c r="V717" s="122"/>
      <c r="W717" s="122"/>
      <c r="X717" s="122"/>
      <c r="Y717" s="122"/>
      <c r="Z717" s="122"/>
    </row>
    <row r="718" spans="1:26" ht="12.75" x14ac:dyDescent="0.2">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row>
    <row r="719" spans="1:26" ht="12.75" x14ac:dyDescent="0.2">
      <c r="A719" s="122"/>
      <c r="B719" s="122"/>
      <c r="C719" s="122"/>
      <c r="D719" s="122"/>
      <c r="E719" s="122"/>
      <c r="F719" s="122"/>
      <c r="G719" s="122"/>
      <c r="H719" s="122"/>
      <c r="I719" s="122"/>
      <c r="J719" s="122"/>
      <c r="K719" s="122"/>
      <c r="L719" s="122"/>
      <c r="M719" s="122"/>
      <c r="N719" s="122"/>
      <c r="O719" s="122"/>
      <c r="P719" s="122"/>
      <c r="Q719" s="122"/>
      <c r="R719" s="122"/>
      <c r="S719" s="122"/>
      <c r="T719" s="122"/>
      <c r="U719" s="122"/>
      <c r="V719" s="122"/>
      <c r="W719" s="122"/>
      <c r="X719" s="122"/>
      <c r="Y719" s="122"/>
      <c r="Z719" s="122"/>
    </row>
    <row r="720" spans="1:26" ht="12.75" x14ac:dyDescent="0.2">
      <c r="A720" s="122"/>
      <c r="B720" s="122"/>
      <c r="C720" s="122"/>
      <c r="D720" s="122"/>
      <c r="E720" s="122"/>
      <c r="F720" s="122"/>
      <c r="G720" s="122"/>
      <c r="H720" s="122"/>
      <c r="I720" s="122"/>
      <c r="J720" s="122"/>
      <c r="K720" s="122"/>
      <c r="L720" s="122"/>
      <c r="M720" s="122"/>
      <c r="N720" s="122"/>
      <c r="O720" s="122"/>
      <c r="P720" s="122"/>
      <c r="Q720" s="122"/>
      <c r="R720" s="122"/>
      <c r="S720" s="122"/>
      <c r="T720" s="122"/>
      <c r="U720" s="122"/>
      <c r="V720" s="122"/>
      <c r="W720" s="122"/>
      <c r="X720" s="122"/>
      <c r="Y720" s="122"/>
      <c r="Z720" s="122"/>
    </row>
    <row r="721" spans="1:26" ht="12.75" x14ac:dyDescent="0.2">
      <c r="A721" s="122"/>
      <c r="B721" s="122"/>
      <c r="C721" s="122"/>
      <c r="D721" s="122"/>
      <c r="E721" s="122"/>
      <c r="F721" s="122"/>
      <c r="G721" s="122"/>
      <c r="H721" s="122"/>
      <c r="I721" s="122"/>
      <c r="J721" s="122"/>
      <c r="K721" s="122"/>
      <c r="L721" s="122"/>
      <c r="M721" s="122"/>
      <c r="N721" s="122"/>
      <c r="O721" s="122"/>
      <c r="P721" s="122"/>
      <c r="Q721" s="122"/>
      <c r="R721" s="122"/>
      <c r="S721" s="122"/>
      <c r="T721" s="122"/>
      <c r="U721" s="122"/>
      <c r="V721" s="122"/>
      <c r="W721" s="122"/>
      <c r="X721" s="122"/>
      <c r="Y721" s="122"/>
      <c r="Z721" s="122"/>
    </row>
    <row r="722" spans="1:26" ht="12.75" x14ac:dyDescent="0.2">
      <c r="A722" s="122"/>
      <c r="B722" s="122"/>
      <c r="C722" s="122"/>
      <c r="D722" s="122"/>
      <c r="E722" s="122"/>
      <c r="F722" s="122"/>
      <c r="G722" s="122"/>
      <c r="H722" s="122"/>
      <c r="I722" s="122"/>
      <c r="J722" s="122"/>
      <c r="K722" s="122"/>
      <c r="L722" s="122"/>
      <c r="M722" s="122"/>
      <c r="N722" s="122"/>
      <c r="O722" s="122"/>
      <c r="P722" s="122"/>
      <c r="Q722" s="122"/>
      <c r="R722" s="122"/>
      <c r="S722" s="122"/>
      <c r="T722" s="122"/>
      <c r="U722" s="122"/>
      <c r="V722" s="122"/>
      <c r="W722" s="122"/>
      <c r="X722" s="122"/>
      <c r="Y722" s="122"/>
      <c r="Z722" s="122"/>
    </row>
    <row r="723" spans="1:26" ht="12.75" x14ac:dyDescent="0.2">
      <c r="A723" s="122"/>
      <c r="B723" s="122"/>
      <c r="C723" s="122"/>
      <c r="D723" s="122"/>
      <c r="E723" s="122"/>
      <c r="F723" s="122"/>
      <c r="G723" s="122"/>
      <c r="H723" s="122"/>
      <c r="I723" s="122"/>
      <c r="J723" s="122"/>
      <c r="K723" s="122"/>
      <c r="L723" s="122"/>
      <c r="M723" s="122"/>
      <c r="N723" s="122"/>
      <c r="O723" s="122"/>
      <c r="P723" s="122"/>
      <c r="Q723" s="122"/>
      <c r="R723" s="122"/>
      <c r="S723" s="122"/>
      <c r="T723" s="122"/>
      <c r="U723" s="122"/>
      <c r="V723" s="122"/>
      <c r="W723" s="122"/>
      <c r="X723" s="122"/>
      <c r="Y723" s="122"/>
      <c r="Z723" s="122"/>
    </row>
    <row r="724" spans="1:26" ht="12.75" x14ac:dyDescent="0.2">
      <c r="A724" s="122"/>
      <c r="B724" s="122"/>
      <c r="C724" s="122"/>
      <c r="D724" s="122"/>
      <c r="E724" s="122"/>
      <c r="F724" s="122"/>
      <c r="G724" s="122"/>
      <c r="H724" s="122"/>
      <c r="I724" s="122"/>
      <c r="J724" s="122"/>
      <c r="K724" s="122"/>
      <c r="L724" s="122"/>
      <c r="M724" s="122"/>
      <c r="N724" s="122"/>
      <c r="O724" s="122"/>
      <c r="P724" s="122"/>
      <c r="Q724" s="122"/>
      <c r="R724" s="122"/>
      <c r="S724" s="122"/>
      <c r="T724" s="122"/>
      <c r="U724" s="122"/>
      <c r="V724" s="122"/>
      <c r="W724" s="122"/>
      <c r="X724" s="122"/>
      <c r="Y724" s="122"/>
      <c r="Z724" s="122"/>
    </row>
    <row r="725" spans="1:26" ht="12.75" x14ac:dyDescent="0.2">
      <c r="A725" s="122"/>
      <c r="B725" s="122"/>
      <c r="C725" s="122"/>
      <c r="D725" s="122"/>
      <c r="E725" s="122"/>
      <c r="F725" s="122"/>
      <c r="G725" s="122"/>
      <c r="H725" s="122"/>
      <c r="I725" s="122"/>
      <c r="J725" s="122"/>
      <c r="K725" s="122"/>
      <c r="L725" s="122"/>
      <c r="M725" s="122"/>
      <c r="N725" s="122"/>
      <c r="O725" s="122"/>
      <c r="P725" s="122"/>
      <c r="Q725" s="122"/>
      <c r="R725" s="122"/>
      <c r="S725" s="122"/>
      <c r="T725" s="122"/>
      <c r="U725" s="122"/>
      <c r="V725" s="122"/>
      <c r="W725" s="122"/>
      <c r="X725" s="122"/>
      <c r="Y725" s="122"/>
      <c r="Z725" s="122"/>
    </row>
    <row r="726" spans="1:26" ht="12.75" x14ac:dyDescent="0.2">
      <c r="A726" s="122"/>
      <c r="B726" s="122"/>
      <c r="C726" s="122"/>
      <c r="D726" s="122"/>
      <c r="E726" s="122"/>
      <c r="F726" s="122"/>
      <c r="G726" s="122"/>
      <c r="H726" s="122"/>
      <c r="I726" s="122"/>
      <c r="J726" s="122"/>
      <c r="K726" s="122"/>
      <c r="L726" s="122"/>
      <c r="M726" s="122"/>
      <c r="N726" s="122"/>
      <c r="O726" s="122"/>
      <c r="P726" s="122"/>
      <c r="Q726" s="122"/>
      <c r="R726" s="122"/>
      <c r="S726" s="122"/>
      <c r="T726" s="122"/>
      <c r="U726" s="122"/>
      <c r="V726" s="122"/>
      <c r="W726" s="122"/>
      <c r="X726" s="122"/>
      <c r="Y726" s="122"/>
      <c r="Z726" s="122"/>
    </row>
    <row r="727" spans="1:26" ht="12.75" x14ac:dyDescent="0.2">
      <c r="A727" s="122"/>
      <c r="B727" s="122"/>
      <c r="C727" s="122"/>
      <c r="D727" s="122"/>
      <c r="E727" s="122"/>
      <c r="F727" s="122"/>
      <c r="G727" s="122"/>
      <c r="H727" s="122"/>
      <c r="I727" s="122"/>
      <c r="J727" s="122"/>
      <c r="K727" s="122"/>
      <c r="L727" s="122"/>
      <c r="M727" s="122"/>
      <c r="N727" s="122"/>
      <c r="O727" s="122"/>
      <c r="P727" s="122"/>
      <c r="Q727" s="122"/>
      <c r="R727" s="122"/>
      <c r="S727" s="122"/>
      <c r="T727" s="122"/>
      <c r="U727" s="122"/>
      <c r="V727" s="122"/>
      <c r="W727" s="122"/>
      <c r="X727" s="122"/>
      <c r="Y727" s="122"/>
      <c r="Z727" s="122"/>
    </row>
    <row r="728" spans="1:26" ht="12.75" x14ac:dyDescent="0.2">
      <c r="A728" s="122"/>
      <c r="B728" s="122"/>
      <c r="C728" s="122"/>
      <c r="D728" s="122"/>
      <c r="E728" s="122"/>
      <c r="F728" s="122"/>
      <c r="G728" s="122"/>
      <c r="H728" s="122"/>
      <c r="I728" s="122"/>
      <c r="J728" s="122"/>
      <c r="K728" s="122"/>
      <c r="L728" s="122"/>
      <c r="M728" s="122"/>
      <c r="N728" s="122"/>
      <c r="O728" s="122"/>
      <c r="P728" s="122"/>
      <c r="Q728" s="122"/>
      <c r="R728" s="122"/>
      <c r="S728" s="122"/>
      <c r="T728" s="122"/>
      <c r="U728" s="122"/>
      <c r="V728" s="122"/>
      <c r="W728" s="122"/>
      <c r="X728" s="122"/>
      <c r="Y728" s="122"/>
      <c r="Z728" s="122"/>
    </row>
    <row r="729" spans="1:26" ht="12.75" x14ac:dyDescent="0.2">
      <c r="A729" s="122"/>
      <c r="B729" s="122"/>
      <c r="C729" s="122"/>
      <c r="D729" s="122"/>
      <c r="E729" s="122"/>
      <c r="F729" s="122"/>
      <c r="G729" s="122"/>
      <c r="H729" s="122"/>
      <c r="I729" s="122"/>
      <c r="J729" s="122"/>
      <c r="K729" s="122"/>
      <c r="L729" s="122"/>
      <c r="M729" s="122"/>
      <c r="N729" s="122"/>
      <c r="O729" s="122"/>
      <c r="P729" s="122"/>
      <c r="Q729" s="122"/>
      <c r="R729" s="122"/>
      <c r="S729" s="122"/>
      <c r="T729" s="122"/>
      <c r="U729" s="122"/>
      <c r="V729" s="122"/>
      <c r="W729" s="122"/>
      <c r="X729" s="122"/>
      <c r="Y729" s="122"/>
      <c r="Z729" s="122"/>
    </row>
    <row r="730" spans="1:26" ht="12.75" x14ac:dyDescent="0.2">
      <c r="A730" s="122"/>
      <c r="B730" s="122"/>
      <c r="C730" s="122"/>
      <c r="D730" s="122"/>
      <c r="E730" s="122"/>
      <c r="F730" s="122"/>
      <c r="G730" s="122"/>
      <c r="H730" s="122"/>
      <c r="I730" s="122"/>
      <c r="J730" s="122"/>
      <c r="K730" s="122"/>
      <c r="L730" s="122"/>
      <c r="M730" s="122"/>
      <c r="N730" s="122"/>
      <c r="O730" s="122"/>
      <c r="P730" s="122"/>
      <c r="Q730" s="122"/>
      <c r="R730" s="122"/>
      <c r="S730" s="122"/>
      <c r="T730" s="122"/>
      <c r="U730" s="122"/>
      <c r="V730" s="122"/>
      <c r="W730" s="122"/>
      <c r="X730" s="122"/>
      <c r="Y730" s="122"/>
      <c r="Z730" s="122"/>
    </row>
    <row r="731" spans="1:26" ht="12.75" x14ac:dyDescent="0.2">
      <c r="A731" s="122"/>
      <c r="B731" s="122"/>
      <c r="C731" s="122"/>
      <c r="D731" s="122"/>
      <c r="E731" s="122"/>
      <c r="F731" s="122"/>
      <c r="G731" s="122"/>
      <c r="H731" s="122"/>
      <c r="I731" s="122"/>
      <c r="J731" s="122"/>
      <c r="K731" s="122"/>
      <c r="L731" s="122"/>
      <c r="M731" s="122"/>
      <c r="N731" s="122"/>
      <c r="O731" s="122"/>
      <c r="P731" s="122"/>
      <c r="Q731" s="122"/>
      <c r="R731" s="122"/>
      <c r="S731" s="122"/>
      <c r="T731" s="122"/>
      <c r="U731" s="122"/>
      <c r="V731" s="122"/>
      <c r="W731" s="122"/>
      <c r="X731" s="122"/>
      <c r="Y731" s="122"/>
      <c r="Z731" s="122"/>
    </row>
    <row r="732" spans="1:26" ht="12.75" x14ac:dyDescent="0.2">
      <c r="A732" s="122"/>
      <c r="B732" s="122"/>
      <c r="C732" s="122"/>
      <c r="D732" s="122"/>
      <c r="E732" s="122"/>
      <c r="F732" s="122"/>
      <c r="G732" s="122"/>
      <c r="H732" s="122"/>
      <c r="I732" s="122"/>
      <c r="J732" s="122"/>
      <c r="K732" s="122"/>
      <c r="L732" s="122"/>
      <c r="M732" s="122"/>
      <c r="N732" s="122"/>
      <c r="O732" s="122"/>
      <c r="P732" s="122"/>
      <c r="Q732" s="122"/>
      <c r="R732" s="122"/>
      <c r="S732" s="122"/>
      <c r="T732" s="122"/>
      <c r="U732" s="122"/>
      <c r="V732" s="122"/>
      <c r="W732" s="122"/>
      <c r="X732" s="122"/>
      <c r="Y732" s="122"/>
      <c r="Z732" s="122"/>
    </row>
    <row r="733" spans="1:26" ht="12.75" x14ac:dyDescent="0.2">
      <c r="A733" s="122"/>
      <c r="B733" s="122"/>
      <c r="C733" s="122"/>
      <c r="D733" s="122"/>
      <c r="E733" s="122"/>
      <c r="F733" s="122"/>
      <c r="G733" s="122"/>
      <c r="H733" s="122"/>
      <c r="I733" s="122"/>
      <c r="J733" s="122"/>
      <c r="K733" s="122"/>
      <c r="L733" s="122"/>
      <c r="M733" s="122"/>
      <c r="N733" s="122"/>
      <c r="O733" s="122"/>
      <c r="P733" s="122"/>
      <c r="Q733" s="122"/>
      <c r="R733" s="122"/>
      <c r="S733" s="122"/>
      <c r="T733" s="122"/>
      <c r="U733" s="122"/>
      <c r="V733" s="122"/>
      <c r="W733" s="122"/>
      <c r="X733" s="122"/>
      <c r="Y733" s="122"/>
      <c r="Z733" s="122"/>
    </row>
    <row r="734" spans="1:26" ht="12.75" x14ac:dyDescent="0.2">
      <c r="A734" s="122"/>
      <c r="B734" s="122"/>
      <c r="C734" s="122"/>
      <c r="D734" s="122"/>
      <c r="E734" s="122"/>
      <c r="F734" s="122"/>
      <c r="G734" s="122"/>
      <c r="H734" s="122"/>
      <c r="I734" s="122"/>
      <c r="J734" s="122"/>
      <c r="K734" s="122"/>
      <c r="L734" s="122"/>
      <c r="M734" s="122"/>
      <c r="N734" s="122"/>
      <c r="O734" s="122"/>
      <c r="P734" s="122"/>
      <c r="Q734" s="122"/>
      <c r="R734" s="122"/>
      <c r="S734" s="122"/>
      <c r="T734" s="122"/>
      <c r="U734" s="122"/>
      <c r="V734" s="122"/>
      <c r="W734" s="122"/>
      <c r="X734" s="122"/>
      <c r="Y734" s="122"/>
      <c r="Z734" s="122"/>
    </row>
    <row r="735" spans="1:26" ht="12.75" x14ac:dyDescent="0.2">
      <c r="A735" s="122"/>
      <c r="B735" s="122"/>
      <c r="C735" s="122"/>
      <c r="D735" s="122"/>
      <c r="E735" s="122"/>
      <c r="F735" s="122"/>
      <c r="G735" s="122"/>
      <c r="H735" s="122"/>
      <c r="I735" s="122"/>
      <c r="J735" s="122"/>
      <c r="K735" s="122"/>
      <c r="L735" s="122"/>
      <c r="M735" s="122"/>
      <c r="N735" s="122"/>
      <c r="O735" s="122"/>
      <c r="P735" s="122"/>
      <c r="Q735" s="122"/>
      <c r="R735" s="122"/>
      <c r="S735" s="122"/>
      <c r="T735" s="122"/>
      <c r="U735" s="122"/>
      <c r="V735" s="122"/>
      <c r="W735" s="122"/>
      <c r="X735" s="122"/>
      <c r="Y735" s="122"/>
      <c r="Z735" s="122"/>
    </row>
    <row r="736" spans="1:26" ht="12.75" x14ac:dyDescent="0.2">
      <c r="A736" s="122"/>
      <c r="B736" s="122"/>
      <c r="C736" s="122"/>
      <c r="D736" s="122"/>
      <c r="E736" s="122"/>
      <c r="F736" s="122"/>
      <c r="G736" s="122"/>
      <c r="H736" s="122"/>
      <c r="I736" s="122"/>
      <c r="J736" s="122"/>
      <c r="K736" s="122"/>
      <c r="L736" s="122"/>
      <c r="M736" s="122"/>
      <c r="N736" s="122"/>
      <c r="O736" s="122"/>
      <c r="P736" s="122"/>
      <c r="Q736" s="122"/>
      <c r="R736" s="122"/>
      <c r="S736" s="122"/>
      <c r="T736" s="122"/>
      <c r="U736" s="122"/>
      <c r="V736" s="122"/>
      <c r="W736" s="122"/>
      <c r="X736" s="122"/>
      <c r="Y736" s="122"/>
      <c r="Z736" s="122"/>
    </row>
    <row r="737" spans="1:26" ht="12.75" x14ac:dyDescent="0.2">
      <c r="A737" s="122"/>
      <c r="B737" s="122"/>
      <c r="C737" s="122"/>
      <c r="D737" s="122"/>
      <c r="E737" s="122"/>
      <c r="F737" s="122"/>
      <c r="G737" s="122"/>
      <c r="H737" s="122"/>
      <c r="I737" s="122"/>
      <c r="J737" s="122"/>
      <c r="K737" s="122"/>
      <c r="L737" s="122"/>
      <c r="M737" s="122"/>
      <c r="N737" s="122"/>
      <c r="O737" s="122"/>
      <c r="P737" s="122"/>
      <c r="Q737" s="122"/>
      <c r="R737" s="122"/>
      <c r="S737" s="122"/>
      <c r="T737" s="122"/>
      <c r="U737" s="122"/>
      <c r="V737" s="122"/>
      <c r="W737" s="122"/>
      <c r="X737" s="122"/>
      <c r="Y737" s="122"/>
      <c r="Z737" s="122"/>
    </row>
    <row r="738" spans="1:26" ht="12.75" x14ac:dyDescent="0.2">
      <c r="A738" s="122"/>
      <c r="B738" s="122"/>
      <c r="C738" s="122"/>
      <c r="D738" s="122"/>
      <c r="E738" s="122"/>
      <c r="F738" s="122"/>
      <c r="G738" s="122"/>
      <c r="H738" s="122"/>
      <c r="I738" s="122"/>
      <c r="J738" s="122"/>
      <c r="K738" s="122"/>
      <c r="L738" s="122"/>
      <c r="M738" s="122"/>
      <c r="N738" s="122"/>
      <c r="O738" s="122"/>
      <c r="P738" s="122"/>
      <c r="Q738" s="122"/>
      <c r="R738" s="122"/>
      <c r="S738" s="122"/>
      <c r="T738" s="122"/>
      <c r="U738" s="122"/>
      <c r="V738" s="122"/>
      <c r="W738" s="122"/>
      <c r="X738" s="122"/>
      <c r="Y738" s="122"/>
      <c r="Z738" s="122"/>
    </row>
    <row r="739" spans="1:26" ht="12.75" x14ac:dyDescent="0.2">
      <c r="A739" s="122"/>
      <c r="B739" s="122"/>
      <c r="C739" s="122"/>
      <c r="D739" s="122"/>
      <c r="E739" s="122"/>
      <c r="F739" s="122"/>
      <c r="G739" s="122"/>
      <c r="H739" s="122"/>
      <c r="I739" s="122"/>
      <c r="J739" s="122"/>
      <c r="K739" s="122"/>
      <c r="L739" s="122"/>
      <c r="M739" s="122"/>
      <c r="N739" s="122"/>
      <c r="O739" s="122"/>
      <c r="P739" s="122"/>
      <c r="Q739" s="122"/>
      <c r="R739" s="122"/>
      <c r="S739" s="122"/>
      <c r="T739" s="122"/>
      <c r="U739" s="122"/>
      <c r="V739" s="122"/>
      <c r="W739" s="122"/>
      <c r="X739" s="122"/>
      <c r="Y739" s="122"/>
      <c r="Z739" s="122"/>
    </row>
    <row r="740" spans="1:26" ht="12.75" x14ac:dyDescent="0.2">
      <c r="A740" s="122"/>
      <c r="B740" s="122"/>
      <c r="C740" s="122"/>
      <c r="D740" s="122"/>
      <c r="E740" s="122"/>
      <c r="F740" s="122"/>
      <c r="G740" s="122"/>
      <c r="H740" s="122"/>
      <c r="I740" s="122"/>
      <c r="J740" s="122"/>
      <c r="K740" s="122"/>
      <c r="L740" s="122"/>
      <c r="M740" s="122"/>
      <c r="N740" s="122"/>
      <c r="O740" s="122"/>
      <c r="P740" s="122"/>
      <c r="Q740" s="122"/>
      <c r="R740" s="122"/>
      <c r="S740" s="122"/>
      <c r="T740" s="122"/>
      <c r="U740" s="122"/>
      <c r="V740" s="122"/>
      <c r="W740" s="122"/>
      <c r="X740" s="122"/>
      <c r="Y740" s="122"/>
      <c r="Z740" s="122"/>
    </row>
    <row r="741" spans="1:26" ht="12.75" x14ac:dyDescent="0.2">
      <c r="A741" s="122"/>
      <c r="B741" s="122"/>
      <c r="C741" s="122"/>
      <c r="D741" s="122"/>
      <c r="E741" s="122"/>
      <c r="F741" s="122"/>
      <c r="G741" s="122"/>
      <c r="H741" s="122"/>
      <c r="I741" s="122"/>
      <c r="J741" s="122"/>
      <c r="K741" s="122"/>
      <c r="L741" s="122"/>
      <c r="M741" s="122"/>
      <c r="N741" s="122"/>
      <c r="O741" s="122"/>
      <c r="P741" s="122"/>
      <c r="Q741" s="122"/>
      <c r="R741" s="122"/>
      <c r="S741" s="122"/>
      <c r="T741" s="122"/>
      <c r="U741" s="122"/>
      <c r="V741" s="122"/>
      <c r="W741" s="122"/>
      <c r="X741" s="122"/>
      <c r="Y741" s="122"/>
      <c r="Z741" s="122"/>
    </row>
    <row r="742" spans="1:26" ht="12.75" x14ac:dyDescent="0.2">
      <c r="A742" s="122"/>
      <c r="B742" s="122"/>
      <c r="C742" s="122"/>
      <c r="D742" s="122"/>
      <c r="E742" s="122"/>
      <c r="F742" s="122"/>
      <c r="G742" s="122"/>
      <c r="H742" s="122"/>
      <c r="I742" s="122"/>
      <c r="J742" s="122"/>
      <c r="K742" s="122"/>
      <c r="L742" s="122"/>
      <c r="M742" s="122"/>
      <c r="N742" s="122"/>
      <c r="O742" s="122"/>
      <c r="P742" s="122"/>
      <c r="Q742" s="122"/>
      <c r="R742" s="122"/>
      <c r="S742" s="122"/>
      <c r="T742" s="122"/>
      <c r="U742" s="122"/>
      <c r="V742" s="122"/>
      <c r="W742" s="122"/>
      <c r="X742" s="122"/>
      <c r="Y742" s="122"/>
      <c r="Z742" s="122"/>
    </row>
    <row r="743" spans="1:26" ht="12.75" x14ac:dyDescent="0.2">
      <c r="A743" s="122"/>
      <c r="B743" s="122"/>
      <c r="C743" s="122"/>
      <c r="D743" s="122"/>
      <c r="E743" s="122"/>
      <c r="F743" s="122"/>
      <c r="G743" s="122"/>
      <c r="H743" s="122"/>
      <c r="I743" s="122"/>
      <c r="J743" s="122"/>
      <c r="K743" s="122"/>
      <c r="L743" s="122"/>
      <c r="M743" s="122"/>
      <c r="N743" s="122"/>
      <c r="O743" s="122"/>
      <c r="P743" s="122"/>
      <c r="Q743" s="122"/>
      <c r="R743" s="122"/>
      <c r="S743" s="122"/>
      <c r="T743" s="122"/>
      <c r="U743" s="122"/>
      <c r="V743" s="122"/>
      <c r="W743" s="122"/>
      <c r="X743" s="122"/>
      <c r="Y743" s="122"/>
      <c r="Z743" s="122"/>
    </row>
    <row r="744" spans="1:26" ht="12.75" x14ac:dyDescent="0.2">
      <c r="A744" s="122"/>
      <c r="B744" s="122"/>
      <c r="C744" s="122"/>
      <c r="D744" s="122"/>
      <c r="E744" s="122"/>
      <c r="F744" s="122"/>
      <c r="G744" s="122"/>
      <c r="H744" s="122"/>
      <c r="I744" s="122"/>
      <c r="J744" s="122"/>
      <c r="K744" s="122"/>
      <c r="L744" s="122"/>
      <c r="M744" s="122"/>
      <c r="N744" s="122"/>
      <c r="O744" s="122"/>
      <c r="P744" s="122"/>
      <c r="Q744" s="122"/>
      <c r="R744" s="122"/>
      <c r="S744" s="122"/>
      <c r="T744" s="122"/>
      <c r="U744" s="122"/>
      <c r="V744" s="122"/>
      <c r="W744" s="122"/>
      <c r="X744" s="122"/>
      <c r="Y744" s="122"/>
      <c r="Z744" s="122"/>
    </row>
    <row r="745" spans="1:26" ht="12.75" x14ac:dyDescent="0.2">
      <c r="A745" s="122"/>
      <c r="B745" s="122"/>
      <c r="C745" s="122"/>
      <c r="D745" s="122"/>
      <c r="E745" s="122"/>
      <c r="F745" s="122"/>
      <c r="G745" s="122"/>
      <c r="H745" s="122"/>
      <c r="I745" s="122"/>
      <c r="J745" s="122"/>
      <c r="K745" s="122"/>
      <c r="L745" s="122"/>
      <c r="M745" s="122"/>
      <c r="N745" s="122"/>
      <c r="O745" s="122"/>
      <c r="P745" s="122"/>
      <c r="Q745" s="122"/>
      <c r="R745" s="122"/>
      <c r="S745" s="122"/>
      <c r="T745" s="122"/>
      <c r="U745" s="122"/>
      <c r="V745" s="122"/>
      <c r="W745" s="122"/>
      <c r="X745" s="122"/>
      <c r="Y745" s="122"/>
      <c r="Z745" s="122"/>
    </row>
    <row r="746" spans="1:26" ht="12.75" x14ac:dyDescent="0.2">
      <c r="A746" s="122"/>
      <c r="B746" s="122"/>
      <c r="C746" s="122"/>
      <c r="D746" s="122"/>
      <c r="E746" s="122"/>
      <c r="F746" s="122"/>
      <c r="G746" s="122"/>
      <c r="H746" s="122"/>
      <c r="I746" s="122"/>
      <c r="J746" s="122"/>
      <c r="K746" s="122"/>
      <c r="L746" s="122"/>
      <c r="M746" s="122"/>
      <c r="N746" s="122"/>
      <c r="O746" s="122"/>
      <c r="P746" s="122"/>
      <c r="Q746" s="122"/>
      <c r="R746" s="122"/>
      <c r="S746" s="122"/>
      <c r="T746" s="122"/>
      <c r="U746" s="122"/>
      <c r="V746" s="122"/>
      <c r="W746" s="122"/>
      <c r="X746" s="122"/>
      <c r="Y746" s="122"/>
      <c r="Z746" s="122"/>
    </row>
    <row r="747" spans="1:26" ht="12.75" x14ac:dyDescent="0.2">
      <c r="A747" s="122"/>
      <c r="B747" s="122"/>
      <c r="C747" s="122"/>
      <c r="D747" s="122"/>
      <c r="E747" s="122"/>
      <c r="F747" s="122"/>
      <c r="G747" s="122"/>
      <c r="H747" s="122"/>
      <c r="I747" s="122"/>
      <c r="J747" s="122"/>
      <c r="K747" s="122"/>
      <c r="L747" s="122"/>
      <c r="M747" s="122"/>
      <c r="N747" s="122"/>
      <c r="O747" s="122"/>
      <c r="P747" s="122"/>
      <c r="Q747" s="122"/>
      <c r="R747" s="122"/>
      <c r="S747" s="122"/>
      <c r="T747" s="122"/>
      <c r="U747" s="122"/>
      <c r="V747" s="122"/>
      <c r="W747" s="122"/>
      <c r="X747" s="122"/>
      <c r="Y747" s="122"/>
      <c r="Z747" s="122"/>
    </row>
    <row r="748" spans="1:26" ht="12.75" x14ac:dyDescent="0.2">
      <c r="A748" s="122"/>
      <c r="B748" s="122"/>
      <c r="C748" s="122"/>
      <c r="D748" s="122"/>
      <c r="E748" s="122"/>
      <c r="F748" s="122"/>
      <c r="G748" s="122"/>
      <c r="H748" s="122"/>
      <c r="I748" s="122"/>
      <c r="J748" s="122"/>
      <c r="K748" s="122"/>
      <c r="L748" s="122"/>
      <c r="M748" s="122"/>
      <c r="N748" s="122"/>
      <c r="O748" s="122"/>
      <c r="P748" s="122"/>
      <c r="Q748" s="122"/>
      <c r="R748" s="122"/>
      <c r="S748" s="122"/>
      <c r="T748" s="122"/>
      <c r="U748" s="122"/>
      <c r="V748" s="122"/>
      <c r="W748" s="122"/>
      <c r="X748" s="122"/>
      <c r="Y748" s="122"/>
      <c r="Z748" s="122"/>
    </row>
    <row r="749" spans="1:26" ht="12.75" x14ac:dyDescent="0.2">
      <c r="A749" s="122"/>
      <c r="B749" s="122"/>
      <c r="C749" s="122"/>
      <c r="D749" s="122"/>
      <c r="E749" s="122"/>
      <c r="F749" s="122"/>
      <c r="G749" s="122"/>
      <c r="H749" s="122"/>
      <c r="I749" s="122"/>
      <c r="J749" s="122"/>
      <c r="K749" s="122"/>
      <c r="L749" s="122"/>
      <c r="M749" s="122"/>
      <c r="N749" s="122"/>
      <c r="O749" s="122"/>
      <c r="P749" s="122"/>
      <c r="Q749" s="122"/>
      <c r="R749" s="122"/>
      <c r="S749" s="122"/>
      <c r="T749" s="122"/>
      <c r="U749" s="122"/>
      <c r="V749" s="122"/>
      <c r="W749" s="122"/>
      <c r="X749" s="122"/>
      <c r="Y749" s="122"/>
      <c r="Z749" s="122"/>
    </row>
    <row r="750" spans="1:26" ht="12.75" x14ac:dyDescent="0.2">
      <c r="A750" s="122"/>
      <c r="B750" s="122"/>
      <c r="C750" s="122"/>
      <c r="D750" s="122"/>
      <c r="E750" s="122"/>
      <c r="F750" s="122"/>
      <c r="G750" s="122"/>
      <c r="H750" s="122"/>
      <c r="I750" s="122"/>
      <c r="J750" s="122"/>
      <c r="K750" s="122"/>
      <c r="L750" s="122"/>
      <c r="M750" s="122"/>
      <c r="N750" s="122"/>
      <c r="O750" s="122"/>
      <c r="P750" s="122"/>
      <c r="Q750" s="122"/>
      <c r="R750" s="122"/>
      <c r="S750" s="122"/>
      <c r="T750" s="122"/>
      <c r="U750" s="122"/>
      <c r="V750" s="122"/>
      <c r="W750" s="122"/>
      <c r="X750" s="122"/>
      <c r="Y750" s="122"/>
      <c r="Z750" s="122"/>
    </row>
    <row r="751" spans="1:26" ht="12.75" x14ac:dyDescent="0.2">
      <c r="A751" s="122"/>
      <c r="B751" s="122"/>
      <c r="C751" s="122"/>
      <c r="D751" s="122"/>
      <c r="E751" s="122"/>
      <c r="F751" s="122"/>
      <c r="G751" s="122"/>
      <c r="H751" s="122"/>
      <c r="I751" s="122"/>
      <c r="J751" s="122"/>
      <c r="K751" s="122"/>
      <c r="L751" s="122"/>
      <c r="M751" s="122"/>
      <c r="N751" s="122"/>
      <c r="O751" s="122"/>
      <c r="P751" s="122"/>
      <c r="Q751" s="122"/>
      <c r="R751" s="122"/>
      <c r="S751" s="122"/>
      <c r="T751" s="122"/>
      <c r="U751" s="122"/>
      <c r="V751" s="122"/>
      <c r="W751" s="122"/>
      <c r="X751" s="122"/>
      <c r="Y751" s="122"/>
      <c r="Z751" s="122"/>
    </row>
    <row r="752" spans="1:26" ht="12.75" x14ac:dyDescent="0.2">
      <c r="A752" s="122"/>
      <c r="B752" s="122"/>
      <c r="C752" s="122"/>
      <c r="D752" s="122"/>
      <c r="E752" s="122"/>
      <c r="F752" s="122"/>
      <c r="G752" s="122"/>
      <c r="H752" s="122"/>
      <c r="I752" s="122"/>
      <c r="J752" s="122"/>
      <c r="K752" s="122"/>
      <c r="L752" s="122"/>
      <c r="M752" s="122"/>
      <c r="N752" s="122"/>
      <c r="O752" s="122"/>
      <c r="P752" s="122"/>
      <c r="Q752" s="122"/>
      <c r="R752" s="122"/>
      <c r="S752" s="122"/>
      <c r="T752" s="122"/>
      <c r="U752" s="122"/>
      <c r="V752" s="122"/>
      <c r="W752" s="122"/>
      <c r="X752" s="122"/>
      <c r="Y752" s="122"/>
      <c r="Z752" s="122"/>
    </row>
    <row r="753" spans="1:26" ht="12.75" x14ac:dyDescent="0.2">
      <c r="A753" s="122"/>
      <c r="B753" s="122"/>
      <c r="C753" s="122"/>
      <c r="D753" s="122"/>
      <c r="E753" s="122"/>
      <c r="F753" s="122"/>
      <c r="G753" s="122"/>
      <c r="H753" s="122"/>
      <c r="I753" s="122"/>
      <c r="J753" s="122"/>
      <c r="K753" s="122"/>
      <c r="L753" s="122"/>
      <c r="M753" s="122"/>
      <c r="N753" s="122"/>
      <c r="O753" s="122"/>
      <c r="P753" s="122"/>
      <c r="Q753" s="122"/>
      <c r="R753" s="122"/>
      <c r="S753" s="122"/>
      <c r="T753" s="122"/>
      <c r="U753" s="122"/>
      <c r="V753" s="122"/>
      <c r="W753" s="122"/>
      <c r="X753" s="122"/>
      <c r="Y753" s="122"/>
      <c r="Z753" s="122"/>
    </row>
    <row r="754" spans="1:26" ht="12.75" x14ac:dyDescent="0.2">
      <c r="A754" s="122"/>
      <c r="B754" s="122"/>
      <c r="C754" s="122"/>
      <c r="D754" s="122"/>
      <c r="E754" s="122"/>
      <c r="F754" s="122"/>
      <c r="G754" s="122"/>
      <c r="H754" s="122"/>
      <c r="I754" s="122"/>
      <c r="J754" s="122"/>
      <c r="K754" s="122"/>
      <c r="L754" s="122"/>
      <c r="M754" s="122"/>
      <c r="N754" s="122"/>
      <c r="O754" s="122"/>
      <c r="P754" s="122"/>
      <c r="Q754" s="122"/>
      <c r="R754" s="122"/>
      <c r="S754" s="122"/>
      <c r="T754" s="122"/>
      <c r="U754" s="122"/>
      <c r="V754" s="122"/>
      <c r="W754" s="122"/>
      <c r="X754" s="122"/>
      <c r="Y754" s="122"/>
      <c r="Z754" s="122"/>
    </row>
    <row r="755" spans="1:26" ht="12.75" x14ac:dyDescent="0.2">
      <c r="A755" s="122"/>
      <c r="B755" s="122"/>
      <c r="C755" s="122"/>
      <c r="D755" s="122"/>
      <c r="E755" s="122"/>
      <c r="F755" s="122"/>
      <c r="G755" s="122"/>
      <c r="H755" s="122"/>
      <c r="I755" s="122"/>
      <c r="J755" s="122"/>
      <c r="K755" s="122"/>
      <c r="L755" s="122"/>
      <c r="M755" s="122"/>
      <c r="N755" s="122"/>
      <c r="O755" s="122"/>
      <c r="P755" s="122"/>
      <c r="Q755" s="122"/>
      <c r="R755" s="122"/>
      <c r="S755" s="122"/>
      <c r="T755" s="122"/>
      <c r="U755" s="122"/>
      <c r="V755" s="122"/>
      <c r="W755" s="122"/>
      <c r="X755" s="122"/>
      <c r="Y755" s="122"/>
      <c r="Z755" s="122"/>
    </row>
    <row r="756" spans="1:26" ht="12.75" x14ac:dyDescent="0.2">
      <c r="A756" s="122"/>
      <c r="B756" s="122"/>
      <c r="C756" s="122"/>
      <c r="D756" s="122"/>
      <c r="E756" s="122"/>
      <c r="F756" s="122"/>
      <c r="G756" s="122"/>
      <c r="H756" s="122"/>
      <c r="I756" s="122"/>
      <c r="J756" s="122"/>
      <c r="K756" s="122"/>
      <c r="L756" s="122"/>
      <c r="M756" s="122"/>
      <c r="N756" s="122"/>
      <c r="O756" s="122"/>
      <c r="P756" s="122"/>
      <c r="Q756" s="122"/>
      <c r="R756" s="122"/>
      <c r="S756" s="122"/>
      <c r="T756" s="122"/>
      <c r="U756" s="122"/>
      <c r="V756" s="122"/>
      <c r="W756" s="122"/>
      <c r="X756" s="122"/>
      <c r="Y756" s="122"/>
      <c r="Z756" s="122"/>
    </row>
    <row r="757" spans="1:26" ht="12.75" x14ac:dyDescent="0.2">
      <c r="A757" s="122"/>
      <c r="B757" s="122"/>
      <c r="C757" s="122"/>
      <c r="D757" s="122"/>
      <c r="E757" s="122"/>
      <c r="F757" s="122"/>
      <c r="G757" s="122"/>
      <c r="H757" s="122"/>
      <c r="I757" s="122"/>
      <c r="J757" s="122"/>
      <c r="K757" s="122"/>
      <c r="L757" s="122"/>
      <c r="M757" s="122"/>
      <c r="N757" s="122"/>
      <c r="O757" s="122"/>
      <c r="P757" s="122"/>
      <c r="Q757" s="122"/>
      <c r="R757" s="122"/>
      <c r="S757" s="122"/>
      <c r="T757" s="122"/>
      <c r="U757" s="122"/>
      <c r="V757" s="122"/>
      <c r="W757" s="122"/>
      <c r="X757" s="122"/>
      <c r="Y757" s="122"/>
      <c r="Z757" s="122"/>
    </row>
    <row r="758" spans="1:26" ht="12.75" x14ac:dyDescent="0.2">
      <c r="A758" s="122"/>
      <c r="B758" s="122"/>
      <c r="C758" s="122"/>
      <c r="D758" s="122"/>
      <c r="E758" s="122"/>
      <c r="F758" s="122"/>
      <c r="G758" s="122"/>
      <c r="H758" s="122"/>
      <c r="I758" s="122"/>
      <c r="J758" s="122"/>
      <c r="K758" s="122"/>
      <c r="L758" s="122"/>
      <c r="M758" s="122"/>
      <c r="N758" s="122"/>
      <c r="O758" s="122"/>
      <c r="P758" s="122"/>
      <c r="Q758" s="122"/>
      <c r="R758" s="122"/>
      <c r="S758" s="122"/>
      <c r="T758" s="122"/>
      <c r="U758" s="122"/>
      <c r="V758" s="122"/>
      <c r="W758" s="122"/>
      <c r="X758" s="122"/>
      <c r="Y758" s="122"/>
      <c r="Z758" s="122"/>
    </row>
    <row r="759" spans="1:26" ht="12.75" x14ac:dyDescent="0.2">
      <c r="A759" s="122"/>
      <c r="B759" s="122"/>
      <c r="C759" s="122"/>
      <c r="D759" s="122"/>
      <c r="E759" s="122"/>
      <c r="F759" s="122"/>
      <c r="G759" s="122"/>
      <c r="H759" s="122"/>
      <c r="I759" s="122"/>
      <c r="J759" s="122"/>
      <c r="K759" s="122"/>
      <c r="L759" s="122"/>
      <c r="M759" s="122"/>
      <c r="N759" s="122"/>
      <c r="O759" s="122"/>
      <c r="P759" s="122"/>
      <c r="Q759" s="122"/>
      <c r="R759" s="122"/>
      <c r="S759" s="122"/>
      <c r="T759" s="122"/>
      <c r="U759" s="122"/>
      <c r="V759" s="122"/>
      <c r="W759" s="122"/>
      <c r="X759" s="122"/>
      <c r="Y759" s="122"/>
      <c r="Z759" s="122"/>
    </row>
    <row r="760" spans="1:26" ht="12.75" x14ac:dyDescent="0.2">
      <c r="A760" s="122"/>
      <c r="B760" s="122"/>
      <c r="C760" s="122"/>
      <c r="D760" s="122"/>
      <c r="E760" s="122"/>
      <c r="F760" s="122"/>
      <c r="G760" s="122"/>
      <c r="H760" s="122"/>
      <c r="I760" s="122"/>
      <c r="J760" s="122"/>
      <c r="K760" s="122"/>
      <c r="L760" s="122"/>
      <c r="M760" s="122"/>
      <c r="N760" s="122"/>
      <c r="O760" s="122"/>
      <c r="P760" s="122"/>
      <c r="Q760" s="122"/>
      <c r="R760" s="122"/>
      <c r="S760" s="122"/>
      <c r="T760" s="122"/>
      <c r="U760" s="122"/>
      <c r="V760" s="122"/>
      <c r="W760" s="122"/>
      <c r="X760" s="122"/>
      <c r="Y760" s="122"/>
      <c r="Z760" s="122"/>
    </row>
    <row r="761" spans="1:26" ht="12.75" x14ac:dyDescent="0.2">
      <c r="A761" s="122"/>
      <c r="B761" s="122"/>
      <c r="C761" s="122"/>
      <c r="D761" s="122"/>
      <c r="E761" s="122"/>
      <c r="F761" s="122"/>
      <c r="G761" s="122"/>
      <c r="H761" s="122"/>
      <c r="I761" s="122"/>
      <c r="J761" s="122"/>
      <c r="K761" s="122"/>
      <c r="L761" s="122"/>
      <c r="M761" s="122"/>
      <c r="N761" s="122"/>
      <c r="O761" s="122"/>
      <c r="P761" s="122"/>
      <c r="Q761" s="122"/>
      <c r="R761" s="122"/>
      <c r="S761" s="122"/>
      <c r="T761" s="122"/>
      <c r="U761" s="122"/>
      <c r="V761" s="122"/>
      <c r="W761" s="122"/>
      <c r="X761" s="122"/>
      <c r="Y761" s="122"/>
      <c r="Z761" s="122"/>
    </row>
    <row r="762" spans="1:26" ht="12.75" x14ac:dyDescent="0.2">
      <c r="A762" s="122"/>
      <c r="B762" s="122"/>
      <c r="C762" s="122"/>
      <c r="D762" s="122"/>
      <c r="E762" s="122"/>
      <c r="F762" s="122"/>
      <c r="G762" s="122"/>
      <c r="H762" s="122"/>
      <c r="I762" s="122"/>
      <c r="J762" s="122"/>
      <c r="K762" s="122"/>
      <c r="L762" s="122"/>
      <c r="M762" s="122"/>
      <c r="N762" s="122"/>
      <c r="O762" s="122"/>
      <c r="P762" s="122"/>
      <c r="Q762" s="122"/>
      <c r="R762" s="122"/>
      <c r="S762" s="122"/>
      <c r="T762" s="122"/>
      <c r="U762" s="122"/>
      <c r="V762" s="122"/>
      <c r="W762" s="122"/>
      <c r="X762" s="122"/>
      <c r="Y762" s="122"/>
      <c r="Z762" s="122"/>
    </row>
    <row r="763" spans="1:26" ht="12.75" x14ac:dyDescent="0.2">
      <c r="A763" s="122"/>
      <c r="B763" s="122"/>
      <c r="C763" s="122"/>
      <c r="D763" s="122"/>
      <c r="E763" s="122"/>
      <c r="F763" s="122"/>
      <c r="G763" s="122"/>
      <c r="H763" s="122"/>
      <c r="I763" s="122"/>
      <c r="J763" s="122"/>
      <c r="K763" s="122"/>
      <c r="L763" s="122"/>
      <c r="M763" s="122"/>
      <c r="N763" s="122"/>
      <c r="O763" s="122"/>
      <c r="P763" s="122"/>
      <c r="Q763" s="122"/>
      <c r="R763" s="122"/>
      <c r="S763" s="122"/>
      <c r="T763" s="122"/>
      <c r="U763" s="122"/>
      <c r="V763" s="122"/>
      <c r="W763" s="122"/>
      <c r="X763" s="122"/>
      <c r="Y763" s="122"/>
      <c r="Z763" s="122"/>
    </row>
    <row r="764" spans="1:26" ht="12.75" x14ac:dyDescent="0.2">
      <c r="A764" s="122"/>
      <c r="B764" s="122"/>
      <c r="C764" s="122"/>
      <c r="D764" s="122"/>
      <c r="E764" s="122"/>
      <c r="F764" s="122"/>
      <c r="G764" s="122"/>
      <c r="H764" s="122"/>
      <c r="I764" s="122"/>
      <c r="J764" s="122"/>
      <c r="K764" s="122"/>
      <c r="L764" s="122"/>
      <c r="M764" s="122"/>
      <c r="N764" s="122"/>
      <c r="O764" s="122"/>
      <c r="P764" s="122"/>
      <c r="Q764" s="122"/>
      <c r="R764" s="122"/>
      <c r="S764" s="122"/>
      <c r="T764" s="122"/>
      <c r="U764" s="122"/>
      <c r="V764" s="122"/>
      <c r="W764" s="122"/>
      <c r="X764" s="122"/>
      <c r="Y764" s="122"/>
      <c r="Z764" s="122"/>
    </row>
    <row r="765" spans="1:26" ht="12.75" x14ac:dyDescent="0.2">
      <c r="A765" s="122"/>
      <c r="B765" s="122"/>
      <c r="C765" s="122"/>
      <c r="D765" s="122"/>
      <c r="E765" s="122"/>
      <c r="F765" s="122"/>
      <c r="G765" s="122"/>
      <c r="H765" s="122"/>
      <c r="I765" s="122"/>
      <c r="J765" s="122"/>
      <c r="K765" s="122"/>
      <c r="L765" s="122"/>
      <c r="M765" s="122"/>
      <c r="N765" s="122"/>
      <c r="O765" s="122"/>
      <c r="P765" s="122"/>
      <c r="Q765" s="122"/>
      <c r="R765" s="122"/>
      <c r="S765" s="122"/>
      <c r="T765" s="122"/>
      <c r="U765" s="122"/>
      <c r="V765" s="122"/>
      <c r="W765" s="122"/>
      <c r="X765" s="122"/>
      <c r="Y765" s="122"/>
      <c r="Z765" s="122"/>
    </row>
    <row r="766" spans="1:26" ht="12.75" x14ac:dyDescent="0.2">
      <c r="A766" s="122"/>
      <c r="B766" s="122"/>
      <c r="C766" s="122"/>
      <c r="D766" s="122"/>
      <c r="E766" s="122"/>
      <c r="F766" s="122"/>
      <c r="G766" s="122"/>
      <c r="H766" s="122"/>
      <c r="I766" s="122"/>
      <c r="J766" s="122"/>
      <c r="K766" s="122"/>
      <c r="L766" s="122"/>
      <c r="M766" s="122"/>
      <c r="N766" s="122"/>
      <c r="O766" s="122"/>
      <c r="P766" s="122"/>
      <c r="Q766" s="122"/>
      <c r="R766" s="122"/>
      <c r="S766" s="122"/>
      <c r="T766" s="122"/>
      <c r="U766" s="122"/>
      <c r="V766" s="122"/>
      <c r="W766" s="122"/>
      <c r="X766" s="122"/>
      <c r="Y766" s="122"/>
      <c r="Z766" s="122"/>
    </row>
    <row r="767" spans="1:26" ht="12.75" x14ac:dyDescent="0.2">
      <c r="A767" s="122"/>
      <c r="B767" s="122"/>
      <c r="C767" s="122"/>
      <c r="D767" s="122"/>
      <c r="E767" s="122"/>
      <c r="F767" s="122"/>
      <c r="G767" s="122"/>
      <c r="H767" s="122"/>
      <c r="I767" s="122"/>
      <c r="J767" s="122"/>
      <c r="K767" s="122"/>
      <c r="L767" s="122"/>
      <c r="M767" s="122"/>
      <c r="N767" s="122"/>
      <c r="O767" s="122"/>
      <c r="P767" s="122"/>
      <c r="Q767" s="122"/>
      <c r="R767" s="122"/>
      <c r="S767" s="122"/>
      <c r="T767" s="122"/>
      <c r="U767" s="122"/>
      <c r="V767" s="122"/>
      <c r="W767" s="122"/>
      <c r="X767" s="122"/>
      <c r="Y767" s="122"/>
      <c r="Z767" s="122"/>
    </row>
    <row r="768" spans="1:26" ht="12.75" x14ac:dyDescent="0.2">
      <c r="A768" s="122"/>
      <c r="B768" s="122"/>
      <c r="C768" s="122"/>
      <c r="D768" s="122"/>
      <c r="E768" s="122"/>
      <c r="F768" s="122"/>
      <c r="G768" s="122"/>
      <c r="H768" s="122"/>
      <c r="I768" s="122"/>
      <c r="J768" s="122"/>
      <c r="K768" s="122"/>
      <c r="L768" s="122"/>
      <c r="M768" s="122"/>
      <c r="N768" s="122"/>
      <c r="O768" s="122"/>
      <c r="P768" s="122"/>
      <c r="Q768" s="122"/>
      <c r="R768" s="122"/>
      <c r="S768" s="122"/>
      <c r="T768" s="122"/>
      <c r="U768" s="122"/>
      <c r="V768" s="122"/>
      <c r="W768" s="122"/>
      <c r="X768" s="122"/>
      <c r="Y768" s="122"/>
      <c r="Z768" s="122"/>
    </row>
    <row r="769" spans="1:26" ht="12.75" x14ac:dyDescent="0.2">
      <c r="A769" s="122"/>
      <c r="B769" s="122"/>
      <c r="C769" s="122"/>
      <c r="D769" s="122"/>
      <c r="E769" s="122"/>
      <c r="F769" s="122"/>
      <c r="G769" s="122"/>
      <c r="H769" s="122"/>
      <c r="I769" s="122"/>
      <c r="J769" s="122"/>
      <c r="K769" s="122"/>
      <c r="L769" s="122"/>
      <c r="M769" s="122"/>
      <c r="N769" s="122"/>
      <c r="O769" s="122"/>
      <c r="P769" s="122"/>
      <c r="Q769" s="122"/>
      <c r="R769" s="122"/>
      <c r="S769" s="122"/>
      <c r="T769" s="122"/>
      <c r="U769" s="122"/>
      <c r="V769" s="122"/>
      <c r="W769" s="122"/>
      <c r="X769" s="122"/>
      <c r="Y769" s="122"/>
      <c r="Z769" s="122"/>
    </row>
    <row r="770" spans="1:26" ht="12.75" x14ac:dyDescent="0.2">
      <c r="A770" s="122"/>
      <c r="B770" s="122"/>
      <c r="C770" s="122"/>
      <c r="D770" s="122"/>
      <c r="E770" s="122"/>
      <c r="F770" s="122"/>
      <c r="G770" s="122"/>
      <c r="H770" s="122"/>
      <c r="I770" s="122"/>
      <c r="J770" s="122"/>
      <c r="K770" s="122"/>
      <c r="L770" s="122"/>
      <c r="M770" s="122"/>
      <c r="N770" s="122"/>
      <c r="O770" s="122"/>
      <c r="P770" s="122"/>
      <c r="Q770" s="122"/>
      <c r="R770" s="122"/>
      <c r="S770" s="122"/>
      <c r="T770" s="122"/>
      <c r="U770" s="122"/>
      <c r="V770" s="122"/>
      <c r="W770" s="122"/>
      <c r="X770" s="122"/>
      <c r="Y770" s="122"/>
      <c r="Z770" s="122"/>
    </row>
    <row r="771" spans="1:26" ht="12.75" x14ac:dyDescent="0.2">
      <c r="A771" s="122"/>
      <c r="B771" s="122"/>
      <c r="C771" s="122"/>
      <c r="D771" s="122"/>
      <c r="E771" s="122"/>
      <c r="F771" s="122"/>
      <c r="G771" s="122"/>
      <c r="H771" s="122"/>
      <c r="I771" s="122"/>
      <c r="J771" s="122"/>
      <c r="K771" s="122"/>
      <c r="L771" s="122"/>
      <c r="M771" s="122"/>
      <c r="N771" s="122"/>
      <c r="O771" s="122"/>
      <c r="P771" s="122"/>
      <c r="Q771" s="122"/>
      <c r="R771" s="122"/>
      <c r="S771" s="122"/>
      <c r="T771" s="122"/>
      <c r="U771" s="122"/>
      <c r="V771" s="122"/>
      <c r="W771" s="122"/>
      <c r="X771" s="122"/>
      <c r="Y771" s="122"/>
      <c r="Z771" s="122"/>
    </row>
    <row r="772" spans="1:26" ht="12.75" x14ac:dyDescent="0.2">
      <c r="A772" s="122"/>
      <c r="B772" s="122"/>
      <c r="C772" s="122"/>
      <c r="D772" s="122"/>
      <c r="E772" s="122"/>
      <c r="F772" s="122"/>
      <c r="G772" s="122"/>
      <c r="H772" s="122"/>
      <c r="I772" s="122"/>
      <c r="J772" s="122"/>
      <c r="K772" s="122"/>
      <c r="L772" s="122"/>
      <c r="M772" s="122"/>
      <c r="N772" s="122"/>
      <c r="O772" s="122"/>
      <c r="P772" s="122"/>
      <c r="Q772" s="122"/>
      <c r="R772" s="122"/>
      <c r="S772" s="122"/>
      <c r="T772" s="122"/>
      <c r="U772" s="122"/>
      <c r="V772" s="122"/>
      <c r="W772" s="122"/>
      <c r="X772" s="122"/>
      <c r="Y772" s="122"/>
      <c r="Z772" s="122"/>
    </row>
    <row r="773" spans="1:26" ht="12.75" x14ac:dyDescent="0.2">
      <c r="A773" s="122"/>
      <c r="B773" s="122"/>
      <c r="C773" s="122"/>
      <c r="D773" s="122"/>
      <c r="E773" s="122"/>
      <c r="F773" s="122"/>
      <c r="G773" s="122"/>
      <c r="H773" s="122"/>
      <c r="I773" s="122"/>
      <c r="J773" s="122"/>
      <c r="K773" s="122"/>
      <c r="L773" s="122"/>
      <c r="M773" s="122"/>
      <c r="N773" s="122"/>
      <c r="O773" s="122"/>
      <c r="P773" s="122"/>
      <c r="Q773" s="122"/>
      <c r="R773" s="122"/>
      <c r="S773" s="122"/>
      <c r="T773" s="122"/>
      <c r="U773" s="122"/>
      <c r="V773" s="122"/>
      <c r="W773" s="122"/>
      <c r="X773" s="122"/>
      <c r="Y773" s="122"/>
      <c r="Z773" s="122"/>
    </row>
    <row r="774" spans="1:26" ht="12.75" x14ac:dyDescent="0.2">
      <c r="A774" s="122"/>
      <c r="B774" s="122"/>
      <c r="C774" s="122"/>
      <c r="D774" s="122"/>
      <c r="E774" s="122"/>
      <c r="F774" s="122"/>
      <c r="G774" s="122"/>
      <c r="H774" s="122"/>
      <c r="I774" s="122"/>
      <c r="J774" s="122"/>
      <c r="K774" s="122"/>
      <c r="L774" s="122"/>
      <c r="M774" s="122"/>
      <c r="N774" s="122"/>
      <c r="O774" s="122"/>
      <c r="P774" s="122"/>
      <c r="Q774" s="122"/>
      <c r="R774" s="122"/>
      <c r="S774" s="122"/>
      <c r="T774" s="122"/>
      <c r="U774" s="122"/>
      <c r="V774" s="122"/>
      <c r="W774" s="122"/>
      <c r="X774" s="122"/>
      <c r="Y774" s="122"/>
      <c r="Z774" s="122"/>
    </row>
    <row r="775" spans="1:26" ht="12.75" x14ac:dyDescent="0.2">
      <c r="A775" s="122"/>
      <c r="B775" s="122"/>
      <c r="C775" s="122"/>
      <c r="D775" s="122"/>
      <c r="E775" s="122"/>
      <c r="F775" s="122"/>
      <c r="G775" s="122"/>
      <c r="H775" s="122"/>
      <c r="I775" s="122"/>
      <c r="J775" s="122"/>
      <c r="K775" s="122"/>
      <c r="L775" s="122"/>
      <c r="M775" s="122"/>
      <c r="N775" s="122"/>
      <c r="O775" s="122"/>
      <c r="P775" s="122"/>
      <c r="Q775" s="122"/>
      <c r="R775" s="122"/>
      <c r="S775" s="122"/>
      <c r="T775" s="122"/>
      <c r="U775" s="122"/>
      <c r="V775" s="122"/>
      <c r="W775" s="122"/>
      <c r="X775" s="122"/>
      <c r="Y775" s="122"/>
      <c r="Z775" s="122"/>
    </row>
    <row r="776" spans="1:26" ht="12.75" x14ac:dyDescent="0.2">
      <c r="A776" s="122"/>
      <c r="B776" s="122"/>
      <c r="C776" s="122"/>
      <c r="D776" s="122"/>
      <c r="E776" s="122"/>
      <c r="F776" s="122"/>
      <c r="G776" s="122"/>
      <c r="H776" s="122"/>
      <c r="I776" s="122"/>
      <c r="J776" s="122"/>
      <c r="K776" s="122"/>
      <c r="L776" s="122"/>
      <c r="M776" s="122"/>
      <c r="N776" s="122"/>
      <c r="O776" s="122"/>
      <c r="P776" s="122"/>
      <c r="Q776" s="122"/>
      <c r="R776" s="122"/>
      <c r="S776" s="122"/>
      <c r="T776" s="122"/>
      <c r="U776" s="122"/>
      <c r="V776" s="122"/>
      <c r="W776" s="122"/>
      <c r="X776" s="122"/>
      <c r="Y776" s="122"/>
      <c r="Z776" s="122"/>
    </row>
    <row r="777" spans="1:26" ht="12.75" x14ac:dyDescent="0.2">
      <c r="A777" s="122"/>
      <c r="B777" s="122"/>
      <c r="C777" s="122"/>
      <c r="D777" s="122"/>
      <c r="E777" s="122"/>
      <c r="F777" s="122"/>
      <c r="G777" s="122"/>
      <c r="H777" s="122"/>
      <c r="I777" s="122"/>
      <c r="J777" s="122"/>
      <c r="K777" s="122"/>
      <c r="L777" s="122"/>
      <c r="M777" s="122"/>
      <c r="N777" s="122"/>
      <c r="O777" s="122"/>
      <c r="P777" s="122"/>
      <c r="Q777" s="122"/>
      <c r="R777" s="122"/>
      <c r="S777" s="122"/>
      <c r="T777" s="122"/>
      <c r="U777" s="122"/>
      <c r="V777" s="122"/>
      <c r="W777" s="122"/>
      <c r="X777" s="122"/>
      <c r="Y777" s="122"/>
      <c r="Z777" s="122"/>
    </row>
    <row r="778" spans="1:26" ht="12.75" x14ac:dyDescent="0.2">
      <c r="A778" s="122"/>
      <c r="B778" s="122"/>
      <c r="C778" s="122"/>
      <c r="D778" s="122"/>
      <c r="E778" s="122"/>
      <c r="F778" s="122"/>
      <c r="G778" s="122"/>
      <c r="H778" s="122"/>
      <c r="I778" s="122"/>
      <c r="J778" s="122"/>
      <c r="K778" s="122"/>
      <c r="L778" s="122"/>
      <c r="M778" s="122"/>
      <c r="N778" s="122"/>
      <c r="O778" s="122"/>
      <c r="P778" s="122"/>
      <c r="Q778" s="122"/>
      <c r="R778" s="122"/>
      <c r="S778" s="122"/>
      <c r="T778" s="122"/>
      <c r="U778" s="122"/>
      <c r="V778" s="122"/>
      <c r="W778" s="122"/>
      <c r="X778" s="122"/>
      <c r="Y778" s="122"/>
      <c r="Z778" s="122"/>
    </row>
    <row r="779" spans="1:26" ht="12.75" x14ac:dyDescent="0.2">
      <c r="A779" s="122"/>
      <c r="B779" s="122"/>
      <c r="C779" s="122"/>
      <c r="D779" s="122"/>
      <c r="E779" s="122"/>
      <c r="F779" s="122"/>
      <c r="G779" s="122"/>
      <c r="H779" s="122"/>
      <c r="I779" s="122"/>
      <c r="J779" s="122"/>
      <c r="K779" s="122"/>
      <c r="L779" s="122"/>
      <c r="M779" s="122"/>
      <c r="N779" s="122"/>
      <c r="O779" s="122"/>
      <c r="P779" s="122"/>
      <c r="Q779" s="122"/>
      <c r="R779" s="122"/>
      <c r="S779" s="122"/>
      <c r="T779" s="122"/>
      <c r="U779" s="122"/>
      <c r="V779" s="122"/>
      <c r="W779" s="122"/>
      <c r="X779" s="122"/>
      <c r="Y779" s="122"/>
      <c r="Z779" s="122"/>
    </row>
    <row r="780" spans="1:26" ht="12.75" x14ac:dyDescent="0.2">
      <c r="A780" s="122"/>
      <c r="B780" s="122"/>
      <c r="C780" s="122"/>
      <c r="D780" s="122"/>
      <c r="E780" s="122"/>
      <c r="F780" s="122"/>
      <c r="G780" s="122"/>
      <c r="H780" s="122"/>
      <c r="I780" s="122"/>
      <c r="J780" s="122"/>
      <c r="K780" s="122"/>
      <c r="L780" s="122"/>
      <c r="M780" s="122"/>
      <c r="N780" s="122"/>
      <c r="O780" s="122"/>
      <c r="P780" s="122"/>
      <c r="Q780" s="122"/>
      <c r="R780" s="122"/>
      <c r="S780" s="122"/>
      <c r="T780" s="122"/>
      <c r="U780" s="122"/>
      <c r="V780" s="122"/>
      <c r="W780" s="122"/>
      <c r="X780" s="122"/>
      <c r="Y780" s="122"/>
      <c r="Z780" s="122"/>
    </row>
    <row r="781" spans="1:26" ht="12.75" x14ac:dyDescent="0.2">
      <c r="A781" s="122"/>
      <c r="B781" s="122"/>
      <c r="C781" s="122"/>
      <c r="D781" s="122"/>
      <c r="E781" s="122"/>
      <c r="F781" s="122"/>
      <c r="G781" s="122"/>
      <c r="H781" s="122"/>
      <c r="I781" s="122"/>
      <c r="J781" s="122"/>
      <c r="K781" s="122"/>
      <c r="L781" s="122"/>
      <c r="M781" s="122"/>
      <c r="N781" s="122"/>
      <c r="O781" s="122"/>
      <c r="P781" s="122"/>
      <c r="Q781" s="122"/>
      <c r="R781" s="122"/>
      <c r="S781" s="122"/>
      <c r="T781" s="122"/>
      <c r="U781" s="122"/>
      <c r="V781" s="122"/>
      <c r="W781" s="122"/>
      <c r="X781" s="122"/>
      <c r="Y781" s="122"/>
      <c r="Z781" s="122"/>
    </row>
    <row r="782" spans="1:26" ht="12.75" x14ac:dyDescent="0.2">
      <c r="A782" s="122"/>
      <c r="B782" s="122"/>
      <c r="C782" s="122"/>
      <c r="D782" s="122"/>
      <c r="E782" s="122"/>
      <c r="F782" s="122"/>
      <c r="G782" s="122"/>
      <c r="H782" s="122"/>
      <c r="I782" s="122"/>
      <c r="J782" s="122"/>
      <c r="K782" s="122"/>
      <c r="L782" s="122"/>
      <c r="M782" s="122"/>
      <c r="N782" s="122"/>
      <c r="O782" s="122"/>
      <c r="P782" s="122"/>
      <c r="Q782" s="122"/>
      <c r="R782" s="122"/>
      <c r="S782" s="122"/>
      <c r="T782" s="122"/>
      <c r="U782" s="122"/>
      <c r="V782" s="122"/>
      <c r="W782" s="122"/>
      <c r="X782" s="122"/>
      <c r="Y782" s="122"/>
      <c r="Z782" s="122"/>
    </row>
    <row r="783" spans="1:26" ht="12.75" x14ac:dyDescent="0.2">
      <c r="A783" s="122"/>
      <c r="B783" s="122"/>
      <c r="C783" s="122"/>
      <c r="D783" s="122"/>
      <c r="E783" s="122"/>
      <c r="F783" s="122"/>
      <c r="G783" s="122"/>
      <c r="H783" s="122"/>
      <c r="I783" s="122"/>
      <c r="J783" s="122"/>
      <c r="K783" s="122"/>
      <c r="L783" s="122"/>
      <c r="M783" s="122"/>
      <c r="N783" s="122"/>
      <c r="O783" s="122"/>
      <c r="P783" s="122"/>
      <c r="Q783" s="122"/>
      <c r="R783" s="122"/>
      <c r="S783" s="122"/>
      <c r="T783" s="122"/>
      <c r="U783" s="122"/>
      <c r="V783" s="122"/>
      <c r="W783" s="122"/>
      <c r="X783" s="122"/>
      <c r="Y783" s="122"/>
      <c r="Z783" s="122"/>
    </row>
    <row r="784" spans="1:26" ht="12.75" x14ac:dyDescent="0.2">
      <c r="A784" s="122"/>
      <c r="B784" s="122"/>
      <c r="C784" s="122"/>
      <c r="D784" s="122"/>
      <c r="E784" s="122"/>
      <c r="F784" s="122"/>
      <c r="G784" s="122"/>
      <c r="H784" s="122"/>
      <c r="I784" s="122"/>
      <c r="J784" s="122"/>
      <c r="K784" s="122"/>
      <c r="L784" s="122"/>
      <c r="M784" s="122"/>
      <c r="N784" s="122"/>
      <c r="O784" s="122"/>
      <c r="P784" s="122"/>
      <c r="Q784" s="122"/>
      <c r="R784" s="122"/>
      <c r="S784" s="122"/>
      <c r="T784" s="122"/>
      <c r="U784" s="122"/>
      <c r="V784" s="122"/>
      <c r="W784" s="122"/>
      <c r="X784" s="122"/>
      <c r="Y784" s="122"/>
      <c r="Z784" s="122"/>
    </row>
    <row r="785" spans="1:26" ht="12.75" x14ac:dyDescent="0.2">
      <c r="A785" s="122"/>
      <c r="B785" s="122"/>
      <c r="C785" s="122"/>
      <c r="D785" s="122"/>
      <c r="E785" s="122"/>
      <c r="F785" s="122"/>
      <c r="G785" s="122"/>
      <c r="H785" s="122"/>
      <c r="I785" s="122"/>
      <c r="J785" s="122"/>
      <c r="K785" s="122"/>
      <c r="L785" s="122"/>
      <c r="M785" s="122"/>
      <c r="N785" s="122"/>
      <c r="O785" s="122"/>
      <c r="P785" s="122"/>
      <c r="Q785" s="122"/>
      <c r="R785" s="122"/>
      <c r="S785" s="122"/>
      <c r="T785" s="122"/>
      <c r="U785" s="122"/>
      <c r="V785" s="122"/>
      <c r="W785" s="122"/>
      <c r="X785" s="122"/>
      <c r="Y785" s="122"/>
      <c r="Z785" s="122"/>
    </row>
    <row r="786" spans="1:26" ht="12.75" x14ac:dyDescent="0.2">
      <c r="A786" s="122"/>
      <c r="B786" s="122"/>
      <c r="C786" s="122"/>
      <c r="D786" s="122"/>
      <c r="E786" s="122"/>
      <c r="F786" s="122"/>
      <c r="G786" s="122"/>
      <c r="H786" s="122"/>
      <c r="I786" s="122"/>
      <c r="J786" s="122"/>
      <c r="K786" s="122"/>
      <c r="L786" s="122"/>
      <c r="M786" s="122"/>
      <c r="N786" s="122"/>
      <c r="O786" s="122"/>
      <c r="P786" s="122"/>
      <c r="Q786" s="122"/>
      <c r="R786" s="122"/>
      <c r="S786" s="122"/>
      <c r="T786" s="122"/>
      <c r="U786" s="122"/>
      <c r="V786" s="122"/>
      <c r="W786" s="122"/>
      <c r="X786" s="122"/>
      <c r="Y786" s="122"/>
      <c r="Z786" s="122"/>
    </row>
    <row r="787" spans="1:26" ht="12.75" x14ac:dyDescent="0.2">
      <c r="A787" s="122"/>
      <c r="B787" s="122"/>
      <c r="C787" s="122"/>
      <c r="D787" s="122"/>
      <c r="E787" s="122"/>
      <c r="F787" s="122"/>
      <c r="G787" s="122"/>
      <c r="H787" s="122"/>
      <c r="I787" s="122"/>
      <c r="J787" s="122"/>
      <c r="K787" s="122"/>
      <c r="L787" s="122"/>
      <c r="M787" s="122"/>
      <c r="N787" s="122"/>
      <c r="O787" s="122"/>
      <c r="P787" s="122"/>
      <c r="Q787" s="122"/>
      <c r="R787" s="122"/>
      <c r="S787" s="122"/>
      <c r="T787" s="122"/>
      <c r="U787" s="122"/>
      <c r="V787" s="122"/>
      <c r="W787" s="122"/>
      <c r="X787" s="122"/>
      <c r="Y787" s="122"/>
      <c r="Z787" s="122"/>
    </row>
    <row r="788" spans="1:26" ht="12.75" x14ac:dyDescent="0.2">
      <c r="A788" s="122"/>
      <c r="B788" s="122"/>
      <c r="C788" s="122"/>
      <c r="D788" s="122"/>
      <c r="E788" s="122"/>
      <c r="F788" s="122"/>
      <c r="G788" s="122"/>
      <c r="H788" s="122"/>
      <c r="I788" s="122"/>
      <c r="J788" s="122"/>
      <c r="K788" s="122"/>
      <c r="L788" s="122"/>
      <c r="M788" s="122"/>
      <c r="N788" s="122"/>
      <c r="O788" s="122"/>
      <c r="P788" s="122"/>
      <c r="Q788" s="122"/>
      <c r="R788" s="122"/>
      <c r="S788" s="122"/>
      <c r="T788" s="122"/>
      <c r="U788" s="122"/>
      <c r="V788" s="122"/>
      <c r="W788" s="122"/>
      <c r="X788" s="122"/>
      <c r="Y788" s="122"/>
      <c r="Z788" s="122"/>
    </row>
    <row r="789" spans="1:26" ht="12.75" x14ac:dyDescent="0.2">
      <c r="A789" s="122"/>
      <c r="B789" s="122"/>
      <c r="C789" s="122"/>
      <c r="D789" s="122"/>
      <c r="E789" s="122"/>
      <c r="F789" s="122"/>
      <c r="G789" s="122"/>
      <c r="H789" s="122"/>
      <c r="I789" s="122"/>
      <c r="J789" s="122"/>
      <c r="K789" s="122"/>
      <c r="L789" s="122"/>
      <c r="M789" s="122"/>
      <c r="N789" s="122"/>
      <c r="O789" s="122"/>
      <c r="P789" s="122"/>
      <c r="Q789" s="122"/>
      <c r="R789" s="122"/>
      <c r="S789" s="122"/>
      <c r="T789" s="122"/>
      <c r="U789" s="122"/>
      <c r="V789" s="122"/>
      <c r="W789" s="122"/>
      <c r="X789" s="122"/>
      <c r="Y789" s="122"/>
      <c r="Z789" s="122"/>
    </row>
    <row r="790" spans="1:26" ht="12.75" x14ac:dyDescent="0.2">
      <c r="A790" s="122"/>
      <c r="B790" s="122"/>
      <c r="C790" s="122"/>
      <c r="D790" s="122"/>
      <c r="E790" s="122"/>
      <c r="F790" s="122"/>
      <c r="G790" s="122"/>
      <c r="H790" s="122"/>
      <c r="I790" s="122"/>
      <c r="J790" s="122"/>
      <c r="K790" s="122"/>
      <c r="L790" s="122"/>
      <c r="M790" s="122"/>
      <c r="N790" s="122"/>
      <c r="O790" s="122"/>
      <c r="P790" s="122"/>
      <c r="Q790" s="122"/>
      <c r="R790" s="122"/>
      <c r="S790" s="122"/>
      <c r="T790" s="122"/>
      <c r="U790" s="122"/>
      <c r="V790" s="122"/>
      <c r="W790" s="122"/>
      <c r="X790" s="122"/>
      <c r="Y790" s="122"/>
      <c r="Z790" s="122"/>
    </row>
    <row r="791" spans="1:26" ht="12.75" x14ac:dyDescent="0.2">
      <c r="A791" s="122"/>
      <c r="B791" s="122"/>
      <c r="C791" s="122"/>
      <c r="D791" s="122"/>
      <c r="E791" s="122"/>
      <c r="F791" s="122"/>
      <c r="G791" s="122"/>
      <c r="H791" s="122"/>
      <c r="I791" s="122"/>
      <c r="J791" s="122"/>
      <c r="K791" s="122"/>
      <c r="L791" s="122"/>
      <c r="M791" s="122"/>
      <c r="N791" s="122"/>
      <c r="O791" s="122"/>
      <c r="P791" s="122"/>
      <c r="Q791" s="122"/>
      <c r="R791" s="122"/>
      <c r="S791" s="122"/>
      <c r="T791" s="122"/>
      <c r="U791" s="122"/>
      <c r="V791" s="122"/>
      <c r="W791" s="122"/>
      <c r="X791" s="122"/>
      <c r="Y791" s="122"/>
      <c r="Z791" s="122"/>
    </row>
    <row r="792" spans="1:26" ht="12.75" x14ac:dyDescent="0.2">
      <c r="A792" s="122"/>
      <c r="B792" s="122"/>
      <c r="C792" s="122"/>
      <c r="D792" s="122"/>
      <c r="E792" s="122"/>
      <c r="F792" s="122"/>
      <c r="G792" s="122"/>
      <c r="H792" s="122"/>
      <c r="I792" s="122"/>
      <c r="J792" s="122"/>
      <c r="K792" s="122"/>
      <c r="L792" s="122"/>
      <c r="M792" s="122"/>
      <c r="N792" s="122"/>
      <c r="O792" s="122"/>
      <c r="P792" s="122"/>
      <c r="Q792" s="122"/>
      <c r="R792" s="122"/>
      <c r="S792" s="122"/>
      <c r="T792" s="122"/>
      <c r="U792" s="122"/>
      <c r="V792" s="122"/>
      <c r="W792" s="122"/>
      <c r="X792" s="122"/>
      <c r="Y792" s="122"/>
      <c r="Z792" s="122"/>
    </row>
    <row r="793" spans="1:26" ht="12.75" x14ac:dyDescent="0.2">
      <c r="A793" s="122"/>
      <c r="B793" s="122"/>
      <c r="C793" s="122"/>
      <c r="D793" s="122"/>
      <c r="E793" s="122"/>
      <c r="F793" s="122"/>
      <c r="G793" s="122"/>
      <c r="H793" s="122"/>
      <c r="I793" s="122"/>
      <c r="J793" s="122"/>
      <c r="K793" s="122"/>
      <c r="L793" s="122"/>
      <c r="M793" s="122"/>
      <c r="N793" s="122"/>
      <c r="O793" s="122"/>
      <c r="P793" s="122"/>
      <c r="Q793" s="122"/>
      <c r="R793" s="122"/>
      <c r="S793" s="122"/>
      <c r="T793" s="122"/>
      <c r="U793" s="122"/>
      <c r="V793" s="122"/>
      <c r="W793" s="122"/>
      <c r="X793" s="122"/>
      <c r="Y793" s="122"/>
      <c r="Z793" s="122"/>
    </row>
    <row r="794" spans="1:26" ht="12.75" x14ac:dyDescent="0.2">
      <c r="A794" s="122"/>
      <c r="B794" s="122"/>
      <c r="C794" s="122"/>
      <c r="D794" s="122"/>
      <c r="E794" s="122"/>
      <c r="F794" s="122"/>
      <c r="G794" s="122"/>
      <c r="H794" s="122"/>
      <c r="I794" s="122"/>
      <c r="J794" s="122"/>
      <c r="K794" s="122"/>
      <c r="L794" s="122"/>
      <c r="M794" s="122"/>
      <c r="N794" s="122"/>
      <c r="O794" s="122"/>
      <c r="P794" s="122"/>
      <c r="Q794" s="122"/>
      <c r="R794" s="122"/>
      <c r="S794" s="122"/>
      <c r="T794" s="122"/>
      <c r="U794" s="122"/>
      <c r="V794" s="122"/>
      <c r="W794" s="122"/>
      <c r="X794" s="122"/>
      <c r="Y794" s="122"/>
      <c r="Z794" s="122"/>
    </row>
    <row r="795" spans="1:26" ht="12.75" x14ac:dyDescent="0.2">
      <c r="A795" s="122"/>
      <c r="B795" s="122"/>
      <c r="C795" s="122"/>
      <c r="D795" s="122"/>
      <c r="E795" s="122"/>
      <c r="F795" s="122"/>
      <c r="G795" s="122"/>
      <c r="H795" s="122"/>
      <c r="I795" s="122"/>
      <c r="J795" s="122"/>
      <c r="K795" s="122"/>
      <c r="L795" s="122"/>
      <c r="M795" s="122"/>
      <c r="N795" s="122"/>
      <c r="O795" s="122"/>
      <c r="P795" s="122"/>
      <c r="Q795" s="122"/>
      <c r="R795" s="122"/>
      <c r="S795" s="122"/>
      <c r="T795" s="122"/>
      <c r="U795" s="122"/>
      <c r="V795" s="122"/>
      <c r="W795" s="122"/>
      <c r="X795" s="122"/>
      <c r="Y795" s="122"/>
      <c r="Z795" s="122"/>
    </row>
    <row r="796" spans="1:26" ht="12.75" x14ac:dyDescent="0.2">
      <c r="A796" s="122"/>
      <c r="B796" s="122"/>
      <c r="C796" s="122"/>
      <c r="D796" s="122"/>
      <c r="E796" s="122"/>
      <c r="F796" s="122"/>
      <c r="G796" s="122"/>
      <c r="H796" s="122"/>
      <c r="I796" s="122"/>
      <c r="J796" s="122"/>
      <c r="K796" s="122"/>
      <c r="L796" s="122"/>
      <c r="M796" s="122"/>
      <c r="N796" s="122"/>
      <c r="O796" s="122"/>
      <c r="P796" s="122"/>
      <c r="Q796" s="122"/>
      <c r="R796" s="122"/>
      <c r="S796" s="122"/>
      <c r="T796" s="122"/>
      <c r="U796" s="122"/>
      <c r="V796" s="122"/>
      <c r="W796" s="122"/>
      <c r="X796" s="122"/>
      <c r="Y796" s="122"/>
      <c r="Z796" s="122"/>
    </row>
    <row r="797" spans="1:26" ht="12.75" x14ac:dyDescent="0.2">
      <c r="A797" s="122"/>
      <c r="B797" s="122"/>
      <c r="C797" s="122"/>
      <c r="D797" s="122"/>
      <c r="E797" s="122"/>
      <c r="F797" s="122"/>
      <c r="G797" s="122"/>
      <c r="H797" s="122"/>
      <c r="I797" s="122"/>
      <c r="J797" s="122"/>
      <c r="K797" s="122"/>
      <c r="L797" s="122"/>
      <c r="M797" s="122"/>
      <c r="N797" s="122"/>
      <c r="O797" s="122"/>
      <c r="P797" s="122"/>
      <c r="Q797" s="122"/>
      <c r="R797" s="122"/>
      <c r="S797" s="122"/>
      <c r="T797" s="122"/>
      <c r="U797" s="122"/>
      <c r="V797" s="122"/>
      <c r="W797" s="122"/>
      <c r="X797" s="122"/>
      <c r="Y797" s="122"/>
      <c r="Z797" s="122"/>
    </row>
    <row r="798" spans="1:26" ht="12.75" x14ac:dyDescent="0.2">
      <c r="A798" s="122"/>
      <c r="B798" s="122"/>
      <c r="C798" s="122"/>
      <c r="D798" s="122"/>
      <c r="E798" s="122"/>
      <c r="F798" s="122"/>
      <c r="G798" s="122"/>
      <c r="H798" s="122"/>
      <c r="I798" s="122"/>
      <c r="J798" s="122"/>
      <c r="K798" s="122"/>
      <c r="L798" s="122"/>
      <c r="M798" s="122"/>
      <c r="N798" s="122"/>
      <c r="O798" s="122"/>
      <c r="P798" s="122"/>
      <c r="Q798" s="122"/>
      <c r="R798" s="122"/>
      <c r="S798" s="122"/>
      <c r="T798" s="122"/>
      <c r="U798" s="122"/>
      <c r="V798" s="122"/>
      <c r="W798" s="122"/>
      <c r="X798" s="122"/>
      <c r="Y798" s="122"/>
      <c r="Z798" s="122"/>
    </row>
    <row r="799" spans="1:26" ht="12.75" x14ac:dyDescent="0.2">
      <c r="A799" s="122"/>
      <c r="B799" s="122"/>
      <c r="C799" s="122"/>
      <c r="D799" s="122"/>
      <c r="E799" s="122"/>
      <c r="F799" s="122"/>
      <c r="G799" s="122"/>
      <c r="H799" s="122"/>
      <c r="I799" s="122"/>
      <c r="J799" s="122"/>
      <c r="K799" s="122"/>
      <c r="L799" s="122"/>
      <c r="M799" s="122"/>
      <c r="N799" s="122"/>
      <c r="O799" s="122"/>
      <c r="P799" s="122"/>
      <c r="Q799" s="122"/>
      <c r="R799" s="122"/>
      <c r="S799" s="122"/>
      <c r="T799" s="122"/>
      <c r="U799" s="122"/>
      <c r="V799" s="122"/>
      <c r="W799" s="122"/>
      <c r="X799" s="122"/>
      <c r="Y799" s="122"/>
      <c r="Z799" s="122"/>
    </row>
    <row r="800" spans="1:26" ht="12.75" x14ac:dyDescent="0.2">
      <c r="A800" s="122"/>
      <c r="B800" s="122"/>
      <c r="C800" s="122"/>
      <c r="D800" s="122"/>
      <c r="E800" s="122"/>
      <c r="F800" s="122"/>
      <c r="G800" s="122"/>
      <c r="H800" s="122"/>
      <c r="I800" s="122"/>
      <c r="J800" s="122"/>
      <c r="K800" s="122"/>
      <c r="L800" s="122"/>
      <c r="M800" s="122"/>
      <c r="N800" s="122"/>
      <c r="O800" s="122"/>
      <c r="P800" s="122"/>
      <c r="Q800" s="122"/>
      <c r="R800" s="122"/>
      <c r="S800" s="122"/>
      <c r="T800" s="122"/>
      <c r="U800" s="122"/>
      <c r="V800" s="122"/>
      <c r="W800" s="122"/>
      <c r="X800" s="122"/>
      <c r="Y800" s="122"/>
      <c r="Z800" s="122"/>
    </row>
    <row r="801" spans="1:26" ht="12.75" x14ac:dyDescent="0.2">
      <c r="A801" s="122"/>
      <c r="B801" s="122"/>
      <c r="C801" s="122"/>
      <c r="D801" s="122"/>
      <c r="E801" s="122"/>
      <c r="F801" s="122"/>
      <c r="G801" s="122"/>
      <c r="H801" s="122"/>
      <c r="I801" s="122"/>
      <c r="J801" s="122"/>
      <c r="K801" s="122"/>
      <c r="L801" s="122"/>
      <c r="M801" s="122"/>
      <c r="N801" s="122"/>
      <c r="O801" s="122"/>
      <c r="P801" s="122"/>
      <c r="Q801" s="122"/>
      <c r="R801" s="122"/>
      <c r="S801" s="122"/>
      <c r="T801" s="122"/>
      <c r="U801" s="122"/>
      <c r="V801" s="122"/>
      <c r="W801" s="122"/>
      <c r="X801" s="122"/>
      <c r="Y801" s="122"/>
      <c r="Z801" s="122"/>
    </row>
    <row r="802" spans="1:26" ht="12.75" x14ac:dyDescent="0.2">
      <c r="A802" s="122"/>
      <c r="B802" s="122"/>
      <c r="C802" s="122"/>
      <c r="D802" s="122"/>
      <c r="E802" s="122"/>
      <c r="F802" s="122"/>
      <c r="G802" s="122"/>
      <c r="H802" s="122"/>
      <c r="I802" s="122"/>
      <c r="J802" s="122"/>
      <c r="K802" s="122"/>
      <c r="L802" s="122"/>
      <c r="M802" s="122"/>
      <c r="N802" s="122"/>
      <c r="O802" s="122"/>
      <c r="P802" s="122"/>
      <c r="Q802" s="122"/>
      <c r="R802" s="122"/>
      <c r="S802" s="122"/>
      <c r="T802" s="122"/>
      <c r="U802" s="122"/>
      <c r="V802" s="122"/>
      <c r="W802" s="122"/>
      <c r="X802" s="122"/>
      <c r="Y802" s="122"/>
      <c r="Z802" s="122"/>
    </row>
    <row r="803" spans="1:26" ht="12.75" x14ac:dyDescent="0.2">
      <c r="A803" s="122"/>
      <c r="B803" s="122"/>
      <c r="C803" s="122"/>
      <c r="D803" s="122"/>
      <c r="E803" s="122"/>
      <c r="F803" s="122"/>
      <c r="G803" s="122"/>
      <c r="H803" s="122"/>
      <c r="I803" s="122"/>
      <c r="J803" s="122"/>
      <c r="K803" s="122"/>
      <c r="L803" s="122"/>
      <c r="M803" s="122"/>
      <c r="N803" s="122"/>
      <c r="O803" s="122"/>
      <c r="P803" s="122"/>
      <c r="Q803" s="122"/>
      <c r="R803" s="122"/>
      <c r="S803" s="122"/>
      <c r="T803" s="122"/>
      <c r="U803" s="122"/>
      <c r="V803" s="122"/>
      <c r="W803" s="122"/>
      <c r="X803" s="122"/>
      <c r="Y803" s="122"/>
      <c r="Z803" s="122"/>
    </row>
    <row r="804" spans="1:26" ht="12.75" x14ac:dyDescent="0.2">
      <c r="A804" s="122"/>
      <c r="B804" s="122"/>
      <c r="C804" s="122"/>
      <c r="D804" s="122"/>
      <c r="E804" s="122"/>
      <c r="F804" s="122"/>
      <c r="G804" s="122"/>
      <c r="H804" s="122"/>
      <c r="I804" s="122"/>
      <c r="J804" s="122"/>
      <c r="K804" s="122"/>
      <c r="L804" s="122"/>
      <c r="M804" s="122"/>
      <c r="N804" s="122"/>
      <c r="O804" s="122"/>
      <c r="P804" s="122"/>
      <c r="Q804" s="122"/>
      <c r="R804" s="122"/>
      <c r="S804" s="122"/>
      <c r="T804" s="122"/>
      <c r="U804" s="122"/>
      <c r="V804" s="122"/>
      <c r="W804" s="122"/>
      <c r="X804" s="122"/>
      <c r="Y804" s="122"/>
      <c r="Z804" s="122"/>
    </row>
    <row r="805" spans="1:26" ht="12.75" x14ac:dyDescent="0.2">
      <c r="A805" s="122"/>
      <c r="B805" s="122"/>
      <c r="C805" s="122"/>
      <c r="D805" s="122"/>
      <c r="E805" s="122"/>
      <c r="F805" s="122"/>
      <c r="G805" s="122"/>
      <c r="H805" s="122"/>
      <c r="I805" s="122"/>
      <c r="J805" s="122"/>
      <c r="K805" s="122"/>
      <c r="L805" s="122"/>
      <c r="M805" s="122"/>
      <c r="N805" s="122"/>
      <c r="O805" s="122"/>
      <c r="P805" s="122"/>
      <c r="Q805" s="122"/>
      <c r="R805" s="122"/>
      <c r="S805" s="122"/>
      <c r="T805" s="122"/>
      <c r="U805" s="122"/>
      <c r="V805" s="122"/>
      <c r="W805" s="122"/>
      <c r="X805" s="122"/>
      <c r="Y805" s="122"/>
      <c r="Z805" s="122"/>
    </row>
    <row r="806" spans="1:26" ht="12.75" x14ac:dyDescent="0.2">
      <c r="A806" s="122"/>
      <c r="B806" s="122"/>
      <c r="C806" s="122"/>
      <c r="D806" s="122"/>
      <c r="E806" s="122"/>
      <c r="F806" s="122"/>
      <c r="G806" s="122"/>
      <c r="H806" s="122"/>
      <c r="I806" s="122"/>
      <c r="J806" s="122"/>
      <c r="K806" s="122"/>
      <c r="L806" s="122"/>
      <c r="M806" s="122"/>
      <c r="N806" s="122"/>
      <c r="O806" s="122"/>
      <c r="P806" s="122"/>
      <c r="Q806" s="122"/>
      <c r="R806" s="122"/>
      <c r="S806" s="122"/>
      <c r="T806" s="122"/>
      <c r="U806" s="122"/>
      <c r="V806" s="122"/>
      <c r="W806" s="122"/>
      <c r="X806" s="122"/>
      <c r="Y806" s="122"/>
      <c r="Z806" s="122"/>
    </row>
    <row r="807" spans="1:26" ht="12.75" x14ac:dyDescent="0.2">
      <c r="A807" s="122"/>
      <c r="B807" s="122"/>
      <c r="C807" s="122"/>
      <c r="D807" s="122"/>
      <c r="E807" s="122"/>
      <c r="F807" s="122"/>
      <c r="G807" s="122"/>
      <c r="H807" s="122"/>
      <c r="I807" s="122"/>
      <c r="J807" s="122"/>
      <c r="K807" s="122"/>
      <c r="L807" s="122"/>
      <c r="M807" s="122"/>
      <c r="N807" s="122"/>
      <c r="O807" s="122"/>
      <c r="P807" s="122"/>
      <c r="Q807" s="122"/>
      <c r="R807" s="122"/>
      <c r="S807" s="122"/>
      <c r="T807" s="122"/>
      <c r="U807" s="122"/>
      <c r="V807" s="122"/>
      <c r="W807" s="122"/>
      <c r="X807" s="122"/>
      <c r="Y807" s="122"/>
      <c r="Z807" s="122"/>
    </row>
    <row r="808" spans="1:26" ht="12.75" x14ac:dyDescent="0.2">
      <c r="A808" s="122"/>
      <c r="B808" s="122"/>
      <c r="C808" s="122"/>
      <c r="D808" s="122"/>
      <c r="E808" s="122"/>
      <c r="F808" s="122"/>
      <c r="G808" s="122"/>
      <c r="H808" s="122"/>
      <c r="I808" s="122"/>
      <c r="J808" s="122"/>
      <c r="K808" s="122"/>
      <c r="L808" s="122"/>
      <c r="M808" s="122"/>
      <c r="N808" s="122"/>
      <c r="O808" s="122"/>
      <c r="P808" s="122"/>
      <c r="Q808" s="122"/>
      <c r="R808" s="122"/>
      <c r="S808" s="122"/>
      <c r="T808" s="122"/>
      <c r="U808" s="122"/>
      <c r="V808" s="122"/>
      <c r="W808" s="122"/>
      <c r="X808" s="122"/>
      <c r="Y808" s="122"/>
      <c r="Z808" s="122"/>
    </row>
    <row r="809" spans="1:26" ht="12.75" x14ac:dyDescent="0.2">
      <c r="A809" s="122"/>
      <c r="B809" s="122"/>
      <c r="C809" s="122"/>
      <c r="D809" s="122"/>
      <c r="E809" s="122"/>
      <c r="F809" s="122"/>
      <c r="G809" s="122"/>
      <c r="H809" s="122"/>
      <c r="I809" s="122"/>
      <c r="J809" s="122"/>
      <c r="K809" s="122"/>
      <c r="L809" s="122"/>
      <c r="M809" s="122"/>
      <c r="N809" s="122"/>
      <c r="O809" s="122"/>
      <c r="P809" s="122"/>
      <c r="Q809" s="122"/>
      <c r="R809" s="122"/>
      <c r="S809" s="122"/>
      <c r="T809" s="122"/>
      <c r="U809" s="122"/>
      <c r="V809" s="122"/>
      <c r="W809" s="122"/>
      <c r="X809" s="122"/>
      <c r="Y809" s="122"/>
      <c r="Z809" s="122"/>
    </row>
    <row r="810" spans="1:26" ht="12.75" x14ac:dyDescent="0.2">
      <c r="A810" s="122"/>
      <c r="B810" s="122"/>
      <c r="C810" s="122"/>
      <c r="D810" s="122"/>
      <c r="E810" s="122"/>
      <c r="F810" s="122"/>
      <c r="G810" s="122"/>
      <c r="H810" s="122"/>
      <c r="I810" s="122"/>
      <c r="J810" s="122"/>
      <c r="K810" s="122"/>
      <c r="L810" s="122"/>
      <c r="M810" s="122"/>
      <c r="N810" s="122"/>
      <c r="O810" s="122"/>
      <c r="P810" s="122"/>
      <c r="Q810" s="122"/>
      <c r="R810" s="122"/>
      <c r="S810" s="122"/>
      <c r="T810" s="122"/>
      <c r="U810" s="122"/>
      <c r="V810" s="122"/>
      <c r="W810" s="122"/>
      <c r="X810" s="122"/>
      <c r="Y810" s="122"/>
      <c r="Z810" s="122"/>
    </row>
    <row r="811" spans="1:26" ht="12.75" x14ac:dyDescent="0.2">
      <c r="A811" s="122"/>
      <c r="B811" s="122"/>
      <c r="C811" s="122"/>
      <c r="D811" s="122"/>
      <c r="E811" s="122"/>
      <c r="F811" s="122"/>
      <c r="G811" s="122"/>
      <c r="H811" s="122"/>
      <c r="I811" s="122"/>
      <c r="J811" s="122"/>
      <c r="K811" s="122"/>
      <c r="L811" s="122"/>
      <c r="M811" s="122"/>
      <c r="N811" s="122"/>
      <c r="O811" s="122"/>
      <c r="P811" s="122"/>
      <c r="Q811" s="122"/>
      <c r="R811" s="122"/>
      <c r="S811" s="122"/>
      <c r="T811" s="122"/>
      <c r="U811" s="122"/>
      <c r="V811" s="122"/>
      <c r="W811" s="122"/>
      <c r="X811" s="122"/>
      <c r="Y811" s="122"/>
      <c r="Z811" s="122"/>
    </row>
    <row r="812" spans="1:26" ht="12.75" x14ac:dyDescent="0.2">
      <c r="A812" s="122"/>
      <c r="B812" s="122"/>
      <c r="C812" s="122"/>
      <c r="D812" s="122"/>
      <c r="E812" s="122"/>
      <c r="F812" s="122"/>
      <c r="G812" s="122"/>
      <c r="H812" s="122"/>
      <c r="I812" s="122"/>
      <c r="J812" s="122"/>
      <c r="K812" s="122"/>
      <c r="L812" s="122"/>
      <c r="M812" s="122"/>
      <c r="N812" s="122"/>
      <c r="O812" s="122"/>
      <c r="P812" s="122"/>
      <c r="Q812" s="122"/>
      <c r="R812" s="122"/>
      <c r="S812" s="122"/>
      <c r="T812" s="122"/>
      <c r="U812" s="122"/>
      <c r="V812" s="122"/>
      <c r="W812" s="122"/>
      <c r="X812" s="122"/>
      <c r="Y812" s="122"/>
      <c r="Z812" s="122"/>
    </row>
    <row r="813" spans="1:26" ht="12.75" x14ac:dyDescent="0.2">
      <c r="A813" s="122"/>
      <c r="B813" s="122"/>
      <c r="C813" s="122"/>
      <c r="D813" s="122"/>
      <c r="E813" s="122"/>
      <c r="F813" s="122"/>
      <c r="G813" s="122"/>
      <c r="H813" s="122"/>
      <c r="I813" s="122"/>
      <c r="J813" s="122"/>
      <c r="K813" s="122"/>
      <c r="L813" s="122"/>
      <c r="M813" s="122"/>
      <c r="N813" s="122"/>
      <c r="O813" s="122"/>
      <c r="P813" s="122"/>
      <c r="Q813" s="122"/>
      <c r="R813" s="122"/>
      <c r="S813" s="122"/>
      <c r="T813" s="122"/>
      <c r="U813" s="122"/>
      <c r="V813" s="122"/>
      <c r="W813" s="122"/>
      <c r="X813" s="122"/>
      <c r="Y813" s="122"/>
      <c r="Z813" s="122"/>
    </row>
    <row r="814" spans="1:26" ht="12.75" x14ac:dyDescent="0.2">
      <c r="A814" s="122"/>
      <c r="B814" s="122"/>
      <c r="C814" s="122"/>
      <c r="D814" s="122"/>
      <c r="E814" s="122"/>
      <c r="F814" s="122"/>
      <c r="G814" s="122"/>
      <c r="H814" s="122"/>
      <c r="I814" s="122"/>
      <c r="J814" s="122"/>
      <c r="K814" s="122"/>
      <c r="L814" s="122"/>
      <c r="M814" s="122"/>
      <c r="N814" s="122"/>
      <c r="O814" s="122"/>
      <c r="P814" s="122"/>
      <c r="Q814" s="122"/>
      <c r="R814" s="122"/>
      <c r="S814" s="122"/>
      <c r="T814" s="122"/>
      <c r="U814" s="122"/>
      <c r="V814" s="122"/>
      <c r="W814" s="122"/>
      <c r="X814" s="122"/>
      <c r="Y814" s="122"/>
      <c r="Z814" s="122"/>
    </row>
    <row r="815" spans="1:26" ht="12.75" x14ac:dyDescent="0.2">
      <c r="A815" s="122"/>
      <c r="B815" s="122"/>
      <c r="C815" s="122"/>
      <c r="D815" s="122"/>
      <c r="E815" s="122"/>
      <c r="F815" s="122"/>
      <c r="G815" s="122"/>
      <c r="H815" s="122"/>
      <c r="I815" s="122"/>
      <c r="J815" s="122"/>
      <c r="K815" s="122"/>
      <c r="L815" s="122"/>
      <c r="M815" s="122"/>
      <c r="N815" s="122"/>
      <c r="O815" s="122"/>
      <c r="P815" s="122"/>
      <c r="Q815" s="122"/>
      <c r="R815" s="122"/>
      <c r="S815" s="122"/>
      <c r="T815" s="122"/>
      <c r="U815" s="122"/>
      <c r="V815" s="122"/>
      <c r="W815" s="122"/>
      <c r="X815" s="122"/>
      <c r="Y815" s="122"/>
      <c r="Z815" s="122"/>
    </row>
    <row r="816" spans="1:26" ht="12.75" x14ac:dyDescent="0.2">
      <c r="A816" s="122"/>
      <c r="B816" s="122"/>
      <c r="C816" s="122"/>
      <c r="D816" s="122"/>
      <c r="E816" s="122"/>
      <c r="F816" s="122"/>
      <c r="G816" s="122"/>
      <c r="H816" s="122"/>
      <c r="I816" s="122"/>
      <c r="J816" s="122"/>
      <c r="K816" s="122"/>
      <c r="L816" s="122"/>
      <c r="M816" s="122"/>
      <c r="N816" s="122"/>
      <c r="O816" s="122"/>
      <c r="P816" s="122"/>
      <c r="Q816" s="122"/>
      <c r="R816" s="122"/>
      <c r="S816" s="122"/>
      <c r="T816" s="122"/>
      <c r="U816" s="122"/>
      <c r="V816" s="122"/>
      <c r="W816" s="122"/>
      <c r="X816" s="122"/>
      <c r="Y816" s="122"/>
      <c r="Z816" s="122"/>
    </row>
    <row r="817" spans="1:26" ht="12.75" x14ac:dyDescent="0.2">
      <c r="A817" s="122"/>
      <c r="B817" s="122"/>
      <c r="C817" s="122"/>
      <c r="D817" s="122"/>
      <c r="E817" s="122"/>
      <c r="F817" s="122"/>
      <c r="G817" s="122"/>
      <c r="H817" s="122"/>
      <c r="I817" s="122"/>
      <c r="J817" s="122"/>
      <c r="K817" s="122"/>
      <c r="L817" s="122"/>
      <c r="M817" s="122"/>
      <c r="N817" s="122"/>
      <c r="O817" s="122"/>
      <c r="P817" s="122"/>
      <c r="Q817" s="122"/>
      <c r="R817" s="122"/>
      <c r="S817" s="122"/>
      <c r="T817" s="122"/>
      <c r="U817" s="122"/>
      <c r="V817" s="122"/>
      <c r="W817" s="122"/>
      <c r="X817" s="122"/>
      <c r="Y817" s="122"/>
      <c r="Z817" s="122"/>
    </row>
    <row r="818" spans="1:26" ht="12.75" x14ac:dyDescent="0.2">
      <c r="A818" s="122"/>
      <c r="B818" s="122"/>
      <c r="C818" s="122"/>
      <c r="D818" s="122"/>
      <c r="E818" s="122"/>
      <c r="F818" s="122"/>
      <c r="G818" s="122"/>
      <c r="H818" s="122"/>
      <c r="I818" s="122"/>
      <c r="J818" s="122"/>
      <c r="K818" s="122"/>
      <c r="L818" s="122"/>
      <c r="M818" s="122"/>
      <c r="N818" s="122"/>
      <c r="O818" s="122"/>
      <c r="P818" s="122"/>
      <c r="Q818" s="122"/>
      <c r="R818" s="122"/>
      <c r="S818" s="122"/>
      <c r="T818" s="122"/>
      <c r="U818" s="122"/>
      <c r="V818" s="122"/>
      <c r="W818" s="122"/>
      <c r="X818" s="122"/>
      <c r="Y818" s="122"/>
      <c r="Z818" s="122"/>
    </row>
    <row r="819" spans="1:26" ht="12.75" x14ac:dyDescent="0.2">
      <c r="A819" s="122"/>
      <c r="B819" s="122"/>
      <c r="C819" s="122"/>
      <c r="D819" s="122"/>
      <c r="E819" s="122"/>
      <c r="F819" s="122"/>
      <c r="G819" s="122"/>
      <c r="H819" s="122"/>
      <c r="I819" s="122"/>
      <c r="J819" s="122"/>
      <c r="K819" s="122"/>
      <c r="L819" s="122"/>
      <c r="M819" s="122"/>
      <c r="N819" s="122"/>
      <c r="O819" s="122"/>
      <c r="P819" s="122"/>
      <c r="Q819" s="122"/>
      <c r="R819" s="122"/>
      <c r="S819" s="122"/>
      <c r="T819" s="122"/>
      <c r="U819" s="122"/>
      <c r="V819" s="122"/>
      <c r="W819" s="122"/>
      <c r="X819" s="122"/>
      <c r="Y819" s="122"/>
      <c r="Z819" s="122"/>
    </row>
    <row r="820" spans="1:26" ht="12.75" x14ac:dyDescent="0.2">
      <c r="A820" s="122"/>
      <c r="B820" s="122"/>
      <c r="C820" s="122"/>
      <c r="D820" s="122"/>
      <c r="E820" s="122"/>
      <c r="F820" s="122"/>
      <c r="G820" s="122"/>
      <c r="H820" s="122"/>
      <c r="I820" s="122"/>
      <c r="J820" s="122"/>
      <c r="K820" s="122"/>
      <c r="L820" s="122"/>
      <c r="M820" s="122"/>
      <c r="N820" s="122"/>
      <c r="O820" s="122"/>
      <c r="P820" s="122"/>
      <c r="Q820" s="122"/>
      <c r="R820" s="122"/>
      <c r="S820" s="122"/>
      <c r="T820" s="122"/>
      <c r="U820" s="122"/>
      <c r="V820" s="122"/>
      <c r="W820" s="122"/>
      <c r="X820" s="122"/>
      <c r="Y820" s="122"/>
      <c r="Z820" s="122"/>
    </row>
    <row r="821" spans="1:26" ht="12.75" x14ac:dyDescent="0.2">
      <c r="A821" s="122"/>
      <c r="B821" s="122"/>
      <c r="C821" s="122"/>
      <c r="D821" s="122"/>
      <c r="E821" s="122"/>
      <c r="F821" s="122"/>
      <c r="G821" s="122"/>
      <c r="H821" s="122"/>
      <c r="I821" s="122"/>
      <c r="J821" s="122"/>
      <c r="K821" s="122"/>
      <c r="L821" s="122"/>
      <c r="M821" s="122"/>
      <c r="N821" s="122"/>
      <c r="O821" s="122"/>
      <c r="P821" s="122"/>
      <c r="Q821" s="122"/>
      <c r="R821" s="122"/>
      <c r="S821" s="122"/>
      <c r="T821" s="122"/>
      <c r="U821" s="122"/>
      <c r="V821" s="122"/>
      <c r="W821" s="122"/>
      <c r="X821" s="122"/>
      <c r="Y821" s="122"/>
      <c r="Z821" s="122"/>
    </row>
    <row r="822" spans="1:26" ht="12.75" x14ac:dyDescent="0.2">
      <c r="A822" s="122"/>
      <c r="B822" s="122"/>
      <c r="C822" s="122"/>
      <c r="D822" s="122"/>
      <c r="E822" s="122"/>
      <c r="F822" s="122"/>
      <c r="G822" s="122"/>
      <c r="H822" s="122"/>
      <c r="I822" s="122"/>
      <c r="J822" s="122"/>
      <c r="K822" s="122"/>
      <c r="L822" s="122"/>
      <c r="M822" s="122"/>
      <c r="N822" s="122"/>
      <c r="O822" s="122"/>
      <c r="P822" s="122"/>
      <c r="Q822" s="122"/>
      <c r="R822" s="122"/>
      <c r="S822" s="122"/>
      <c r="T822" s="122"/>
      <c r="U822" s="122"/>
      <c r="V822" s="122"/>
      <c r="W822" s="122"/>
      <c r="X822" s="122"/>
      <c r="Y822" s="122"/>
      <c r="Z822" s="122"/>
    </row>
    <row r="823" spans="1:26" ht="12.75" x14ac:dyDescent="0.2">
      <c r="A823" s="122"/>
      <c r="B823" s="122"/>
      <c r="C823" s="122"/>
      <c r="D823" s="122"/>
      <c r="E823" s="122"/>
      <c r="F823" s="122"/>
      <c r="G823" s="122"/>
      <c r="H823" s="122"/>
      <c r="I823" s="122"/>
      <c r="J823" s="122"/>
      <c r="K823" s="122"/>
      <c r="L823" s="122"/>
      <c r="M823" s="122"/>
      <c r="N823" s="122"/>
      <c r="O823" s="122"/>
      <c r="P823" s="122"/>
      <c r="Q823" s="122"/>
      <c r="R823" s="122"/>
      <c r="S823" s="122"/>
      <c r="T823" s="122"/>
      <c r="U823" s="122"/>
      <c r="V823" s="122"/>
      <c r="W823" s="122"/>
      <c r="X823" s="122"/>
      <c r="Y823" s="122"/>
      <c r="Z823" s="122"/>
    </row>
    <row r="824" spans="1:26" ht="12.75" x14ac:dyDescent="0.2">
      <c r="A824" s="122"/>
      <c r="B824" s="122"/>
      <c r="C824" s="122"/>
      <c r="D824" s="122"/>
      <c r="E824" s="122"/>
      <c r="F824" s="122"/>
      <c r="G824" s="122"/>
      <c r="H824" s="122"/>
      <c r="I824" s="122"/>
      <c r="J824" s="122"/>
      <c r="K824" s="122"/>
      <c r="L824" s="122"/>
      <c r="M824" s="122"/>
      <c r="N824" s="122"/>
      <c r="O824" s="122"/>
      <c r="P824" s="122"/>
      <c r="Q824" s="122"/>
      <c r="R824" s="122"/>
      <c r="S824" s="122"/>
      <c r="T824" s="122"/>
      <c r="U824" s="122"/>
      <c r="V824" s="122"/>
      <c r="W824" s="122"/>
      <c r="X824" s="122"/>
      <c r="Y824" s="122"/>
      <c r="Z824" s="122"/>
    </row>
    <row r="825" spans="1:26" ht="12.75" x14ac:dyDescent="0.2">
      <c r="A825" s="122"/>
      <c r="B825" s="122"/>
      <c r="C825" s="122"/>
      <c r="D825" s="122"/>
      <c r="E825" s="122"/>
      <c r="F825" s="122"/>
      <c r="G825" s="122"/>
      <c r="H825" s="122"/>
      <c r="I825" s="122"/>
      <c r="J825" s="122"/>
      <c r="K825" s="122"/>
      <c r="L825" s="122"/>
      <c r="M825" s="122"/>
      <c r="N825" s="122"/>
      <c r="O825" s="122"/>
      <c r="P825" s="122"/>
      <c r="Q825" s="122"/>
      <c r="R825" s="122"/>
      <c r="S825" s="122"/>
      <c r="T825" s="122"/>
      <c r="U825" s="122"/>
      <c r="V825" s="122"/>
      <c r="W825" s="122"/>
      <c r="X825" s="122"/>
      <c r="Y825" s="122"/>
      <c r="Z825" s="122"/>
    </row>
    <row r="826" spans="1:26" ht="12.75" x14ac:dyDescent="0.2">
      <c r="A826" s="122"/>
      <c r="B826" s="122"/>
      <c r="C826" s="122"/>
      <c r="D826" s="122"/>
      <c r="E826" s="122"/>
      <c r="F826" s="122"/>
      <c r="G826" s="122"/>
      <c r="H826" s="122"/>
      <c r="I826" s="122"/>
      <c r="J826" s="122"/>
      <c r="K826" s="122"/>
      <c r="L826" s="122"/>
      <c r="M826" s="122"/>
      <c r="N826" s="122"/>
      <c r="O826" s="122"/>
      <c r="P826" s="122"/>
      <c r="Q826" s="122"/>
      <c r="R826" s="122"/>
      <c r="S826" s="122"/>
      <c r="T826" s="122"/>
      <c r="U826" s="122"/>
      <c r="V826" s="122"/>
      <c r="W826" s="122"/>
      <c r="X826" s="122"/>
      <c r="Y826" s="122"/>
      <c r="Z826" s="122"/>
    </row>
    <row r="827" spans="1:26" ht="12.75" x14ac:dyDescent="0.2">
      <c r="A827" s="122"/>
      <c r="B827" s="122"/>
      <c r="C827" s="122"/>
      <c r="D827" s="122"/>
      <c r="E827" s="122"/>
      <c r="F827" s="122"/>
      <c r="G827" s="122"/>
      <c r="H827" s="122"/>
      <c r="I827" s="122"/>
      <c r="J827" s="122"/>
      <c r="K827" s="122"/>
      <c r="L827" s="122"/>
      <c r="M827" s="122"/>
      <c r="N827" s="122"/>
      <c r="O827" s="122"/>
      <c r="P827" s="122"/>
      <c r="Q827" s="122"/>
      <c r="R827" s="122"/>
      <c r="S827" s="122"/>
      <c r="T827" s="122"/>
      <c r="U827" s="122"/>
      <c r="V827" s="122"/>
      <c r="W827" s="122"/>
      <c r="X827" s="122"/>
      <c r="Y827" s="122"/>
      <c r="Z827" s="122"/>
    </row>
    <row r="828" spans="1:26" ht="12.75" x14ac:dyDescent="0.2">
      <c r="A828" s="122"/>
      <c r="B828" s="122"/>
      <c r="C828" s="122"/>
      <c r="D828" s="122"/>
      <c r="E828" s="122"/>
      <c r="F828" s="122"/>
      <c r="G828" s="122"/>
      <c r="H828" s="122"/>
      <c r="I828" s="122"/>
      <c r="J828" s="122"/>
      <c r="K828" s="122"/>
      <c r="L828" s="122"/>
      <c r="M828" s="122"/>
      <c r="N828" s="122"/>
      <c r="O828" s="122"/>
      <c r="P828" s="122"/>
      <c r="Q828" s="122"/>
      <c r="R828" s="122"/>
      <c r="S828" s="122"/>
      <c r="T828" s="122"/>
      <c r="U828" s="122"/>
      <c r="V828" s="122"/>
      <c r="W828" s="122"/>
      <c r="X828" s="122"/>
      <c r="Y828" s="122"/>
      <c r="Z828" s="122"/>
    </row>
    <row r="829" spans="1:26" ht="12.75" x14ac:dyDescent="0.2">
      <c r="A829" s="122"/>
      <c r="B829" s="122"/>
      <c r="C829" s="122"/>
      <c r="D829" s="122"/>
      <c r="E829" s="122"/>
      <c r="F829" s="122"/>
      <c r="G829" s="122"/>
      <c r="H829" s="122"/>
      <c r="I829" s="122"/>
      <c r="J829" s="122"/>
      <c r="K829" s="122"/>
      <c r="L829" s="122"/>
      <c r="M829" s="122"/>
      <c r="N829" s="122"/>
      <c r="O829" s="122"/>
      <c r="P829" s="122"/>
      <c r="Q829" s="122"/>
      <c r="R829" s="122"/>
      <c r="S829" s="122"/>
      <c r="T829" s="122"/>
      <c r="U829" s="122"/>
      <c r="V829" s="122"/>
      <c r="W829" s="122"/>
      <c r="X829" s="122"/>
      <c r="Y829" s="122"/>
      <c r="Z829" s="122"/>
    </row>
    <row r="830" spans="1:26" ht="12.75" x14ac:dyDescent="0.2">
      <c r="A830" s="122"/>
      <c r="B830" s="122"/>
      <c r="C830" s="122"/>
      <c r="D830" s="122"/>
      <c r="E830" s="122"/>
      <c r="F830" s="122"/>
      <c r="G830" s="122"/>
      <c r="H830" s="122"/>
      <c r="I830" s="122"/>
      <c r="J830" s="122"/>
      <c r="K830" s="122"/>
      <c r="L830" s="122"/>
      <c r="M830" s="122"/>
      <c r="N830" s="122"/>
      <c r="O830" s="122"/>
      <c r="P830" s="122"/>
      <c r="Q830" s="122"/>
      <c r="R830" s="122"/>
      <c r="S830" s="122"/>
      <c r="T830" s="122"/>
      <c r="U830" s="122"/>
      <c r="V830" s="122"/>
      <c r="W830" s="122"/>
      <c r="X830" s="122"/>
      <c r="Y830" s="122"/>
      <c r="Z830" s="122"/>
    </row>
    <row r="831" spans="1:26" ht="12.75" x14ac:dyDescent="0.2">
      <c r="A831" s="122"/>
      <c r="B831" s="122"/>
      <c r="C831" s="122"/>
      <c r="D831" s="122"/>
      <c r="E831" s="122"/>
      <c r="F831" s="122"/>
      <c r="G831" s="122"/>
      <c r="H831" s="122"/>
      <c r="I831" s="122"/>
      <c r="J831" s="122"/>
      <c r="K831" s="122"/>
      <c r="L831" s="122"/>
      <c r="M831" s="122"/>
      <c r="N831" s="122"/>
      <c r="O831" s="122"/>
      <c r="P831" s="122"/>
      <c r="Q831" s="122"/>
      <c r="R831" s="122"/>
      <c r="S831" s="122"/>
      <c r="T831" s="122"/>
      <c r="U831" s="122"/>
      <c r="V831" s="122"/>
      <c r="W831" s="122"/>
      <c r="X831" s="122"/>
      <c r="Y831" s="122"/>
      <c r="Z831" s="122"/>
    </row>
    <row r="832" spans="1:26" ht="12.75" x14ac:dyDescent="0.2">
      <c r="A832" s="122"/>
      <c r="B832" s="122"/>
      <c r="C832" s="122"/>
      <c r="D832" s="122"/>
      <c r="E832" s="122"/>
      <c r="F832" s="122"/>
      <c r="G832" s="122"/>
      <c r="H832" s="122"/>
      <c r="I832" s="122"/>
      <c r="J832" s="122"/>
      <c r="K832" s="122"/>
      <c r="L832" s="122"/>
      <c r="M832" s="122"/>
      <c r="N832" s="122"/>
      <c r="O832" s="122"/>
      <c r="P832" s="122"/>
      <c r="Q832" s="122"/>
      <c r="R832" s="122"/>
      <c r="S832" s="122"/>
      <c r="T832" s="122"/>
      <c r="U832" s="122"/>
      <c r="V832" s="122"/>
      <c r="W832" s="122"/>
      <c r="X832" s="122"/>
      <c r="Y832" s="122"/>
      <c r="Z832" s="122"/>
    </row>
    <row r="833" spans="1:26" ht="12.75" x14ac:dyDescent="0.2">
      <c r="A833" s="122"/>
      <c r="B833" s="122"/>
      <c r="C833" s="122"/>
      <c r="D833" s="122"/>
      <c r="E833" s="122"/>
      <c r="F833" s="122"/>
      <c r="G833" s="122"/>
      <c r="H833" s="122"/>
      <c r="I833" s="122"/>
      <c r="J833" s="122"/>
      <c r="K833" s="122"/>
      <c r="L833" s="122"/>
      <c r="M833" s="122"/>
      <c r="N833" s="122"/>
      <c r="O833" s="122"/>
      <c r="P833" s="122"/>
      <c r="Q833" s="122"/>
      <c r="R833" s="122"/>
      <c r="S833" s="122"/>
      <c r="T833" s="122"/>
      <c r="U833" s="122"/>
      <c r="V833" s="122"/>
      <c r="W833" s="122"/>
      <c r="X833" s="122"/>
      <c r="Y833" s="122"/>
      <c r="Z833" s="122"/>
    </row>
    <row r="834" spans="1:26" ht="12.75" x14ac:dyDescent="0.2">
      <c r="A834" s="122"/>
      <c r="B834" s="122"/>
      <c r="C834" s="122"/>
      <c r="D834" s="122"/>
      <c r="E834" s="122"/>
      <c r="F834" s="122"/>
      <c r="G834" s="122"/>
      <c r="H834" s="122"/>
      <c r="I834" s="122"/>
      <c r="J834" s="122"/>
      <c r="K834" s="122"/>
      <c r="L834" s="122"/>
      <c r="M834" s="122"/>
      <c r="N834" s="122"/>
      <c r="O834" s="122"/>
      <c r="P834" s="122"/>
      <c r="Q834" s="122"/>
      <c r="R834" s="122"/>
      <c r="S834" s="122"/>
      <c r="T834" s="122"/>
      <c r="U834" s="122"/>
      <c r="V834" s="122"/>
      <c r="W834" s="122"/>
      <c r="X834" s="122"/>
      <c r="Y834" s="122"/>
      <c r="Z834" s="122"/>
    </row>
    <row r="835" spans="1:26" ht="12.75" x14ac:dyDescent="0.2">
      <c r="A835" s="122"/>
      <c r="B835" s="122"/>
      <c r="C835" s="122"/>
      <c r="D835" s="122"/>
      <c r="E835" s="122"/>
      <c r="F835" s="122"/>
      <c r="G835" s="122"/>
      <c r="H835" s="122"/>
      <c r="I835" s="122"/>
      <c r="J835" s="122"/>
      <c r="K835" s="122"/>
      <c r="L835" s="122"/>
      <c r="M835" s="122"/>
      <c r="N835" s="122"/>
      <c r="O835" s="122"/>
      <c r="P835" s="122"/>
      <c r="Q835" s="122"/>
      <c r="R835" s="122"/>
      <c r="S835" s="122"/>
      <c r="T835" s="122"/>
      <c r="U835" s="122"/>
      <c r="V835" s="122"/>
      <c r="W835" s="122"/>
      <c r="X835" s="122"/>
      <c r="Y835" s="122"/>
      <c r="Z835" s="122"/>
    </row>
    <row r="836" spans="1:26" ht="12.75" x14ac:dyDescent="0.2">
      <c r="A836" s="122"/>
      <c r="B836" s="122"/>
      <c r="C836" s="122"/>
      <c r="D836" s="122"/>
      <c r="E836" s="122"/>
      <c r="F836" s="122"/>
      <c r="G836" s="122"/>
      <c r="H836" s="122"/>
      <c r="I836" s="122"/>
      <c r="J836" s="122"/>
      <c r="K836" s="122"/>
      <c r="L836" s="122"/>
      <c r="M836" s="122"/>
      <c r="N836" s="122"/>
      <c r="O836" s="122"/>
      <c r="P836" s="122"/>
      <c r="Q836" s="122"/>
      <c r="R836" s="122"/>
      <c r="S836" s="122"/>
      <c r="T836" s="122"/>
      <c r="U836" s="122"/>
      <c r="V836" s="122"/>
      <c r="W836" s="122"/>
      <c r="X836" s="122"/>
      <c r="Y836" s="122"/>
      <c r="Z836" s="122"/>
    </row>
    <row r="837" spans="1:26" ht="12.75" x14ac:dyDescent="0.2">
      <c r="A837" s="122"/>
      <c r="B837" s="122"/>
      <c r="C837" s="122"/>
      <c r="D837" s="122"/>
      <c r="E837" s="122"/>
      <c r="F837" s="122"/>
      <c r="G837" s="122"/>
      <c r="H837" s="122"/>
      <c r="I837" s="122"/>
      <c r="J837" s="122"/>
      <c r="K837" s="122"/>
      <c r="L837" s="122"/>
      <c r="M837" s="122"/>
      <c r="N837" s="122"/>
      <c r="O837" s="122"/>
      <c r="P837" s="122"/>
      <c r="Q837" s="122"/>
      <c r="R837" s="122"/>
      <c r="S837" s="122"/>
      <c r="T837" s="122"/>
      <c r="U837" s="122"/>
      <c r="V837" s="122"/>
      <c r="W837" s="122"/>
      <c r="X837" s="122"/>
      <c r="Y837" s="122"/>
      <c r="Z837" s="122"/>
    </row>
    <row r="838" spans="1:26" ht="12.75" x14ac:dyDescent="0.2">
      <c r="A838" s="122"/>
      <c r="B838" s="122"/>
      <c r="C838" s="122"/>
      <c r="D838" s="122"/>
      <c r="E838" s="122"/>
      <c r="F838" s="122"/>
      <c r="G838" s="122"/>
      <c r="H838" s="122"/>
      <c r="I838" s="122"/>
      <c r="J838" s="122"/>
      <c r="K838" s="122"/>
      <c r="L838" s="122"/>
      <c r="M838" s="122"/>
      <c r="N838" s="122"/>
      <c r="O838" s="122"/>
      <c r="P838" s="122"/>
      <c r="Q838" s="122"/>
      <c r="R838" s="122"/>
      <c r="S838" s="122"/>
      <c r="T838" s="122"/>
      <c r="U838" s="122"/>
      <c r="V838" s="122"/>
      <c r="W838" s="122"/>
      <c r="X838" s="122"/>
      <c r="Y838" s="122"/>
      <c r="Z838" s="122"/>
    </row>
    <row r="839" spans="1:26" ht="12.75" x14ac:dyDescent="0.2">
      <c r="A839" s="122"/>
      <c r="B839" s="122"/>
      <c r="C839" s="122"/>
      <c r="D839" s="122"/>
      <c r="E839" s="122"/>
      <c r="F839" s="122"/>
      <c r="G839" s="122"/>
      <c r="H839" s="122"/>
      <c r="I839" s="122"/>
      <c r="J839" s="122"/>
      <c r="K839" s="122"/>
      <c r="L839" s="122"/>
      <c r="M839" s="122"/>
      <c r="N839" s="122"/>
      <c r="O839" s="122"/>
      <c r="P839" s="122"/>
      <c r="Q839" s="122"/>
      <c r="R839" s="122"/>
      <c r="S839" s="122"/>
      <c r="T839" s="122"/>
      <c r="U839" s="122"/>
      <c r="V839" s="122"/>
      <c r="W839" s="122"/>
      <c r="X839" s="122"/>
      <c r="Y839" s="122"/>
      <c r="Z839" s="122"/>
    </row>
    <row r="840" spans="1:26" ht="12.75" x14ac:dyDescent="0.2">
      <c r="A840" s="122"/>
      <c r="B840" s="122"/>
      <c r="C840" s="122"/>
      <c r="D840" s="122"/>
      <c r="E840" s="122"/>
      <c r="F840" s="122"/>
      <c r="G840" s="122"/>
      <c r="H840" s="122"/>
      <c r="I840" s="122"/>
      <c r="J840" s="122"/>
      <c r="K840" s="122"/>
      <c r="L840" s="122"/>
      <c r="M840" s="122"/>
      <c r="N840" s="122"/>
      <c r="O840" s="122"/>
      <c r="P840" s="122"/>
      <c r="Q840" s="122"/>
      <c r="R840" s="122"/>
      <c r="S840" s="122"/>
      <c r="T840" s="122"/>
      <c r="U840" s="122"/>
      <c r="V840" s="122"/>
      <c r="W840" s="122"/>
      <c r="X840" s="122"/>
      <c r="Y840" s="122"/>
      <c r="Z840" s="122"/>
    </row>
    <row r="841" spans="1:26" ht="12.75" x14ac:dyDescent="0.2">
      <c r="A841" s="122"/>
      <c r="B841" s="122"/>
      <c r="C841" s="122"/>
      <c r="D841" s="122"/>
      <c r="E841" s="122"/>
      <c r="F841" s="122"/>
      <c r="G841" s="122"/>
      <c r="H841" s="122"/>
      <c r="I841" s="122"/>
      <c r="J841" s="122"/>
      <c r="K841" s="122"/>
      <c r="L841" s="122"/>
      <c r="M841" s="122"/>
      <c r="N841" s="122"/>
      <c r="O841" s="122"/>
      <c r="P841" s="122"/>
      <c r="Q841" s="122"/>
      <c r="R841" s="122"/>
      <c r="S841" s="122"/>
      <c r="T841" s="122"/>
      <c r="U841" s="122"/>
      <c r="V841" s="122"/>
      <c r="W841" s="122"/>
      <c r="X841" s="122"/>
      <c r="Y841" s="122"/>
      <c r="Z841" s="122"/>
    </row>
    <row r="842" spans="1:26" ht="12.75" x14ac:dyDescent="0.2">
      <c r="A842" s="122"/>
      <c r="B842" s="122"/>
      <c r="C842" s="122"/>
      <c r="D842" s="122"/>
      <c r="E842" s="122"/>
      <c r="F842" s="122"/>
      <c r="G842" s="122"/>
      <c r="H842" s="122"/>
      <c r="I842" s="122"/>
      <c r="J842" s="122"/>
      <c r="K842" s="122"/>
      <c r="L842" s="122"/>
      <c r="M842" s="122"/>
      <c r="N842" s="122"/>
      <c r="O842" s="122"/>
      <c r="P842" s="122"/>
      <c r="Q842" s="122"/>
      <c r="R842" s="122"/>
      <c r="S842" s="122"/>
      <c r="T842" s="122"/>
      <c r="U842" s="122"/>
      <c r="V842" s="122"/>
      <c r="W842" s="122"/>
      <c r="X842" s="122"/>
      <c r="Y842" s="122"/>
      <c r="Z842" s="122"/>
    </row>
    <row r="843" spans="1:26" ht="12.75" x14ac:dyDescent="0.2">
      <c r="A843" s="122"/>
      <c r="B843" s="122"/>
      <c r="C843" s="122"/>
      <c r="D843" s="122"/>
      <c r="E843" s="122"/>
      <c r="F843" s="122"/>
      <c r="G843" s="122"/>
      <c r="H843" s="122"/>
      <c r="I843" s="122"/>
      <c r="J843" s="122"/>
      <c r="K843" s="122"/>
      <c r="L843" s="122"/>
      <c r="M843" s="122"/>
      <c r="N843" s="122"/>
      <c r="O843" s="122"/>
      <c r="P843" s="122"/>
      <c r="Q843" s="122"/>
      <c r="R843" s="122"/>
      <c r="S843" s="122"/>
      <c r="T843" s="122"/>
      <c r="U843" s="122"/>
      <c r="V843" s="122"/>
      <c r="W843" s="122"/>
      <c r="X843" s="122"/>
      <c r="Y843" s="122"/>
      <c r="Z843" s="122"/>
    </row>
    <row r="844" spans="1:26" ht="12.75" x14ac:dyDescent="0.2">
      <c r="A844" s="122"/>
      <c r="B844" s="122"/>
      <c r="C844" s="122"/>
      <c r="D844" s="122"/>
      <c r="E844" s="122"/>
      <c r="F844" s="122"/>
      <c r="G844" s="122"/>
      <c r="H844" s="122"/>
      <c r="I844" s="122"/>
      <c r="J844" s="122"/>
      <c r="K844" s="122"/>
      <c r="L844" s="122"/>
      <c r="M844" s="122"/>
      <c r="N844" s="122"/>
      <c r="O844" s="122"/>
      <c r="P844" s="122"/>
      <c r="Q844" s="122"/>
      <c r="R844" s="122"/>
      <c r="S844" s="122"/>
      <c r="T844" s="122"/>
      <c r="U844" s="122"/>
      <c r="V844" s="122"/>
      <c r="W844" s="122"/>
      <c r="X844" s="122"/>
      <c r="Y844" s="122"/>
      <c r="Z844" s="122"/>
    </row>
    <row r="845" spans="1:26" ht="12.75" x14ac:dyDescent="0.2">
      <c r="A845" s="122"/>
      <c r="B845" s="122"/>
      <c r="C845" s="122"/>
      <c r="D845" s="122"/>
      <c r="E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row>
    <row r="846" spans="1:26" ht="12.75" x14ac:dyDescent="0.2">
      <c r="A846" s="122"/>
      <c r="B846" s="122"/>
      <c r="C846" s="122"/>
      <c r="D846" s="122"/>
      <c r="E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row>
    <row r="847" spans="1:26" ht="12.75" x14ac:dyDescent="0.2">
      <c r="A847" s="122"/>
      <c r="B847" s="122"/>
      <c r="C847" s="122"/>
      <c r="D847" s="122"/>
      <c r="E847" s="122"/>
      <c r="F847" s="122"/>
      <c r="G847" s="122"/>
      <c r="H847" s="122"/>
      <c r="I847" s="122"/>
      <c r="J847" s="122"/>
      <c r="K847" s="122"/>
      <c r="L847" s="122"/>
      <c r="M847" s="122"/>
      <c r="N847" s="122"/>
      <c r="O847" s="122"/>
      <c r="P847" s="122"/>
      <c r="Q847" s="122"/>
      <c r="R847" s="122"/>
      <c r="S847" s="122"/>
      <c r="T847" s="122"/>
      <c r="U847" s="122"/>
      <c r="V847" s="122"/>
      <c r="W847" s="122"/>
      <c r="X847" s="122"/>
      <c r="Y847" s="122"/>
      <c r="Z847" s="122"/>
    </row>
    <row r="848" spans="1:26" ht="12.75" x14ac:dyDescent="0.2">
      <c r="A848" s="122"/>
      <c r="B848" s="122"/>
      <c r="C848" s="122"/>
      <c r="D848" s="122"/>
      <c r="E848" s="122"/>
      <c r="F848" s="122"/>
      <c r="G848" s="122"/>
      <c r="H848" s="122"/>
      <c r="I848" s="122"/>
      <c r="J848" s="122"/>
      <c r="K848" s="122"/>
      <c r="L848" s="122"/>
      <c r="M848" s="122"/>
      <c r="N848" s="122"/>
      <c r="O848" s="122"/>
      <c r="P848" s="122"/>
      <c r="Q848" s="122"/>
      <c r="R848" s="122"/>
      <c r="S848" s="122"/>
      <c r="T848" s="122"/>
      <c r="U848" s="122"/>
      <c r="V848" s="122"/>
      <c r="W848" s="122"/>
      <c r="X848" s="122"/>
      <c r="Y848" s="122"/>
      <c r="Z848" s="122"/>
    </row>
    <row r="849" spans="1:26" ht="12.75" x14ac:dyDescent="0.2">
      <c r="A849" s="122"/>
      <c r="B849" s="122"/>
      <c r="C849" s="122"/>
      <c r="D849" s="122"/>
      <c r="E849" s="122"/>
      <c r="F849" s="122"/>
      <c r="G849" s="122"/>
      <c r="H849" s="122"/>
      <c r="I849" s="122"/>
      <c r="J849" s="122"/>
      <c r="K849" s="122"/>
      <c r="L849" s="122"/>
      <c r="M849" s="122"/>
      <c r="N849" s="122"/>
      <c r="O849" s="122"/>
      <c r="P849" s="122"/>
      <c r="Q849" s="122"/>
      <c r="R849" s="122"/>
      <c r="S849" s="122"/>
      <c r="T849" s="122"/>
      <c r="U849" s="122"/>
      <c r="V849" s="122"/>
      <c r="W849" s="122"/>
      <c r="X849" s="122"/>
      <c r="Y849" s="122"/>
      <c r="Z849" s="122"/>
    </row>
    <row r="850" spans="1:26" ht="12.75" x14ac:dyDescent="0.2">
      <c r="A850" s="122"/>
      <c r="B850" s="122"/>
      <c r="C850" s="122"/>
      <c r="D850" s="122"/>
      <c r="E850" s="122"/>
      <c r="F850" s="122"/>
      <c r="G850" s="122"/>
      <c r="H850" s="122"/>
      <c r="I850" s="122"/>
      <c r="J850" s="122"/>
      <c r="K850" s="122"/>
      <c r="L850" s="122"/>
      <c r="M850" s="122"/>
      <c r="N850" s="122"/>
      <c r="O850" s="122"/>
      <c r="P850" s="122"/>
      <c r="Q850" s="122"/>
      <c r="R850" s="122"/>
      <c r="S850" s="122"/>
      <c r="T850" s="122"/>
      <c r="U850" s="122"/>
      <c r="V850" s="122"/>
      <c r="W850" s="122"/>
      <c r="X850" s="122"/>
      <c r="Y850" s="122"/>
      <c r="Z850" s="122"/>
    </row>
    <row r="851" spans="1:26" ht="12.75" x14ac:dyDescent="0.2">
      <c r="A851" s="122"/>
      <c r="B851" s="122"/>
      <c r="C851" s="122"/>
      <c r="D851" s="122"/>
      <c r="E851" s="122"/>
      <c r="F851" s="122"/>
      <c r="G851" s="122"/>
      <c r="H851" s="122"/>
      <c r="I851" s="122"/>
      <c r="J851" s="122"/>
      <c r="K851" s="122"/>
      <c r="L851" s="122"/>
      <c r="M851" s="122"/>
      <c r="N851" s="122"/>
      <c r="O851" s="122"/>
      <c r="P851" s="122"/>
      <c r="Q851" s="122"/>
      <c r="R851" s="122"/>
      <c r="S851" s="122"/>
      <c r="T851" s="122"/>
      <c r="U851" s="122"/>
      <c r="V851" s="122"/>
      <c r="W851" s="122"/>
      <c r="X851" s="122"/>
      <c r="Y851" s="122"/>
      <c r="Z851" s="122"/>
    </row>
    <row r="852" spans="1:26" ht="12.75" x14ac:dyDescent="0.2">
      <c r="A852" s="122"/>
      <c r="B852" s="122"/>
      <c r="C852" s="122"/>
      <c r="D852" s="122"/>
      <c r="E852" s="122"/>
      <c r="F852" s="122"/>
      <c r="G852" s="122"/>
      <c r="H852" s="122"/>
      <c r="I852" s="122"/>
      <c r="J852" s="122"/>
      <c r="K852" s="122"/>
      <c r="L852" s="122"/>
      <c r="M852" s="122"/>
      <c r="N852" s="122"/>
      <c r="O852" s="122"/>
      <c r="P852" s="122"/>
      <c r="Q852" s="122"/>
      <c r="R852" s="122"/>
      <c r="S852" s="122"/>
      <c r="T852" s="122"/>
      <c r="U852" s="122"/>
      <c r="V852" s="122"/>
      <c r="W852" s="122"/>
      <c r="X852" s="122"/>
      <c r="Y852" s="122"/>
      <c r="Z852" s="122"/>
    </row>
    <row r="853" spans="1:26" ht="12.75" x14ac:dyDescent="0.2">
      <c r="A853" s="122"/>
      <c r="B853" s="122"/>
      <c r="C853" s="122"/>
      <c r="D853" s="122"/>
      <c r="E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row>
    <row r="854" spans="1:26" ht="12.75" x14ac:dyDescent="0.2">
      <c r="A854" s="122"/>
      <c r="B854" s="122"/>
      <c r="C854" s="122"/>
      <c r="D854" s="122"/>
      <c r="E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row>
    <row r="855" spans="1:26" ht="12.75" x14ac:dyDescent="0.2">
      <c r="A855" s="122"/>
      <c r="B855" s="122"/>
      <c r="C855" s="122"/>
      <c r="D855" s="122"/>
      <c r="E855" s="122"/>
      <c r="F855" s="122"/>
      <c r="G855" s="122"/>
      <c r="H855" s="122"/>
      <c r="I855" s="122"/>
      <c r="J855" s="122"/>
      <c r="K855" s="122"/>
      <c r="L855" s="122"/>
      <c r="M855" s="122"/>
      <c r="N855" s="122"/>
      <c r="O855" s="122"/>
      <c r="P855" s="122"/>
      <c r="Q855" s="122"/>
      <c r="R855" s="122"/>
      <c r="S855" s="122"/>
      <c r="T855" s="122"/>
      <c r="U855" s="122"/>
      <c r="V855" s="122"/>
      <c r="W855" s="122"/>
      <c r="X855" s="122"/>
      <c r="Y855" s="122"/>
      <c r="Z855" s="122"/>
    </row>
    <row r="856" spans="1:26" ht="12.75" x14ac:dyDescent="0.2">
      <c r="A856" s="122"/>
      <c r="B856" s="122"/>
      <c r="C856" s="122"/>
      <c r="D856" s="122"/>
      <c r="E856" s="122"/>
      <c r="F856" s="122"/>
      <c r="G856" s="122"/>
      <c r="H856" s="122"/>
      <c r="I856" s="122"/>
      <c r="J856" s="122"/>
      <c r="K856" s="122"/>
      <c r="L856" s="122"/>
      <c r="M856" s="122"/>
      <c r="N856" s="122"/>
      <c r="O856" s="122"/>
      <c r="P856" s="122"/>
      <c r="Q856" s="122"/>
      <c r="R856" s="122"/>
      <c r="S856" s="122"/>
      <c r="T856" s="122"/>
      <c r="U856" s="122"/>
      <c r="V856" s="122"/>
      <c r="W856" s="122"/>
      <c r="X856" s="122"/>
      <c r="Y856" s="122"/>
      <c r="Z856" s="122"/>
    </row>
    <row r="857" spans="1:26" ht="12.75" x14ac:dyDescent="0.2">
      <c r="A857" s="122"/>
      <c r="B857" s="122"/>
      <c r="C857" s="122"/>
      <c r="D857" s="122"/>
      <c r="E857" s="122"/>
      <c r="F857" s="122"/>
      <c r="G857" s="122"/>
      <c r="H857" s="122"/>
      <c r="I857" s="122"/>
      <c r="J857" s="122"/>
      <c r="K857" s="122"/>
      <c r="L857" s="122"/>
      <c r="M857" s="122"/>
      <c r="N857" s="122"/>
      <c r="O857" s="122"/>
      <c r="P857" s="122"/>
      <c r="Q857" s="122"/>
      <c r="R857" s="122"/>
      <c r="S857" s="122"/>
      <c r="T857" s="122"/>
      <c r="U857" s="122"/>
      <c r="V857" s="122"/>
      <c r="W857" s="122"/>
      <c r="X857" s="122"/>
      <c r="Y857" s="122"/>
      <c r="Z857" s="122"/>
    </row>
    <row r="858" spans="1:26" ht="12.75" x14ac:dyDescent="0.2">
      <c r="A858" s="122"/>
      <c r="B858" s="122"/>
      <c r="C858" s="122"/>
      <c r="D858" s="122"/>
      <c r="E858" s="122"/>
      <c r="F858" s="122"/>
      <c r="G858" s="122"/>
      <c r="H858" s="122"/>
      <c r="I858" s="122"/>
      <c r="J858" s="122"/>
      <c r="K858" s="122"/>
      <c r="L858" s="122"/>
      <c r="M858" s="122"/>
      <c r="N858" s="122"/>
      <c r="O858" s="122"/>
      <c r="P858" s="122"/>
      <c r="Q858" s="122"/>
      <c r="R858" s="122"/>
      <c r="S858" s="122"/>
      <c r="T858" s="122"/>
      <c r="U858" s="122"/>
      <c r="V858" s="122"/>
      <c r="W858" s="122"/>
      <c r="X858" s="122"/>
      <c r="Y858" s="122"/>
      <c r="Z858" s="122"/>
    </row>
    <row r="859" spans="1:26" ht="12.75" x14ac:dyDescent="0.2">
      <c r="A859" s="122"/>
      <c r="B859" s="122"/>
      <c r="C859" s="122"/>
      <c r="D859" s="122"/>
      <c r="E859" s="122"/>
      <c r="F859" s="122"/>
      <c r="G859" s="122"/>
      <c r="H859" s="122"/>
      <c r="I859" s="122"/>
      <c r="J859" s="122"/>
      <c r="K859" s="122"/>
      <c r="L859" s="122"/>
      <c r="M859" s="122"/>
      <c r="N859" s="122"/>
      <c r="O859" s="122"/>
      <c r="P859" s="122"/>
      <c r="Q859" s="122"/>
      <c r="R859" s="122"/>
      <c r="S859" s="122"/>
      <c r="T859" s="122"/>
      <c r="U859" s="122"/>
      <c r="V859" s="122"/>
      <c r="W859" s="122"/>
      <c r="X859" s="122"/>
      <c r="Y859" s="122"/>
      <c r="Z859" s="122"/>
    </row>
    <row r="860" spans="1:26" ht="12.75" x14ac:dyDescent="0.2">
      <c r="A860" s="122"/>
      <c r="B860" s="122"/>
      <c r="C860" s="122"/>
      <c r="D860" s="122"/>
      <c r="E860" s="122"/>
      <c r="F860" s="122"/>
      <c r="G860" s="122"/>
      <c r="H860" s="122"/>
      <c r="I860" s="122"/>
      <c r="J860" s="122"/>
      <c r="K860" s="122"/>
      <c r="L860" s="122"/>
      <c r="M860" s="122"/>
      <c r="N860" s="122"/>
      <c r="O860" s="122"/>
      <c r="P860" s="122"/>
      <c r="Q860" s="122"/>
      <c r="R860" s="122"/>
      <c r="S860" s="122"/>
      <c r="T860" s="122"/>
      <c r="U860" s="122"/>
      <c r="V860" s="122"/>
      <c r="W860" s="122"/>
      <c r="X860" s="122"/>
      <c r="Y860" s="122"/>
      <c r="Z860" s="122"/>
    </row>
    <row r="861" spans="1:26" ht="12.75" x14ac:dyDescent="0.2">
      <c r="A861" s="122"/>
      <c r="B861" s="122"/>
      <c r="C861" s="122"/>
      <c r="D861" s="122"/>
      <c r="E861" s="122"/>
      <c r="F861" s="122"/>
      <c r="G861" s="122"/>
      <c r="H861" s="122"/>
      <c r="I861" s="122"/>
      <c r="J861" s="122"/>
      <c r="K861" s="122"/>
      <c r="L861" s="122"/>
      <c r="M861" s="122"/>
      <c r="N861" s="122"/>
      <c r="O861" s="122"/>
      <c r="P861" s="122"/>
      <c r="Q861" s="122"/>
      <c r="R861" s="122"/>
      <c r="S861" s="122"/>
      <c r="T861" s="122"/>
      <c r="U861" s="122"/>
      <c r="V861" s="122"/>
      <c r="W861" s="122"/>
      <c r="X861" s="122"/>
      <c r="Y861" s="122"/>
      <c r="Z861" s="122"/>
    </row>
    <row r="862" spans="1:26" ht="12.75" x14ac:dyDescent="0.2">
      <c r="A862" s="122"/>
      <c r="B862" s="122"/>
      <c r="C862" s="122"/>
      <c r="D862" s="122"/>
      <c r="E862" s="122"/>
      <c r="F862" s="122"/>
      <c r="G862" s="122"/>
      <c r="H862" s="122"/>
      <c r="I862" s="122"/>
      <c r="J862" s="122"/>
      <c r="K862" s="122"/>
      <c r="L862" s="122"/>
      <c r="M862" s="122"/>
      <c r="N862" s="122"/>
      <c r="O862" s="122"/>
      <c r="P862" s="122"/>
      <c r="Q862" s="122"/>
      <c r="R862" s="122"/>
      <c r="S862" s="122"/>
      <c r="T862" s="122"/>
      <c r="U862" s="122"/>
      <c r="V862" s="122"/>
      <c r="W862" s="122"/>
      <c r="X862" s="122"/>
      <c r="Y862" s="122"/>
      <c r="Z862" s="122"/>
    </row>
    <row r="863" spans="1:26" ht="12.75" x14ac:dyDescent="0.2">
      <c r="A863" s="122"/>
      <c r="B863" s="122"/>
      <c r="C863" s="122"/>
      <c r="D863" s="122"/>
      <c r="E863" s="122"/>
      <c r="F863" s="122"/>
      <c r="G863" s="122"/>
      <c r="H863" s="122"/>
      <c r="I863" s="122"/>
      <c r="J863" s="122"/>
      <c r="K863" s="122"/>
      <c r="L863" s="122"/>
      <c r="M863" s="122"/>
      <c r="N863" s="122"/>
      <c r="O863" s="122"/>
      <c r="P863" s="122"/>
      <c r="Q863" s="122"/>
      <c r="R863" s="122"/>
      <c r="S863" s="122"/>
      <c r="T863" s="122"/>
      <c r="U863" s="122"/>
      <c r="V863" s="122"/>
      <c r="W863" s="122"/>
      <c r="X863" s="122"/>
      <c r="Y863" s="122"/>
      <c r="Z863" s="122"/>
    </row>
    <row r="864" spans="1:26" ht="12.75" x14ac:dyDescent="0.2">
      <c r="A864" s="122"/>
      <c r="B864" s="122"/>
      <c r="C864" s="122"/>
      <c r="D864" s="122"/>
      <c r="E864" s="122"/>
      <c r="F864" s="122"/>
      <c r="G864" s="122"/>
      <c r="H864" s="122"/>
      <c r="I864" s="122"/>
      <c r="J864" s="122"/>
      <c r="K864" s="122"/>
      <c r="L864" s="122"/>
      <c r="M864" s="122"/>
      <c r="N864" s="122"/>
      <c r="O864" s="122"/>
      <c r="P864" s="122"/>
      <c r="Q864" s="122"/>
      <c r="R864" s="122"/>
      <c r="S864" s="122"/>
      <c r="T864" s="122"/>
      <c r="U864" s="122"/>
      <c r="V864" s="122"/>
      <c r="W864" s="122"/>
      <c r="X864" s="122"/>
      <c r="Y864" s="122"/>
      <c r="Z864" s="122"/>
    </row>
    <row r="865" spans="1:26" ht="12.75" x14ac:dyDescent="0.2">
      <c r="A865" s="122"/>
      <c r="B865" s="122"/>
      <c r="C865" s="122"/>
      <c r="D865" s="122"/>
      <c r="E865" s="122"/>
      <c r="F865" s="122"/>
      <c r="G865" s="122"/>
      <c r="H865" s="122"/>
      <c r="I865" s="122"/>
      <c r="J865" s="122"/>
      <c r="K865" s="122"/>
      <c r="L865" s="122"/>
      <c r="M865" s="122"/>
      <c r="N865" s="122"/>
      <c r="O865" s="122"/>
      <c r="P865" s="122"/>
      <c r="Q865" s="122"/>
      <c r="R865" s="122"/>
      <c r="S865" s="122"/>
      <c r="T865" s="122"/>
      <c r="U865" s="122"/>
      <c r="V865" s="122"/>
      <c r="W865" s="122"/>
      <c r="X865" s="122"/>
      <c r="Y865" s="122"/>
      <c r="Z865" s="122"/>
    </row>
    <row r="866" spans="1:26" ht="12.75" x14ac:dyDescent="0.2">
      <c r="A866" s="122"/>
      <c r="B866" s="122"/>
      <c r="C866" s="122"/>
      <c r="D866" s="122"/>
      <c r="E866" s="122"/>
      <c r="F866" s="122"/>
      <c r="G866" s="122"/>
      <c r="H866" s="122"/>
      <c r="I866" s="122"/>
      <c r="J866" s="122"/>
      <c r="K866" s="122"/>
      <c r="L866" s="122"/>
      <c r="M866" s="122"/>
      <c r="N866" s="122"/>
      <c r="O866" s="122"/>
      <c r="P866" s="122"/>
      <c r="Q866" s="122"/>
      <c r="R866" s="122"/>
      <c r="S866" s="122"/>
      <c r="T866" s="122"/>
      <c r="U866" s="122"/>
      <c r="V866" s="122"/>
      <c r="W866" s="122"/>
      <c r="X866" s="122"/>
      <c r="Y866" s="122"/>
      <c r="Z866" s="122"/>
    </row>
    <row r="867" spans="1:26" ht="12.75" x14ac:dyDescent="0.2">
      <c r="A867" s="122"/>
      <c r="B867" s="122"/>
      <c r="C867" s="122"/>
      <c r="D867" s="122"/>
      <c r="E867" s="122"/>
      <c r="F867" s="122"/>
      <c r="G867" s="122"/>
      <c r="H867" s="122"/>
      <c r="I867" s="122"/>
      <c r="J867" s="122"/>
      <c r="K867" s="122"/>
      <c r="L867" s="122"/>
      <c r="M867" s="122"/>
      <c r="N867" s="122"/>
      <c r="O867" s="122"/>
      <c r="P867" s="122"/>
      <c r="Q867" s="122"/>
      <c r="R867" s="122"/>
      <c r="S867" s="122"/>
      <c r="T867" s="122"/>
      <c r="U867" s="122"/>
      <c r="V867" s="122"/>
      <c r="W867" s="122"/>
      <c r="X867" s="122"/>
      <c r="Y867" s="122"/>
      <c r="Z867" s="122"/>
    </row>
    <row r="868" spans="1:26" ht="12.75" x14ac:dyDescent="0.2">
      <c r="A868" s="122"/>
      <c r="B868" s="122"/>
      <c r="C868" s="122"/>
      <c r="D868" s="122"/>
      <c r="E868" s="122"/>
      <c r="F868" s="122"/>
      <c r="G868" s="122"/>
      <c r="H868" s="122"/>
      <c r="I868" s="122"/>
      <c r="J868" s="122"/>
      <c r="K868" s="122"/>
      <c r="L868" s="122"/>
      <c r="M868" s="122"/>
      <c r="N868" s="122"/>
      <c r="O868" s="122"/>
      <c r="P868" s="122"/>
      <c r="Q868" s="122"/>
      <c r="R868" s="122"/>
      <c r="S868" s="122"/>
      <c r="T868" s="122"/>
      <c r="U868" s="122"/>
      <c r="V868" s="122"/>
      <c r="W868" s="122"/>
      <c r="X868" s="122"/>
      <c r="Y868" s="122"/>
      <c r="Z868" s="122"/>
    </row>
    <row r="869" spans="1:26" ht="12.75" x14ac:dyDescent="0.2">
      <c r="A869" s="122"/>
      <c r="B869" s="122"/>
      <c r="C869" s="122"/>
      <c r="D869" s="122"/>
      <c r="E869" s="122"/>
      <c r="F869" s="122"/>
      <c r="G869" s="122"/>
      <c r="H869" s="122"/>
      <c r="I869" s="122"/>
      <c r="J869" s="122"/>
      <c r="K869" s="122"/>
      <c r="L869" s="122"/>
      <c r="M869" s="122"/>
      <c r="N869" s="122"/>
      <c r="O869" s="122"/>
      <c r="P869" s="122"/>
      <c r="Q869" s="122"/>
      <c r="R869" s="122"/>
      <c r="S869" s="122"/>
      <c r="T869" s="122"/>
      <c r="U869" s="122"/>
      <c r="V869" s="122"/>
      <c r="W869" s="122"/>
      <c r="X869" s="122"/>
      <c r="Y869" s="122"/>
      <c r="Z869" s="122"/>
    </row>
    <row r="870" spans="1:26" ht="12.75" x14ac:dyDescent="0.2">
      <c r="A870" s="122"/>
      <c r="B870" s="122"/>
      <c r="C870" s="122"/>
      <c r="D870" s="122"/>
      <c r="E870" s="122"/>
      <c r="F870" s="122"/>
      <c r="G870" s="122"/>
      <c r="H870" s="122"/>
      <c r="I870" s="122"/>
      <c r="J870" s="122"/>
      <c r="K870" s="122"/>
      <c r="L870" s="122"/>
      <c r="M870" s="122"/>
      <c r="N870" s="122"/>
      <c r="O870" s="122"/>
      <c r="P870" s="122"/>
      <c r="Q870" s="122"/>
      <c r="R870" s="122"/>
      <c r="S870" s="122"/>
      <c r="T870" s="122"/>
      <c r="U870" s="122"/>
      <c r="V870" s="122"/>
      <c r="W870" s="122"/>
      <c r="X870" s="122"/>
      <c r="Y870" s="122"/>
      <c r="Z870" s="122"/>
    </row>
    <row r="871" spans="1:26" ht="12.75" x14ac:dyDescent="0.2">
      <c r="A871" s="122"/>
      <c r="B871" s="122"/>
      <c r="C871" s="122"/>
      <c r="D871" s="122"/>
      <c r="E871" s="122"/>
      <c r="F871" s="122"/>
      <c r="G871" s="122"/>
      <c r="H871" s="122"/>
      <c r="I871" s="122"/>
      <c r="J871" s="122"/>
      <c r="K871" s="122"/>
      <c r="L871" s="122"/>
      <c r="M871" s="122"/>
      <c r="N871" s="122"/>
      <c r="O871" s="122"/>
      <c r="P871" s="122"/>
      <c r="Q871" s="122"/>
      <c r="R871" s="122"/>
      <c r="S871" s="122"/>
      <c r="T871" s="122"/>
      <c r="U871" s="122"/>
      <c r="V871" s="122"/>
      <c r="W871" s="122"/>
      <c r="X871" s="122"/>
      <c r="Y871" s="122"/>
      <c r="Z871" s="122"/>
    </row>
    <row r="872" spans="1:26" ht="12.75" x14ac:dyDescent="0.2">
      <c r="A872" s="122"/>
      <c r="B872" s="122"/>
      <c r="C872" s="122"/>
      <c r="D872" s="122"/>
      <c r="E872" s="122"/>
      <c r="F872" s="122"/>
      <c r="G872" s="122"/>
      <c r="H872" s="122"/>
      <c r="I872" s="122"/>
      <c r="J872" s="122"/>
      <c r="K872" s="122"/>
      <c r="L872" s="122"/>
      <c r="M872" s="122"/>
      <c r="N872" s="122"/>
      <c r="O872" s="122"/>
      <c r="P872" s="122"/>
      <c r="Q872" s="122"/>
      <c r="R872" s="122"/>
      <c r="S872" s="122"/>
      <c r="T872" s="122"/>
      <c r="U872" s="122"/>
      <c r="V872" s="122"/>
      <c r="W872" s="122"/>
      <c r="X872" s="122"/>
      <c r="Y872" s="122"/>
      <c r="Z872" s="122"/>
    </row>
    <row r="873" spans="1:26" ht="12.75" x14ac:dyDescent="0.2">
      <c r="A873" s="122"/>
      <c r="B873" s="122"/>
      <c r="C873" s="122"/>
      <c r="D873" s="122"/>
      <c r="E873" s="122"/>
      <c r="F873" s="122"/>
      <c r="G873" s="122"/>
      <c r="H873" s="122"/>
      <c r="I873" s="122"/>
      <c r="J873" s="122"/>
      <c r="K873" s="122"/>
      <c r="L873" s="122"/>
      <c r="M873" s="122"/>
      <c r="N873" s="122"/>
      <c r="O873" s="122"/>
      <c r="P873" s="122"/>
      <c r="Q873" s="122"/>
      <c r="R873" s="122"/>
      <c r="S873" s="122"/>
      <c r="T873" s="122"/>
      <c r="U873" s="122"/>
      <c r="V873" s="122"/>
      <c r="W873" s="122"/>
      <c r="X873" s="122"/>
      <c r="Y873" s="122"/>
      <c r="Z873" s="122"/>
    </row>
    <row r="874" spans="1:26" ht="12.75" x14ac:dyDescent="0.2">
      <c r="A874" s="122"/>
      <c r="B874" s="122"/>
      <c r="C874" s="122"/>
      <c r="D874" s="122"/>
      <c r="E874" s="122"/>
      <c r="F874" s="122"/>
      <c r="G874" s="122"/>
      <c r="H874" s="122"/>
      <c r="I874" s="122"/>
      <c r="J874" s="122"/>
      <c r="K874" s="122"/>
      <c r="L874" s="122"/>
      <c r="M874" s="122"/>
      <c r="N874" s="122"/>
      <c r="O874" s="122"/>
      <c r="P874" s="122"/>
      <c r="Q874" s="122"/>
      <c r="R874" s="122"/>
      <c r="S874" s="122"/>
      <c r="T874" s="122"/>
      <c r="U874" s="122"/>
      <c r="V874" s="122"/>
      <c r="W874" s="122"/>
      <c r="X874" s="122"/>
      <c r="Y874" s="122"/>
      <c r="Z874" s="122"/>
    </row>
    <row r="875" spans="1:26" ht="12.75" x14ac:dyDescent="0.2">
      <c r="A875" s="122"/>
      <c r="B875" s="122"/>
      <c r="C875" s="122"/>
      <c r="D875" s="122"/>
      <c r="E875" s="122"/>
      <c r="F875" s="122"/>
      <c r="G875" s="122"/>
      <c r="H875" s="122"/>
      <c r="I875" s="122"/>
      <c r="J875" s="122"/>
      <c r="K875" s="122"/>
      <c r="L875" s="122"/>
      <c r="M875" s="122"/>
      <c r="N875" s="122"/>
      <c r="O875" s="122"/>
      <c r="P875" s="122"/>
      <c r="Q875" s="122"/>
      <c r="R875" s="122"/>
      <c r="S875" s="122"/>
      <c r="T875" s="122"/>
      <c r="U875" s="122"/>
      <c r="V875" s="122"/>
      <c r="W875" s="122"/>
      <c r="X875" s="122"/>
      <c r="Y875" s="122"/>
      <c r="Z875" s="122"/>
    </row>
    <row r="876" spans="1:26" ht="12.75" x14ac:dyDescent="0.2">
      <c r="A876" s="122"/>
      <c r="B876" s="122"/>
      <c r="C876" s="122"/>
      <c r="D876" s="122"/>
      <c r="E876" s="122"/>
      <c r="F876" s="122"/>
      <c r="G876" s="122"/>
      <c r="H876" s="122"/>
      <c r="I876" s="122"/>
      <c r="J876" s="122"/>
      <c r="K876" s="122"/>
      <c r="L876" s="122"/>
      <c r="M876" s="122"/>
      <c r="N876" s="122"/>
      <c r="O876" s="122"/>
      <c r="P876" s="122"/>
      <c r="Q876" s="122"/>
      <c r="R876" s="122"/>
      <c r="S876" s="122"/>
      <c r="T876" s="122"/>
      <c r="U876" s="122"/>
      <c r="V876" s="122"/>
      <c r="W876" s="122"/>
      <c r="X876" s="122"/>
      <c r="Y876" s="122"/>
      <c r="Z876" s="122"/>
    </row>
    <row r="877" spans="1:26" ht="12.75" x14ac:dyDescent="0.2">
      <c r="A877" s="122"/>
      <c r="B877" s="122"/>
      <c r="C877" s="122"/>
      <c r="D877" s="122"/>
      <c r="E877" s="122"/>
      <c r="F877" s="122"/>
      <c r="G877" s="122"/>
      <c r="H877" s="122"/>
      <c r="I877" s="122"/>
      <c r="J877" s="122"/>
      <c r="K877" s="122"/>
      <c r="L877" s="122"/>
      <c r="M877" s="122"/>
      <c r="N877" s="122"/>
      <c r="O877" s="122"/>
      <c r="P877" s="122"/>
      <c r="Q877" s="122"/>
      <c r="R877" s="122"/>
      <c r="S877" s="122"/>
      <c r="T877" s="122"/>
      <c r="U877" s="122"/>
      <c r="V877" s="122"/>
      <c r="W877" s="122"/>
      <c r="X877" s="122"/>
      <c r="Y877" s="122"/>
      <c r="Z877" s="122"/>
    </row>
    <row r="878" spans="1:26" ht="12.75" x14ac:dyDescent="0.2">
      <c r="A878" s="122"/>
      <c r="B878" s="122"/>
      <c r="C878" s="122"/>
      <c r="D878" s="122"/>
      <c r="E878" s="122"/>
      <c r="F878" s="122"/>
      <c r="G878" s="122"/>
      <c r="H878" s="122"/>
      <c r="I878" s="122"/>
      <c r="J878" s="122"/>
      <c r="K878" s="122"/>
      <c r="L878" s="122"/>
      <c r="M878" s="122"/>
      <c r="N878" s="122"/>
      <c r="O878" s="122"/>
      <c r="P878" s="122"/>
      <c r="Q878" s="122"/>
      <c r="R878" s="122"/>
      <c r="S878" s="122"/>
      <c r="T878" s="122"/>
      <c r="U878" s="122"/>
      <c r="V878" s="122"/>
      <c r="W878" s="122"/>
      <c r="X878" s="122"/>
      <c r="Y878" s="122"/>
      <c r="Z878" s="122"/>
    </row>
    <row r="879" spans="1:26" ht="12.75" x14ac:dyDescent="0.2">
      <c r="A879" s="122"/>
      <c r="B879" s="122"/>
      <c r="C879" s="122"/>
      <c r="D879" s="122"/>
      <c r="E879" s="122"/>
      <c r="F879" s="122"/>
      <c r="G879" s="122"/>
      <c r="H879" s="122"/>
      <c r="I879" s="122"/>
      <c r="J879" s="122"/>
      <c r="K879" s="122"/>
      <c r="L879" s="122"/>
      <c r="M879" s="122"/>
      <c r="N879" s="122"/>
      <c r="O879" s="122"/>
      <c r="P879" s="122"/>
      <c r="Q879" s="122"/>
      <c r="R879" s="122"/>
      <c r="S879" s="122"/>
      <c r="T879" s="122"/>
      <c r="U879" s="122"/>
      <c r="V879" s="122"/>
      <c r="W879" s="122"/>
      <c r="X879" s="122"/>
      <c r="Y879" s="122"/>
      <c r="Z879" s="122"/>
    </row>
    <row r="880" spans="1:26" ht="12.75" x14ac:dyDescent="0.2">
      <c r="A880" s="122"/>
      <c r="B880" s="122"/>
      <c r="C880" s="122"/>
      <c r="D880" s="122"/>
      <c r="E880" s="122"/>
      <c r="F880" s="122"/>
      <c r="G880" s="122"/>
      <c r="H880" s="122"/>
      <c r="I880" s="122"/>
      <c r="J880" s="122"/>
      <c r="K880" s="122"/>
      <c r="L880" s="122"/>
      <c r="M880" s="122"/>
      <c r="N880" s="122"/>
      <c r="O880" s="122"/>
      <c r="P880" s="122"/>
      <c r="Q880" s="122"/>
      <c r="R880" s="122"/>
      <c r="S880" s="122"/>
      <c r="T880" s="122"/>
      <c r="U880" s="122"/>
      <c r="V880" s="122"/>
      <c r="W880" s="122"/>
      <c r="X880" s="122"/>
      <c r="Y880" s="122"/>
      <c r="Z880" s="122"/>
    </row>
    <row r="881" spans="1:26" ht="12.75" x14ac:dyDescent="0.2">
      <c r="A881" s="122"/>
      <c r="B881" s="122"/>
      <c r="C881" s="122"/>
      <c r="D881" s="122"/>
      <c r="E881" s="122"/>
      <c r="F881" s="122"/>
      <c r="G881" s="122"/>
      <c r="H881" s="122"/>
      <c r="I881" s="122"/>
      <c r="J881" s="122"/>
      <c r="K881" s="122"/>
      <c r="L881" s="122"/>
      <c r="M881" s="122"/>
      <c r="N881" s="122"/>
      <c r="O881" s="122"/>
      <c r="P881" s="122"/>
      <c r="Q881" s="122"/>
      <c r="R881" s="122"/>
      <c r="S881" s="122"/>
      <c r="T881" s="122"/>
      <c r="U881" s="122"/>
      <c r="V881" s="122"/>
      <c r="W881" s="122"/>
      <c r="X881" s="122"/>
      <c r="Y881" s="122"/>
      <c r="Z881" s="122"/>
    </row>
    <row r="882" spans="1:26" ht="12.75" x14ac:dyDescent="0.2">
      <c r="A882" s="122"/>
      <c r="B882" s="122"/>
      <c r="C882" s="122"/>
      <c r="D882" s="122"/>
      <c r="E882" s="122"/>
      <c r="F882" s="122"/>
      <c r="G882" s="122"/>
      <c r="H882" s="122"/>
      <c r="I882" s="122"/>
      <c r="J882" s="122"/>
      <c r="K882" s="122"/>
      <c r="L882" s="122"/>
      <c r="M882" s="122"/>
      <c r="N882" s="122"/>
      <c r="O882" s="122"/>
      <c r="P882" s="122"/>
      <c r="Q882" s="122"/>
      <c r="R882" s="122"/>
      <c r="S882" s="122"/>
      <c r="T882" s="122"/>
      <c r="U882" s="122"/>
      <c r="V882" s="122"/>
      <c r="W882" s="122"/>
      <c r="X882" s="122"/>
      <c r="Y882" s="122"/>
      <c r="Z882" s="122"/>
    </row>
    <row r="883" spans="1:26" ht="12.75" x14ac:dyDescent="0.2">
      <c r="A883" s="122"/>
      <c r="B883" s="122"/>
      <c r="C883" s="122"/>
      <c r="D883" s="122"/>
      <c r="E883" s="122"/>
      <c r="F883" s="122"/>
      <c r="G883" s="122"/>
      <c r="H883" s="122"/>
      <c r="I883" s="122"/>
      <c r="J883" s="122"/>
      <c r="K883" s="122"/>
      <c r="L883" s="122"/>
      <c r="M883" s="122"/>
      <c r="N883" s="122"/>
      <c r="O883" s="122"/>
      <c r="P883" s="122"/>
      <c r="Q883" s="122"/>
      <c r="R883" s="122"/>
      <c r="S883" s="122"/>
      <c r="T883" s="122"/>
      <c r="U883" s="122"/>
      <c r="V883" s="122"/>
      <c r="W883" s="122"/>
      <c r="X883" s="122"/>
      <c r="Y883" s="122"/>
      <c r="Z883" s="122"/>
    </row>
    <row r="884" spans="1:26" ht="12.75" x14ac:dyDescent="0.2">
      <c r="A884" s="122"/>
      <c r="B884" s="122"/>
      <c r="C884" s="122"/>
      <c r="D884" s="122"/>
      <c r="E884" s="122"/>
      <c r="F884" s="122"/>
      <c r="G884" s="122"/>
      <c r="H884" s="122"/>
      <c r="I884" s="122"/>
      <c r="J884" s="122"/>
      <c r="K884" s="122"/>
      <c r="L884" s="122"/>
      <c r="M884" s="122"/>
      <c r="N884" s="122"/>
      <c r="O884" s="122"/>
      <c r="P884" s="122"/>
      <c r="Q884" s="122"/>
      <c r="R884" s="122"/>
      <c r="S884" s="122"/>
      <c r="T884" s="122"/>
      <c r="U884" s="122"/>
      <c r="V884" s="122"/>
      <c r="W884" s="122"/>
      <c r="X884" s="122"/>
      <c r="Y884" s="122"/>
      <c r="Z884" s="122"/>
    </row>
    <row r="885" spans="1:26" ht="12.75" x14ac:dyDescent="0.2">
      <c r="A885" s="122"/>
      <c r="B885" s="122"/>
      <c r="C885" s="122"/>
      <c r="D885" s="122"/>
      <c r="E885" s="122"/>
      <c r="F885" s="122"/>
      <c r="G885" s="122"/>
      <c r="H885" s="122"/>
      <c r="I885" s="122"/>
      <c r="J885" s="122"/>
      <c r="K885" s="122"/>
      <c r="L885" s="122"/>
      <c r="M885" s="122"/>
      <c r="N885" s="122"/>
      <c r="O885" s="122"/>
      <c r="P885" s="122"/>
      <c r="Q885" s="122"/>
      <c r="R885" s="122"/>
      <c r="S885" s="122"/>
      <c r="T885" s="122"/>
      <c r="U885" s="122"/>
      <c r="V885" s="122"/>
      <c r="W885" s="122"/>
      <c r="X885" s="122"/>
      <c r="Y885" s="122"/>
      <c r="Z885" s="122"/>
    </row>
    <row r="886" spans="1:26" ht="12.75" x14ac:dyDescent="0.2">
      <c r="A886" s="122"/>
      <c r="B886" s="122"/>
      <c r="C886" s="122"/>
      <c r="D886" s="122"/>
      <c r="E886" s="122"/>
      <c r="F886" s="122"/>
      <c r="G886" s="122"/>
      <c r="H886" s="122"/>
      <c r="I886" s="122"/>
      <c r="J886" s="122"/>
      <c r="K886" s="122"/>
      <c r="L886" s="122"/>
      <c r="M886" s="122"/>
      <c r="N886" s="122"/>
      <c r="O886" s="122"/>
      <c r="P886" s="122"/>
      <c r="Q886" s="122"/>
      <c r="R886" s="122"/>
      <c r="S886" s="122"/>
      <c r="T886" s="122"/>
      <c r="U886" s="122"/>
      <c r="V886" s="122"/>
      <c r="W886" s="122"/>
      <c r="X886" s="122"/>
      <c r="Y886" s="122"/>
      <c r="Z886" s="122"/>
    </row>
    <row r="887" spans="1:26" ht="12.75" x14ac:dyDescent="0.2">
      <c r="A887" s="122"/>
      <c r="B887" s="122"/>
      <c r="C887" s="122"/>
      <c r="D887" s="122"/>
      <c r="E887" s="122"/>
      <c r="F887" s="122"/>
      <c r="G887" s="122"/>
      <c r="H887" s="122"/>
      <c r="I887" s="122"/>
      <c r="J887" s="122"/>
      <c r="K887" s="122"/>
      <c r="L887" s="122"/>
      <c r="M887" s="122"/>
      <c r="N887" s="122"/>
      <c r="O887" s="122"/>
      <c r="P887" s="122"/>
      <c r="Q887" s="122"/>
      <c r="R887" s="122"/>
      <c r="S887" s="122"/>
      <c r="T887" s="122"/>
      <c r="U887" s="122"/>
      <c r="V887" s="122"/>
      <c r="W887" s="122"/>
      <c r="X887" s="122"/>
      <c r="Y887" s="122"/>
      <c r="Z887" s="122"/>
    </row>
    <row r="888" spans="1:26" ht="12.75" x14ac:dyDescent="0.2">
      <c r="A888" s="122"/>
      <c r="B888" s="122"/>
      <c r="C888" s="122"/>
      <c r="D888" s="122"/>
      <c r="E888" s="122"/>
      <c r="F888" s="122"/>
      <c r="G888" s="122"/>
      <c r="H888" s="122"/>
      <c r="I888" s="122"/>
      <c r="J888" s="122"/>
      <c r="K888" s="122"/>
      <c r="L888" s="122"/>
      <c r="M888" s="122"/>
      <c r="N888" s="122"/>
      <c r="O888" s="122"/>
      <c r="P888" s="122"/>
      <c r="Q888" s="122"/>
      <c r="R888" s="122"/>
      <c r="S888" s="122"/>
      <c r="T888" s="122"/>
      <c r="U888" s="122"/>
      <c r="V888" s="122"/>
      <c r="W888" s="122"/>
      <c r="X888" s="122"/>
      <c r="Y888" s="122"/>
      <c r="Z888" s="122"/>
    </row>
    <row r="889" spans="1:26" ht="12.75" x14ac:dyDescent="0.2">
      <c r="A889" s="122"/>
      <c r="B889" s="122"/>
      <c r="C889" s="122"/>
      <c r="D889" s="122"/>
      <c r="E889" s="122"/>
      <c r="F889" s="122"/>
      <c r="G889" s="122"/>
      <c r="H889" s="122"/>
      <c r="I889" s="122"/>
      <c r="J889" s="122"/>
      <c r="K889" s="122"/>
      <c r="L889" s="122"/>
      <c r="M889" s="122"/>
      <c r="N889" s="122"/>
      <c r="O889" s="122"/>
      <c r="P889" s="122"/>
      <c r="Q889" s="122"/>
      <c r="R889" s="122"/>
      <c r="S889" s="122"/>
      <c r="T889" s="122"/>
      <c r="U889" s="122"/>
      <c r="V889" s="122"/>
      <c r="W889" s="122"/>
      <c r="X889" s="122"/>
      <c r="Y889" s="122"/>
      <c r="Z889" s="122"/>
    </row>
    <row r="890" spans="1:26" ht="12.75" x14ac:dyDescent="0.2">
      <c r="A890" s="122"/>
      <c r="B890" s="122"/>
      <c r="C890" s="122"/>
      <c r="D890" s="122"/>
      <c r="E890" s="122"/>
      <c r="F890" s="122"/>
      <c r="G890" s="122"/>
      <c r="H890" s="122"/>
      <c r="I890" s="122"/>
      <c r="J890" s="122"/>
      <c r="K890" s="122"/>
      <c r="L890" s="122"/>
      <c r="M890" s="122"/>
      <c r="N890" s="122"/>
      <c r="O890" s="122"/>
      <c r="P890" s="122"/>
      <c r="Q890" s="122"/>
      <c r="R890" s="122"/>
      <c r="S890" s="122"/>
      <c r="T890" s="122"/>
      <c r="U890" s="122"/>
      <c r="V890" s="122"/>
      <c r="W890" s="122"/>
      <c r="X890" s="122"/>
      <c r="Y890" s="122"/>
      <c r="Z890" s="122"/>
    </row>
    <row r="891" spans="1:26" ht="12.75" x14ac:dyDescent="0.2">
      <c r="A891" s="122"/>
      <c r="B891" s="122"/>
      <c r="C891" s="122"/>
      <c r="D891" s="122"/>
      <c r="E891" s="122"/>
      <c r="F891" s="122"/>
      <c r="G891" s="122"/>
      <c r="H891" s="122"/>
      <c r="I891" s="122"/>
      <c r="J891" s="122"/>
      <c r="K891" s="122"/>
      <c r="L891" s="122"/>
      <c r="M891" s="122"/>
      <c r="N891" s="122"/>
      <c r="O891" s="122"/>
      <c r="P891" s="122"/>
      <c r="Q891" s="122"/>
      <c r="R891" s="122"/>
      <c r="S891" s="122"/>
      <c r="T891" s="122"/>
      <c r="U891" s="122"/>
      <c r="V891" s="122"/>
      <c r="W891" s="122"/>
      <c r="X891" s="122"/>
      <c r="Y891" s="122"/>
      <c r="Z891" s="122"/>
    </row>
    <row r="892" spans="1:26" ht="12.75" x14ac:dyDescent="0.2">
      <c r="A892" s="122"/>
      <c r="B892" s="122"/>
      <c r="C892" s="122"/>
      <c r="D892" s="122"/>
      <c r="E892" s="122"/>
      <c r="F892" s="122"/>
      <c r="G892" s="122"/>
      <c r="H892" s="122"/>
      <c r="I892" s="122"/>
      <c r="J892" s="122"/>
      <c r="K892" s="122"/>
      <c r="L892" s="122"/>
      <c r="M892" s="122"/>
      <c r="N892" s="122"/>
      <c r="O892" s="122"/>
      <c r="P892" s="122"/>
      <c r="Q892" s="122"/>
      <c r="R892" s="122"/>
      <c r="S892" s="122"/>
      <c r="T892" s="122"/>
      <c r="U892" s="122"/>
      <c r="V892" s="122"/>
      <c r="W892" s="122"/>
      <c r="X892" s="122"/>
      <c r="Y892" s="122"/>
      <c r="Z892" s="122"/>
    </row>
    <row r="893" spans="1:26" ht="12.75" x14ac:dyDescent="0.2">
      <c r="A893" s="122"/>
      <c r="B893" s="122"/>
      <c r="C893" s="122"/>
      <c r="D893" s="122"/>
      <c r="E893" s="122"/>
      <c r="F893" s="122"/>
      <c r="G893" s="122"/>
      <c r="H893" s="122"/>
      <c r="I893" s="122"/>
      <c r="J893" s="122"/>
      <c r="K893" s="122"/>
      <c r="L893" s="122"/>
      <c r="M893" s="122"/>
      <c r="N893" s="122"/>
      <c r="O893" s="122"/>
      <c r="P893" s="122"/>
      <c r="Q893" s="122"/>
      <c r="R893" s="122"/>
      <c r="S893" s="122"/>
      <c r="T893" s="122"/>
      <c r="U893" s="122"/>
      <c r="V893" s="122"/>
      <c r="W893" s="122"/>
      <c r="X893" s="122"/>
      <c r="Y893" s="122"/>
      <c r="Z893" s="122"/>
    </row>
    <row r="894" spans="1:26" ht="12.75" x14ac:dyDescent="0.2">
      <c r="A894" s="122"/>
      <c r="B894" s="122"/>
      <c r="C894" s="122"/>
      <c r="D894" s="122"/>
      <c r="E894" s="122"/>
      <c r="F894" s="122"/>
      <c r="G894" s="122"/>
      <c r="H894" s="122"/>
      <c r="I894" s="122"/>
      <c r="J894" s="122"/>
      <c r="K894" s="122"/>
      <c r="L894" s="122"/>
      <c r="M894" s="122"/>
      <c r="N894" s="122"/>
      <c r="O894" s="122"/>
      <c r="P894" s="122"/>
      <c r="Q894" s="122"/>
      <c r="R894" s="122"/>
      <c r="S894" s="122"/>
      <c r="T894" s="122"/>
      <c r="U894" s="122"/>
      <c r="V894" s="122"/>
      <c r="W894" s="122"/>
      <c r="X894" s="122"/>
      <c r="Y894" s="122"/>
      <c r="Z894" s="122"/>
    </row>
    <row r="895" spans="1:26" ht="12.75" x14ac:dyDescent="0.2">
      <c r="A895" s="122"/>
      <c r="B895" s="122"/>
      <c r="C895" s="122"/>
      <c r="D895" s="122"/>
      <c r="E895" s="122"/>
      <c r="F895" s="122"/>
      <c r="G895" s="122"/>
      <c r="H895" s="122"/>
      <c r="I895" s="122"/>
      <c r="J895" s="122"/>
      <c r="K895" s="122"/>
      <c r="L895" s="122"/>
      <c r="M895" s="122"/>
      <c r="N895" s="122"/>
      <c r="O895" s="122"/>
      <c r="P895" s="122"/>
      <c r="Q895" s="122"/>
      <c r="R895" s="122"/>
      <c r="S895" s="122"/>
      <c r="T895" s="122"/>
      <c r="U895" s="122"/>
      <c r="V895" s="122"/>
      <c r="W895" s="122"/>
      <c r="X895" s="122"/>
      <c r="Y895" s="122"/>
      <c r="Z895" s="122"/>
    </row>
    <row r="896" spans="1:26" ht="12.75" x14ac:dyDescent="0.2">
      <c r="A896" s="122"/>
      <c r="B896" s="122"/>
      <c r="C896" s="122"/>
      <c r="D896" s="122"/>
      <c r="E896" s="122"/>
      <c r="F896" s="122"/>
      <c r="G896" s="122"/>
      <c r="H896" s="122"/>
      <c r="I896" s="122"/>
      <c r="J896" s="122"/>
      <c r="K896" s="122"/>
      <c r="L896" s="122"/>
      <c r="M896" s="122"/>
      <c r="N896" s="122"/>
      <c r="O896" s="122"/>
      <c r="P896" s="122"/>
      <c r="Q896" s="122"/>
      <c r="R896" s="122"/>
      <c r="S896" s="122"/>
      <c r="T896" s="122"/>
      <c r="U896" s="122"/>
      <c r="V896" s="122"/>
      <c r="W896" s="122"/>
      <c r="X896" s="122"/>
      <c r="Y896" s="122"/>
      <c r="Z896" s="122"/>
    </row>
    <row r="897" spans="1:26" ht="12.75" x14ac:dyDescent="0.2">
      <c r="A897" s="122"/>
      <c r="B897" s="122"/>
      <c r="C897" s="122"/>
      <c r="D897" s="122"/>
      <c r="E897" s="122"/>
      <c r="F897" s="122"/>
      <c r="G897" s="122"/>
      <c r="H897" s="122"/>
      <c r="I897" s="122"/>
      <c r="J897" s="122"/>
      <c r="K897" s="122"/>
      <c r="L897" s="122"/>
      <c r="M897" s="122"/>
      <c r="N897" s="122"/>
      <c r="O897" s="122"/>
      <c r="P897" s="122"/>
      <c r="Q897" s="122"/>
      <c r="R897" s="122"/>
      <c r="S897" s="122"/>
      <c r="T897" s="122"/>
      <c r="U897" s="122"/>
      <c r="V897" s="122"/>
      <c r="W897" s="122"/>
      <c r="X897" s="122"/>
      <c r="Y897" s="122"/>
      <c r="Z897" s="122"/>
    </row>
    <row r="898" spans="1:26" ht="12.75" x14ac:dyDescent="0.2">
      <c r="A898" s="122"/>
      <c r="B898" s="122"/>
      <c r="C898" s="122"/>
      <c r="D898" s="122"/>
      <c r="E898" s="122"/>
      <c r="F898" s="122"/>
      <c r="G898" s="122"/>
      <c r="H898" s="122"/>
      <c r="I898" s="122"/>
      <c r="J898" s="122"/>
      <c r="K898" s="122"/>
      <c r="L898" s="122"/>
      <c r="M898" s="122"/>
      <c r="N898" s="122"/>
      <c r="O898" s="122"/>
      <c r="P898" s="122"/>
      <c r="Q898" s="122"/>
      <c r="R898" s="122"/>
      <c r="S898" s="122"/>
      <c r="T898" s="122"/>
      <c r="U898" s="122"/>
      <c r="V898" s="122"/>
      <c r="W898" s="122"/>
      <c r="X898" s="122"/>
      <c r="Y898" s="122"/>
      <c r="Z898" s="122"/>
    </row>
    <row r="899" spans="1:26" ht="12.75" x14ac:dyDescent="0.2">
      <c r="A899" s="122"/>
      <c r="B899" s="122"/>
      <c r="C899" s="122"/>
      <c r="D899" s="122"/>
      <c r="E899" s="122"/>
      <c r="F899" s="122"/>
      <c r="G899" s="122"/>
      <c r="H899" s="122"/>
      <c r="I899" s="122"/>
      <c r="J899" s="122"/>
      <c r="K899" s="122"/>
      <c r="L899" s="122"/>
      <c r="M899" s="122"/>
      <c r="N899" s="122"/>
      <c r="O899" s="122"/>
      <c r="P899" s="122"/>
      <c r="Q899" s="122"/>
      <c r="R899" s="122"/>
      <c r="S899" s="122"/>
      <c r="T899" s="122"/>
      <c r="U899" s="122"/>
      <c r="V899" s="122"/>
      <c r="W899" s="122"/>
      <c r="X899" s="122"/>
      <c r="Y899" s="122"/>
      <c r="Z899" s="122"/>
    </row>
    <row r="900" spans="1:26" ht="12.75" x14ac:dyDescent="0.2">
      <c r="A900" s="122"/>
      <c r="B900" s="122"/>
      <c r="C900" s="122"/>
      <c r="D900" s="122"/>
      <c r="E900" s="122"/>
      <c r="F900" s="122"/>
      <c r="G900" s="122"/>
      <c r="H900" s="122"/>
      <c r="I900" s="122"/>
      <c r="J900" s="122"/>
      <c r="K900" s="122"/>
      <c r="L900" s="122"/>
      <c r="M900" s="122"/>
      <c r="N900" s="122"/>
      <c r="O900" s="122"/>
      <c r="P900" s="122"/>
      <c r="Q900" s="122"/>
      <c r="R900" s="122"/>
      <c r="S900" s="122"/>
      <c r="T900" s="122"/>
      <c r="U900" s="122"/>
      <c r="V900" s="122"/>
      <c r="W900" s="122"/>
      <c r="X900" s="122"/>
      <c r="Y900" s="122"/>
      <c r="Z900" s="122"/>
    </row>
    <row r="901" spans="1:26" ht="12.75" x14ac:dyDescent="0.2">
      <c r="A901" s="122"/>
      <c r="B901" s="122"/>
      <c r="C901" s="122"/>
      <c r="D901" s="122"/>
      <c r="E901" s="122"/>
      <c r="F901" s="122"/>
      <c r="G901" s="122"/>
      <c r="H901" s="122"/>
      <c r="I901" s="122"/>
      <c r="J901" s="122"/>
      <c r="K901" s="122"/>
      <c r="L901" s="122"/>
      <c r="M901" s="122"/>
      <c r="N901" s="122"/>
      <c r="O901" s="122"/>
      <c r="P901" s="122"/>
      <c r="Q901" s="122"/>
      <c r="R901" s="122"/>
      <c r="S901" s="122"/>
      <c r="T901" s="122"/>
      <c r="U901" s="122"/>
      <c r="V901" s="122"/>
      <c r="W901" s="122"/>
      <c r="X901" s="122"/>
      <c r="Y901" s="122"/>
      <c r="Z901" s="122"/>
    </row>
    <row r="902" spans="1:26" ht="12.75" x14ac:dyDescent="0.2">
      <c r="A902" s="122"/>
      <c r="B902" s="122"/>
      <c r="C902" s="122"/>
      <c r="D902" s="122"/>
      <c r="E902" s="122"/>
      <c r="F902" s="122"/>
      <c r="G902" s="122"/>
      <c r="H902" s="122"/>
      <c r="I902" s="122"/>
      <c r="J902" s="122"/>
      <c r="K902" s="122"/>
      <c r="L902" s="122"/>
      <c r="M902" s="122"/>
      <c r="N902" s="122"/>
      <c r="O902" s="122"/>
      <c r="P902" s="122"/>
      <c r="Q902" s="122"/>
      <c r="R902" s="122"/>
      <c r="S902" s="122"/>
      <c r="T902" s="122"/>
      <c r="U902" s="122"/>
      <c r="V902" s="122"/>
      <c r="W902" s="122"/>
      <c r="X902" s="122"/>
      <c r="Y902" s="122"/>
      <c r="Z902" s="122"/>
    </row>
    <row r="903" spans="1:26" ht="12.75" x14ac:dyDescent="0.2">
      <c r="A903" s="122"/>
      <c r="B903" s="122"/>
      <c r="C903" s="122"/>
      <c r="D903" s="122"/>
      <c r="E903" s="122"/>
      <c r="F903" s="122"/>
      <c r="G903" s="122"/>
      <c r="H903" s="122"/>
      <c r="I903" s="122"/>
      <c r="J903" s="122"/>
      <c r="K903" s="122"/>
      <c r="L903" s="122"/>
      <c r="M903" s="122"/>
      <c r="N903" s="122"/>
      <c r="O903" s="122"/>
      <c r="P903" s="122"/>
      <c r="Q903" s="122"/>
      <c r="R903" s="122"/>
      <c r="S903" s="122"/>
      <c r="T903" s="122"/>
      <c r="U903" s="122"/>
      <c r="V903" s="122"/>
      <c r="W903" s="122"/>
      <c r="X903" s="122"/>
      <c r="Y903" s="122"/>
      <c r="Z903" s="122"/>
    </row>
    <row r="904" spans="1:26" ht="12.75" x14ac:dyDescent="0.2">
      <c r="A904" s="122"/>
      <c r="B904" s="122"/>
      <c r="C904" s="122"/>
      <c r="D904" s="122"/>
      <c r="E904" s="122"/>
      <c r="F904" s="122"/>
      <c r="G904" s="122"/>
      <c r="H904" s="122"/>
      <c r="I904" s="122"/>
      <c r="J904" s="122"/>
      <c r="K904" s="122"/>
      <c r="L904" s="122"/>
      <c r="M904" s="122"/>
      <c r="N904" s="122"/>
      <c r="O904" s="122"/>
      <c r="P904" s="122"/>
      <c r="Q904" s="122"/>
      <c r="R904" s="122"/>
      <c r="S904" s="122"/>
      <c r="T904" s="122"/>
      <c r="U904" s="122"/>
      <c r="V904" s="122"/>
      <c r="W904" s="122"/>
      <c r="X904" s="122"/>
      <c r="Y904" s="122"/>
      <c r="Z904" s="122"/>
    </row>
    <row r="905" spans="1:26" ht="12.75" x14ac:dyDescent="0.2">
      <c r="A905" s="122"/>
      <c r="B905" s="122"/>
      <c r="C905" s="122"/>
      <c r="D905" s="122"/>
      <c r="E905" s="122"/>
      <c r="F905" s="122"/>
      <c r="G905" s="122"/>
      <c r="H905" s="122"/>
      <c r="I905" s="122"/>
      <c r="J905" s="122"/>
      <c r="K905" s="122"/>
      <c r="L905" s="122"/>
      <c r="M905" s="122"/>
      <c r="N905" s="122"/>
      <c r="O905" s="122"/>
      <c r="P905" s="122"/>
      <c r="Q905" s="122"/>
      <c r="R905" s="122"/>
      <c r="S905" s="122"/>
      <c r="T905" s="122"/>
      <c r="U905" s="122"/>
      <c r="V905" s="122"/>
      <c r="W905" s="122"/>
      <c r="X905" s="122"/>
      <c r="Y905" s="122"/>
      <c r="Z905" s="122"/>
    </row>
    <row r="906" spans="1:26" ht="12.75" x14ac:dyDescent="0.2">
      <c r="A906" s="122"/>
      <c r="B906" s="122"/>
      <c r="C906" s="122"/>
      <c r="D906" s="122"/>
      <c r="E906" s="122"/>
      <c r="F906" s="122"/>
      <c r="G906" s="122"/>
      <c r="H906" s="122"/>
      <c r="I906" s="122"/>
      <c r="J906" s="122"/>
      <c r="K906" s="122"/>
      <c r="L906" s="122"/>
      <c r="M906" s="122"/>
      <c r="N906" s="122"/>
      <c r="O906" s="122"/>
      <c r="P906" s="122"/>
      <c r="Q906" s="122"/>
      <c r="R906" s="122"/>
      <c r="S906" s="122"/>
      <c r="T906" s="122"/>
      <c r="U906" s="122"/>
      <c r="V906" s="122"/>
      <c r="W906" s="122"/>
      <c r="X906" s="122"/>
      <c r="Y906" s="122"/>
      <c r="Z906" s="122"/>
    </row>
    <row r="907" spans="1:26" ht="12.75" x14ac:dyDescent="0.2">
      <c r="A907" s="122"/>
      <c r="B907" s="122"/>
      <c r="C907" s="122"/>
      <c r="D907" s="122"/>
      <c r="E907" s="122"/>
      <c r="F907" s="122"/>
      <c r="G907" s="122"/>
      <c r="H907" s="122"/>
      <c r="I907" s="122"/>
      <c r="J907" s="122"/>
      <c r="K907" s="122"/>
      <c r="L907" s="122"/>
      <c r="M907" s="122"/>
      <c r="N907" s="122"/>
      <c r="O907" s="122"/>
      <c r="P907" s="122"/>
      <c r="Q907" s="122"/>
      <c r="R907" s="122"/>
      <c r="S907" s="122"/>
      <c r="T907" s="122"/>
      <c r="U907" s="122"/>
      <c r="V907" s="122"/>
      <c r="W907" s="122"/>
      <c r="X907" s="122"/>
      <c r="Y907" s="122"/>
      <c r="Z907" s="122"/>
    </row>
    <row r="908" spans="1:26" ht="12.75" x14ac:dyDescent="0.2">
      <c r="A908" s="122"/>
      <c r="B908" s="122"/>
      <c r="C908" s="122"/>
      <c r="D908" s="122"/>
      <c r="E908" s="122"/>
      <c r="F908" s="122"/>
      <c r="G908" s="122"/>
      <c r="H908" s="122"/>
      <c r="I908" s="122"/>
      <c r="J908" s="122"/>
      <c r="K908" s="122"/>
      <c r="L908" s="122"/>
      <c r="M908" s="122"/>
      <c r="N908" s="122"/>
      <c r="O908" s="122"/>
      <c r="P908" s="122"/>
      <c r="Q908" s="122"/>
      <c r="R908" s="122"/>
      <c r="S908" s="122"/>
      <c r="T908" s="122"/>
      <c r="U908" s="122"/>
      <c r="V908" s="122"/>
      <c r="W908" s="122"/>
      <c r="X908" s="122"/>
      <c r="Y908" s="122"/>
      <c r="Z908" s="122"/>
    </row>
    <row r="909" spans="1:26" ht="12.75" x14ac:dyDescent="0.2">
      <c r="A909" s="122"/>
      <c r="B909" s="122"/>
      <c r="C909" s="122"/>
      <c r="D909" s="122"/>
      <c r="E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row>
    <row r="910" spans="1:26" ht="12.75" x14ac:dyDescent="0.2">
      <c r="A910" s="122"/>
      <c r="B910" s="122"/>
      <c r="C910" s="122"/>
      <c r="D910" s="122"/>
      <c r="E910" s="122"/>
      <c r="F910" s="122"/>
      <c r="G910" s="122"/>
      <c r="H910" s="122"/>
      <c r="I910" s="122"/>
      <c r="J910" s="122"/>
      <c r="K910" s="122"/>
      <c r="L910" s="122"/>
      <c r="M910" s="122"/>
      <c r="N910" s="122"/>
      <c r="O910" s="122"/>
      <c r="P910" s="122"/>
      <c r="Q910" s="122"/>
      <c r="R910" s="122"/>
      <c r="S910" s="122"/>
      <c r="T910" s="122"/>
      <c r="U910" s="122"/>
      <c r="V910" s="122"/>
      <c r="W910" s="122"/>
      <c r="X910" s="122"/>
      <c r="Y910" s="122"/>
      <c r="Z910" s="122"/>
    </row>
    <row r="911" spans="1:26" ht="12.75" x14ac:dyDescent="0.2">
      <c r="A911" s="122"/>
      <c r="B911" s="122"/>
      <c r="C911" s="122"/>
      <c r="D911" s="122"/>
      <c r="E911" s="122"/>
      <c r="F911" s="122"/>
      <c r="G911" s="122"/>
      <c r="H911" s="122"/>
      <c r="I911" s="122"/>
      <c r="J911" s="122"/>
      <c r="K911" s="122"/>
      <c r="L911" s="122"/>
      <c r="M911" s="122"/>
      <c r="N911" s="122"/>
      <c r="O911" s="122"/>
      <c r="P911" s="122"/>
      <c r="Q911" s="122"/>
      <c r="R911" s="122"/>
      <c r="S911" s="122"/>
      <c r="T911" s="122"/>
      <c r="U911" s="122"/>
      <c r="V911" s="122"/>
      <c r="W911" s="122"/>
      <c r="X911" s="122"/>
      <c r="Y911" s="122"/>
      <c r="Z911" s="122"/>
    </row>
    <row r="912" spans="1:26" ht="12.75" x14ac:dyDescent="0.2">
      <c r="A912" s="122"/>
      <c r="B912" s="122"/>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22"/>
      <c r="Y912" s="122"/>
      <c r="Z912" s="122"/>
    </row>
    <row r="913" spans="1:26" ht="12.75" x14ac:dyDescent="0.2">
      <c r="A913" s="122"/>
      <c r="B913" s="122"/>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22"/>
      <c r="Y913" s="122"/>
      <c r="Z913" s="122"/>
    </row>
    <row r="914" spans="1:26" ht="12.75" x14ac:dyDescent="0.2">
      <c r="A914" s="122"/>
      <c r="B914" s="122"/>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22"/>
      <c r="Y914" s="122"/>
      <c r="Z914" s="122"/>
    </row>
    <row r="915" spans="1:26" ht="12.75" x14ac:dyDescent="0.2">
      <c r="A915" s="122"/>
      <c r="B915" s="122"/>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22"/>
      <c r="Y915" s="122"/>
      <c r="Z915" s="122"/>
    </row>
    <row r="916" spans="1:26" ht="12.75" x14ac:dyDescent="0.2">
      <c r="A916" s="122"/>
      <c r="B916" s="122"/>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22"/>
      <c r="Y916" s="122"/>
      <c r="Z916" s="122"/>
    </row>
    <row r="917" spans="1:26" ht="12.75" x14ac:dyDescent="0.2">
      <c r="A917" s="122"/>
      <c r="B917" s="122"/>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row>
    <row r="918" spans="1:26" ht="12.75" x14ac:dyDescent="0.2">
      <c r="A918" s="122"/>
      <c r="B918" s="122"/>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row>
    <row r="919" spans="1:26" ht="12.75" x14ac:dyDescent="0.2">
      <c r="A919" s="122"/>
      <c r="B919" s="122"/>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row>
    <row r="920" spans="1:26" ht="12.75" x14ac:dyDescent="0.2">
      <c r="A920" s="122"/>
      <c r="B920" s="122"/>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22"/>
      <c r="Y920" s="122"/>
      <c r="Z920" s="122"/>
    </row>
    <row r="921" spans="1:26" ht="12.75" x14ac:dyDescent="0.2">
      <c r="A921" s="122"/>
      <c r="B921" s="122"/>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22"/>
      <c r="Y921" s="122"/>
      <c r="Z921" s="122"/>
    </row>
    <row r="922" spans="1:26" ht="12.75" x14ac:dyDescent="0.2">
      <c r="A922" s="122"/>
      <c r="B922" s="122"/>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22"/>
      <c r="Y922" s="122"/>
      <c r="Z922" s="122"/>
    </row>
    <row r="923" spans="1:26" ht="12.75" x14ac:dyDescent="0.2">
      <c r="A923" s="122"/>
      <c r="B923" s="122"/>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22"/>
      <c r="Y923" s="122"/>
      <c r="Z923" s="122"/>
    </row>
    <row r="924" spans="1:26" ht="12.75" x14ac:dyDescent="0.2">
      <c r="A924" s="122"/>
      <c r="B924" s="122"/>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22"/>
      <c r="Y924" s="122"/>
      <c r="Z924" s="122"/>
    </row>
    <row r="925" spans="1:26" ht="12.75" x14ac:dyDescent="0.2">
      <c r="A925" s="122"/>
      <c r="B925" s="122"/>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22"/>
      <c r="Y925" s="122"/>
      <c r="Z925" s="122"/>
    </row>
    <row r="926" spans="1:26" ht="12.75" x14ac:dyDescent="0.2">
      <c r="A926" s="122"/>
      <c r="B926" s="122"/>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row>
    <row r="927" spans="1:26" ht="12.75" x14ac:dyDescent="0.2">
      <c r="A927" s="122"/>
      <c r="B927" s="122"/>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row>
    <row r="928" spans="1:26" ht="12.75" x14ac:dyDescent="0.2">
      <c r="A928" s="122"/>
      <c r="B928" s="122"/>
      <c r="C928" s="122"/>
      <c r="D928" s="122"/>
      <c r="E928" s="122"/>
      <c r="F928" s="122"/>
      <c r="G928" s="122"/>
      <c r="H928" s="122"/>
      <c r="I928" s="122"/>
      <c r="J928" s="122"/>
      <c r="K928" s="122"/>
      <c r="L928" s="122"/>
      <c r="M928" s="122"/>
      <c r="N928" s="122"/>
      <c r="O928" s="122"/>
      <c r="P928" s="122"/>
      <c r="Q928" s="122"/>
      <c r="R928" s="122"/>
      <c r="S928" s="122"/>
      <c r="T928" s="122"/>
      <c r="U928" s="122"/>
      <c r="V928" s="122"/>
      <c r="W928" s="122"/>
      <c r="X928" s="122"/>
      <c r="Y928" s="122"/>
      <c r="Z928" s="122"/>
    </row>
    <row r="929" spans="1:26" ht="12.75" x14ac:dyDescent="0.2">
      <c r="A929" s="122"/>
      <c r="B929" s="122"/>
      <c r="C929" s="122"/>
      <c r="D929" s="122"/>
      <c r="E929" s="122"/>
      <c r="F929" s="122"/>
      <c r="G929" s="122"/>
      <c r="H929" s="122"/>
      <c r="I929" s="122"/>
      <c r="J929" s="122"/>
      <c r="K929" s="122"/>
      <c r="L929" s="122"/>
      <c r="M929" s="122"/>
      <c r="N929" s="122"/>
      <c r="O929" s="122"/>
      <c r="P929" s="122"/>
      <c r="Q929" s="122"/>
      <c r="R929" s="122"/>
      <c r="S929" s="122"/>
      <c r="T929" s="122"/>
      <c r="U929" s="122"/>
      <c r="V929" s="122"/>
      <c r="W929" s="122"/>
      <c r="X929" s="122"/>
      <c r="Y929" s="122"/>
      <c r="Z929" s="122"/>
    </row>
    <row r="930" spans="1:26" ht="12.75" x14ac:dyDescent="0.2">
      <c r="A930" s="122"/>
      <c r="B930" s="122"/>
      <c r="C930" s="122"/>
      <c r="D930" s="122"/>
      <c r="E930" s="122"/>
      <c r="F930" s="122"/>
      <c r="G930" s="122"/>
      <c r="H930" s="122"/>
      <c r="I930" s="122"/>
      <c r="J930" s="122"/>
      <c r="K930" s="122"/>
      <c r="L930" s="122"/>
      <c r="M930" s="122"/>
      <c r="N930" s="122"/>
      <c r="O930" s="122"/>
      <c r="P930" s="122"/>
      <c r="Q930" s="122"/>
      <c r="R930" s="122"/>
      <c r="S930" s="122"/>
      <c r="T930" s="122"/>
      <c r="U930" s="122"/>
      <c r="V930" s="122"/>
      <c r="W930" s="122"/>
      <c r="X930" s="122"/>
      <c r="Y930" s="122"/>
      <c r="Z930" s="122"/>
    </row>
    <row r="931" spans="1:26" ht="12.75" x14ac:dyDescent="0.2">
      <c r="A931" s="122"/>
      <c r="B931" s="122"/>
      <c r="C931" s="122"/>
      <c r="D931" s="122"/>
      <c r="E931" s="122"/>
      <c r="F931" s="122"/>
      <c r="G931" s="122"/>
      <c r="H931" s="122"/>
      <c r="I931" s="122"/>
      <c r="J931" s="122"/>
      <c r="K931" s="122"/>
      <c r="L931" s="122"/>
      <c r="M931" s="122"/>
      <c r="N931" s="122"/>
      <c r="O931" s="122"/>
      <c r="P931" s="122"/>
      <c r="Q931" s="122"/>
      <c r="R931" s="122"/>
      <c r="S931" s="122"/>
      <c r="T931" s="122"/>
      <c r="U931" s="122"/>
      <c r="V931" s="122"/>
      <c r="W931" s="122"/>
      <c r="X931" s="122"/>
      <c r="Y931" s="122"/>
      <c r="Z931" s="122"/>
    </row>
    <row r="932" spans="1:26" ht="12.75" x14ac:dyDescent="0.2">
      <c r="A932" s="122"/>
      <c r="B932" s="122"/>
      <c r="C932" s="122"/>
      <c r="D932" s="122"/>
      <c r="E932" s="122"/>
      <c r="F932" s="122"/>
      <c r="G932" s="122"/>
      <c r="H932" s="122"/>
      <c r="I932" s="122"/>
      <c r="J932" s="122"/>
      <c r="K932" s="122"/>
      <c r="L932" s="122"/>
      <c r="M932" s="122"/>
      <c r="N932" s="122"/>
      <c r="O932" s="122"/>
      <c r="P932" s="122"/>
      <c r="Q932" s="122"/>
      <c r="R932" s="122"/>
      <c r="S932" s="122"/>
      <c r="T932" s="122"/>
      <c r="U932" s="122"/>
      <c r="V932" s="122"/>
      <c r="W932" s="122"/>
      <c r="X932" s="122"/>
      <c r="Y932" s="122"/>
      <c r="Z932" s="122"/>
    </row>
    <row r="933" spans="1:26" ht="12.75" x14ac:dyDescent="0.2">
      <c r="A933" s="122"/>
      <c r="B933" s="122"/>
      <c r="C933" s="122"/>
      <c r="D933" s="122"/>
      <c r="E933" s="122"/>
      <c r="F933" s="122"/>
      <c r="G933" s="122"/>
      <c r="H933" s="122"/>
      <c r="I933" s="122"/>
      <c r="J933" s="122"/>
      <c r="K933" s="122"/>
      <c r="L933" s="122"/>
      <c r="M933" s="122"/>
      <c r="N933" s="122"/>
      <c r="O933" s="122"/>
      <c r="P933" s="122"/>
      <c r="Q933" s="122"/>
      <c r="R933" s="122"/>
      <c r="S933" s="122"/>
      <c r="T933" s="122"/>
      <c r="U933" s="122"/>
      <c r="V933" s="122"/>
      <c r="W933" s="122"/>
      <c r="X933" s="122"/>
      <c r="Y933" s="122"/>
      <c r="Z933" s="122"/>
    </row>
    <row r="934" spans="1:26" ht="12.75" x14ac:dyDescent="0.2">
      <c r="A934" s="122"/>
      <c r="B934" s="122"/>
      <c r="C934" s="122"/>
      <c r="D934" s="122"/>
      <c r="E934" s="122"/>
      <c r="F934" s="122"/>
      <c r="G934" s="122"/>
      <c r="H934" s="122"/>
      <c r="I934" s="122"/>
      <c r="J934" s="122"/>
      <c r="K934" s="122"/>
      <c r="L934" s="122"/>
      <c r="M934" s="122"/>
      <c r="N934" s="122"/>
      <c r="O934" s="122"/>
      <c r="P934" s="122"/>
      <c r="Q934" s="122"/>
      <c r="R934" s="122"/>
      <c r="S934" s="122"/>
      <c r="T934" s="122"/>
      <c r="U934" s="122"/>
      <c r="V934" s="122"/>
      <c r="W934" s="122"/>
      <c r="X934" s="122"/>
      <c r="Y934" s="122"/>
      <c r="Z934" s="122"/>
    </row>
    <row r="935" spans="1:26" ht="12.75" x14ac:dyDescent="0.2">
      <c r="A935" s="122"/>
      <c r="B935" s="122"/>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row>
    <row r="936" spans="1:26" ht="12.75" x14ac:dyDescent="0.2">
      <c r="A936" s="122"/>
      <c r="B936" s="122"/>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row>
    <row r="937" spans="1:26" ht="12.75" x14ac:dyDescent="0.2">
      <c r="A937" s="122"/>
      <c r="B937" s="122"/>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row>
    <row r="938" spans="1:26" ht="12.75" x14ac:dyDescent="0.2">
      <c r="A938" s="122"/>
      <c r="B938" s="122"/>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row>
    <row r="939" spans="1:26" ht="12.75" x14ac:dyDescent="0.2">
      <c r="A939" s="122"/>
      <c r="B939" s="122"/>
      <c r="C939" s="122"/>
      <c r="D939" s="122"/>
      <c r="E939" s="122"/>
      <c r="F939" s="122"/>
      <c r="G939" s="122"/>
      <c r="H939" s="122"/>
      <c r="I939" s="122"/>
      <c r="J939" s="122"/>
      <c r="K939" s="122"/>
      <c r="L939" s="122"/>
      <c r="M939" s="122"/>
      <c r="N939" s="122"/>
      <c r="O939" s="122"/>
      <c r="P939" s="122"/>
      <c r="Q939" s="122"/>
      <c r="R939" s="122"/>
      <c r="S939" s="122"/>
      <c r="T939" s="122"/>
      <c r="U939" s="122"/>
      <c r="V939" s="122"/>
      <c r="W939" s="122"/>
      <c r="X939" s="122"/>
      <c r="Y939" s="122"/>
      <c r="Z939" s="122"/>
    </row>
    <row r="940" spans="1:26" ht="12.75" x14ac:dyDescent="0.2">
      <c r="A940" s="122"/>
      <c r="B940" s="122"/>
      <c r="C940" s="122"/>
      <c r="D940" s="122"/>
      <c r="E940" s="122"/>
      <c r="F940" s="122"/>
      <c r="G940" s="122"/>
      <c r="H940" s="122"/>
      <c r="I940" s="122"/>
      <c r="J940" s="122"/>
      <c r="K940" s="122"/>
      <c r="L940" s="122"/>
      <c r="M940" s="122"/>
      <c r="N940" s="122"/>
      <c r="O940" s="122"/>
      <c r="P940" s="122"/>
      <c r="Q940" s="122"/>
      <c r="R940" s="122"/>
      <c r="S940" s="122"/>
      <c r="T940" s="122"/>
      <c r="U940" s="122"/>
      <c r="V940" s="122"/>
      <c r="W940" s="122"/>
      <c r="X940" s="122"/>
      <c r="Y940" s="122"/>
      <c r="Z940" s="122"/>
    </row>
    <row r="941" spans="1:26" ht="12.75" x14ac:dyDescent="0.2">
      <c r="A941" s="122"/>
      <c r="B941" s="122"/>
      <c r="C941" s="122"/>
      <c r="D941" s="122"/>
      <c r="E941" s="122"/>
      <c r="F941" s="122"/>
      <c r="G941" s="122"/>
      <c r="H941" s="122"/>
      <c r="I941" s="122"/>
      <c r="J941" s="122"/>
      <c r="K941" s="122"/>
      <c r="L941" s="122"/>
      <c r="M941" s="122"/>
      <c r="N941" s="122"/>
      <c r="O941" s="122"/>
      <c r="P941" s="122"/>
      <c r="Q941" s="122"/>
      <c r="R941" s="122"/>
      <c r="S941" s="122"/>
      <c r="T941" s="122"/>
      <c r="U941" s="122"/>
      <c r="V941" s="122"/>
      <c r="W941" s="122"/>
      <c r="X941" s="122"/>
      <c r="Y941" s="122"/>
      <c r="Z941" s="122"/>
    </row>
    <row r="942" spans="1:26" ht="12.75" x14ac:dyDescent="0.2">
      <c r="A942" s="122"/>
      <c r="B942" s="122"/>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row>
    <row r="943" spans="1:26" ht="12.75" x14ac:dyDescent="0.2">
      <c r="A943" s="122"/>
      <c r="B943" s="122"/>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row>
    <row r="944" spans="1:26" ht="12.75" x14ac:dyDescent="0.2">
      <c r="A944" s="122"/>
      <c r="B944" s="122"/>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row>
    <row r="945" spans="1:26" ht="12.75" x14ac:dyDescent="0.2">
      <c r="A945" s="122"/>
      <c r="B945" s="122"/>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row>
    <row r="946" spans="1:26" ht="12.75" x14ac:dyDescent="0.2">
      <c r="A946" s="122"/>
      <c r="B946" s="122"/>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row>
    <row r="947" spans="1:26" ht="12.75" x14ac:dyDescent="0.2">
      <c r="A947" s="122"/>
      <c r="B947" s="122"/>
      <c r="C947" s="122"/>
      <c r="D947" s="122"/>
      <c r="E947" s="122"/>
      <c r="F947" s="122"/>
      <c r="G947" s="122"/>
      <c r="H947" s="122"/>
      <c r="I947" s="122"/>
      <c r="J947" s="122"/>
      <c r="K947" s="122"/>
      <c r="L947" s="122"/>
      <c r="M947" s="122"/>
      <c r="N947" s="122"/>
      <c r="O947" s="122"/>
      <c r="P947" s="122"/>
      <c r="Q947" s="122"/>
      <c r="R947" s="122"/>
      <c r="S947" s="122"/>
      <c r="T947" s="122"/>
      <c r="U947" s="122"/>
      <c r="V947" s="122"/>
      <c r="W947" s="122"/>
      <c r="X947" s="122"/>
      <c r="Y947" s="122"/>
      <c r="Z947" s="122"/>
    </row>
    <row r="948" spans="1:26" ht="12.75" x14ac:dyDescent="0.2">
      <c r="A948" s="122"/>
      <c r="B948" s="122"/>
      <c r="C948" s="122"/>
      <c r="D948" s="122"/>
      <c r="E948" s="122"/>
      <c r="F948" s="122"/>
      <c r="G948" s="122"/>
      <c r="H948" s="122"/>
      <c r="I948" s="122"/>
      <c r="J948" s="122"/>
      <c r="K948" s="122"/>
      <c r="L948" s="122"/>
      <c r="M948" s="122"/>
      <c r="N948" s="122"/>
      <c r="O948" s="122"/>
      <c r="P948" s="122"/>
      <c r="Q948" s="122"/>
      <c r="R948" s="122"/>
      <c r="S948" s="122"/>
      <c r="T948" s="122"/>
      <c r="U948" s="122"/>
      <c r="V948" s="122"/>
      <c r="W948" s="122"/>
      <c r="X948" s="122"/>
      <c r="Y948" s="122"/>
      <c r="Z948" s="122"/>
    </row>
    <row r="949" spans="1:26" ht="12.75" x14ac:dyDescent="0.2">
      <c r="A949" s="122"/>
      <c r="B949" s="122"/>
      <c r="C949" s="122"/>
      <c r="D949" s="122"/>
      <c r="E949" s="122"/>
      <c r="F949" s="122"/>
      <c r="G949" s="122"/>
      <c r="H949" s="122"/>
      <c r="I949" s="122"/>
      <c r="J949" s="122"/>
      <c r="K949" s="122"/>
      <c r="L949" s="122"/>
      <c r="M949" s="122"/>
      <c r="N949" s="122"/>
      <c r="O949" s="122"/>
      <c r="P949" s="122"/>
      <c r="Q949" s="122"/>
      <c r="R949" s="122"/>
      <c r="S949" s="122"/>
      <c r="T949" s="122"/>
      <c r="U949" s="122"/>
      <c r="V949" s="122"/>
      <c r="W949" s="122"/>
      <c r="X949" s="122"/>
      <c r="Y949" s="122"/>
      <c r="Z949" s="122"/>
    </row>
    <row r="950" spans="1:26" ht="12.75" x14ac:dyDescent="0.2">
      <c r="A950" s="122"/>
      <c r="B950" s="122"/>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row>
    <row r="951" spans="1:26" ht="12.75" x14ac:dyDescent="0.2">
      <c r="A951" s="122"/>
      <c r="B951" s="122"/>
      <c r="C951" s="122"/>
      <c r="D951" s="122"/>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row>
    <row r="952" spans="1:26" ht="12.75" x14ac:dyDescent="0.2">
      <c r="A952" s="122"/>
      <c r="B952" s="122"/>
      <c r="C952" s="122"/>
      <c r="D952" s="122"/>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row>
    <row r="953" spans="1:26" ht="12.75" x14ac:dyDescent="0.2">
      <c r="A953" s="122"/>
      <c r="B953" s="122"/>
      <c r="C953" s="122"/>
      <c r="D953" s="122"/>
      <c r="E953" s="122"/>
      <c r="F953" s="122"/>
      <c r="G953" s="122"/>
      <c r="H953" s="122"/>
      <c r="I953" s="122"/>
      <c r="J953" s="122"/>
      <c r="K953" s="122"/>
      <c r="L953" s="122"/>
      <c r="M953" s="122"/>
      <c r="N953" s="122"/>
      <c r="O953" s="122"/>
      <c r="P953" s="122"/>
      <c r="Q953" s="122"/>
      <c r="R953" s="122"/>
      <c r="S953" s="122"/>
      <c r="T953" s="122"/>
      <c r="U953" s="122"/>
      <c r="V953" s="122"/>
      <c r="W953" s="122"/>
      <c r="X953" s="122"/>
      <c r="Y953" s="122"/>
      <c r="Z953" s="122"/>
    </row>
    <row r="954" spans="1:26" ht="12.75" x14ac:dyDescent="0.2">
      <c r="A954" s="122"/>
      <c r="B954" s="122"/>
      <c r="C954" s="122"/>
      <c r="D954" s="122"/>
      <c r="E954" s="122"/>
      <c r="F954" s="122"/>
      <c r="G954" s="122"/>
      <c r="H954" s="122"/>
      <c r="I954" s="122"/>
      <c r="J954" s="122"/>
      <c r="K954" s="122"/>
      <c r="L954" s="122"/>
      <c r="M954" s="122"/>
      <c r="N954" s="122"/>
      <c r="O954" s="122"/>
      <c r="P954" s="122"/>
      <c r="Q954" s="122"/>
      <c r="R954" s="122"/>
      <c r="S954" s="122"/>
      <c r="T954" s="122"/>
      <c r="U954" s="122"/>
      <c r="V954" s="122"/>
      <c r="W954" s="122"/>
      <c r="X954" s="122"/>
      <c r="Y954" s="122"/>
      <c r="Z954" s="122"/>
    </row>
    <row r="955" spans="1:26" ht="12.75" x14ac:dyDescent="0.2">
      <c r="A955" s="122"/>
      <c r="B955" s="122"/>
      <c r="C955" s="122"/>
      <c r="D955" s="122"/>
      <c r="E955" s="122"/>
      <c r="F955" s="122"/>
      <c r="G955" s="122"/>
      <c r="H955" s="122"/>
      <c r="I955" s="122"/>
      <c r="J955" s="122"/>
      <c r="K955" s="122"/>
      <c r="L955" s="122"/>
      <c r="M955" s="122"/>
      <c r="N955" s="122"/>
      <c r="O955" s="122"/>
      <c r="P955" s="122"/>
      <c r="Q955" s="122"/>
      <c r="R955" s="122"/>
      <c r="S955" s="122"/>
      <c r="T955" s="122"/>
      <c r="U955" s="122"/>
      <c r="V955" s="122"/>
      <c r="W955" s="122"/>
      <c r="X955" s="122"/>
      <c r="Y955" s="122"/>
      <c r="Z955" s="122"/>
    </row>
    <row r="956" spans="1:26" ht="12.75" x14ac:dyDescent="0.2">
      <c r="A956" s="122"/>
      <c r="B956" s="122"/>
      <c r="C956" s="122"/>
      <c r="D956" s="122"/>
      <c r="E956" s="122"/>
      <c r="F956" s="122"/>
      <c r="G956" s="122"/>
      <c r="H956" s="122"/>
      <c r="I956" s="122"/>
      <c r="J956" s="122"/>
      <c r="K956" s="122"/>
      <c r="L956" s="122"/>
      <c r="M956" s="122"/>
      <c r="N956" s="122"/>
      <c r="O956" s="122"/>
      <c r="P956" s="122"/>
      <c r="Q956" s="122"/>
      <c r="R956" s="122"/>
      <c r="S956" s="122"/>
      <c r="T956" s="122"/>
      <c r="U956" s="122"/>
      <c r="V956" s="122"/>
      <c r="W956" s="122"/>
      <c r="X956" s="122"/>
      <c r="Y956" s="122"/>
      <c r="Z956" s="122"/>
    </row>
    <row r="957" spans="1:26" ht="12.75" x14ac:dyDescent="0.2">
      <c r="A957" s="122"/>
      <c r="B957" s="122"/>
      <c r="C957" s="122"/>
      <c r="D957" s="122"/>
      <c r="E957" s="122"/>
      <c r="F957" s="122"/>
      <c r="G957" s="122"/>
      <c r="H957" s="122"/>
      <c r="I957" s="122"/>
      <c r="J957" s="122"/>
      <c r="K957" s="122"/>
      <c r="L957" s="122"/>
      <c r="M957" s="122"/>
      <c r="N957" s="122"/>
      <c r="O957" s="122"/>
      <c r="P957" s="122"/>
      <c r="Q957" s="122"/>
      <c r="R957" s="122"/>
      <c r="S957" s="122"/>
      <c r="T957" s="122"/>
      <c r="U957" s="122"/>
      <c r="V957" s="122"/>
      <c r="W957" s="122"/>
      <c r="X957" s="122"/>
      <c r="Y957" s="122"/>
      <c r="Z957" s="122"/>
    </row>
    <row r="958" spans="1:26" ht="12.75" x14ac:dyDescent="0.2">
      <c r="A958" s="122"/>
      <c r="B958" s="122"/>
      <c r="C958" s="122"/>
      <c r="D958" s="122"/>
      <c r="E958" s="122"/>
      <c r="F958" s="122"/>
      <c r="G958" s="122"/>
      <c r="H958" s="122"/>
      <c r="I958" s="122"/>
      <c r="J958" s="122"/>
      <c r="K958" s="122"/>
      <c r="L958" s="122"/>
      <c r="M958" s="122"/>
      <c r="N958" s="122"/>
      <c r="O958" s="122"/>
      <c r="P958" s="122"/>
      <c r="Q958" s="122"/>
      <c r="R958" s="122"/>
      <c r="S958" s="122"/>
      <c r="T958" s="122"/>
      <c r="U958" s="122"/>
      <c r="V958" s="122"/>
      <c r="W958" s="122"/>
      <c r="X958" s="122"/>
      <c r="Y958" s="122"/>
      <c r="Z958" s="122"/>
    </row>
    <row r="959" spans="1:26" ht="12.75" x14ac:dyDescent="0.2">
      <c r="A959" s="122"/>
      <c r="B959" s="122"/>
      <c r="C959" s="122"/>
      <c r="D959" s="122"/>
      <c r="E959" s="122"/>
      <c r="F959" s="122"/>
      <c r="G959" s="122"/>
      <c r="H959" s="122"/>
      <c r="I959" s="122"/>
      <c r="J959" s="122"/>
      <c r="K959" s="122"/>
      <c r="L959" s="122"/>
      <c r="M959" s="122"/>
      <c r="N959" s="122"/>
      <c r="O959" s="122"/>
      <c r="P959" s="122"/>
      <c r="Q959" s="122"/>
      <c r="R959" s="122"/>
      <c r="S959" s="122"/>
      <c r="T959" s="122"/>
      <c r="U959" s="122"/>
      <c r="V959" s="122"/>
      <c r="W959" s="122"/>
      <c r="X959" s="122"/>
      <c r="Y959" s="122"/>
      <c r="Z959" s="122"/>
    </row>
    <row r="960" spans="1:26" ht="12.75" x14ac:dyDescent="0.2">
      <c r="A960" s="122"/>
      <c r="B960" s="122"/>
      <c r="C960" s="122"/>
      <c r="D960" s="122"/>
      <c r="E960" s="122"/>
      <c r="F960" s="122"/>
      <c r="G960" s="122"/>
      <c r="H960" s="122"/>
      <c r="I960" s="122"/>
      <c r="J960" s="122"/>
      <c r="K960" s="122"/>
      <c r="L960" s="122"/>
      <c r="M960" s="122"/>
      <c r="N960" s="122"/>
      <c r="O960" s="122"/>
      <c r="P960" s="122"/>
      <c r="Q960" s="122"/>
      <c r="R960" s="122"/>
      <c r="S960" s="122"/>
      <c r="T960" s="122"/>
      <c r="U960" s="122"/>
      <c r="V960" s="122"/>
      <c r="W960" s="122"/>
      <c r="X960" s="122"/>
      <c r="Y960" s="122"/>
      <c r="Z960" s="122"/>
    </row>
    <row r="961" spans="1:26" ht="12.75" x14ac:dyDescent="0.2">
      <c r="A961" s="122"/>
      <c r="B961" s="122"/>
      <c r="C961" s="122"/>
      <c r="D961" s="122"/>
      <c r="E961" s="122"/>
      <c r="F961" s="122"/>
      <c r="G961" s="122"/>
      <c r="H961" s="122"/>
      <c r="I961" s="122"/>
      <c r="J961" s="122"/>
      <c r="K961" s="122"/>
      <c r="L961" s="122"/>
      <c r="M961" s="122"/>
      <c r="N961" s="122"/>
      <c r="O961" s="122"/>
      <c r="P961" s="122"/>
      <c r="Q961" s="122"/>
      <c r="R961" s="122"/>
      <c r="S961" s="122"/>
      <c r="T961" s="122"/>
      <c r="U961" s="122"/>
      <c r="V961" s="122"/>
      <c r="W961" s="122"/>
      <c r="X961" s="122"/>
      <c r="Y961" s="122"/>
      <c r="Z961" s="122"/>
    </row>
    <row r="962" spans="1:26" ht="12.75" x14ac:dyDescent="0.2">
      <c r="A962" s="122"/>
      <c r="B962" s="122"/>
      <c r="C962" s="122"/>
      <c r="D962" s="122"/>
      <c r="E962" s="122"/>
      <c r="F962" s="122"/>
      <c r="G962" s="122"/>
      <c r="H962" s="122"/>
      <c r="I962" s="122"/>
      <c r="J962" s="122"/>
      <c r="K962" s="122"/>
      <c r="L962" s="122"/>
      <c r="M962" s="122"/>
      <c r="N962" s="122"/>
      <c r="O962" s="122"/>
      <c r="P962" s="122"/>
      <c r="Q962" s="122"/>
      <c r="R962" s="122"/>
      <c r="S962" s="122"/>
      <c r="T962" s="122"/>
      <c r="U962" s="122"/>
      <c r="V962" s="122"/>
      <c r="W962" s="122"/>
      <c r="X962" s="122"/>
      <c r="Y962" s="122"/>
      <c r="Z962" s="122"/>
    </row>
    <row r="963" spans="1:26" ht="12.75" x14ac:dyDescent="0.2">
      <c r="A963" s="122"/>
      <c r="B963" s="122"/>
      <c r="C963" s="122"/>
      <c r="D963" s="122"/>
      <c r="E963" s="122"/>
      <c r="F963" s="122"/>
      <c r="G963" s="122"/>
      <c r="H963" s="122"/>
      <c r="I963" s="122"/>
      <c r="J963" s="122"/>
      <c r="K963" s="122"/>
      <c r="L963" s="122"/>
      <c r="M963" s="122"/>
      <c r="N963" s="122"/>
      <c r="O963" s="122"/>
      <c r="P963" s="122"/>
      <c r="Q963" s="122"/>
      <c r="R963" s="122"/>
      <c r="S963" s="122"/>
      <c r="T963" s="122"/>
      <c r="U963" s="122"/>
      <c r="V963" s="122"/>
      <c r="W963" s="122"/>
      <c r="X963" s="122"/>
      <c r="Y963" s="122"/>
      <c r="Z963" s="122"/>
    </row>
    <row r="964" spans="1:26" ht="12.75" x14ac:dyDescent="0.2">
      <c r="A964" s="122"/>
      <c r="B964" s="122"/>
      <c r="C964" s="122"/>
      <c r="D964" s="122"/>
      <c r="E964" s="122"/>
      <c r="F964" s="122"/>
      <c r="G964" s="122"/>
      <c r="H964" s="122"/>
      <c r="I964" s="122"/>
      <c r="J964" s="122"/>
      <c r="K964" s="122"/>
      <c r="L964" s="122"/>
      <c r="M964" s="122"/>
      <c r="N964" s="122"/>
      <c r="O964" s="122"/>
      <c r="P964" s="122"/>
      <c r="Q964" s="122"/>
      <c r="R964" s="122"/>
      <c r="S964" s="122"/>
      <c r="T964" s="122"/>
      <c r="U964" s="122"/>
      <c r="V964" s="122"/>
      <c r="W964" s="122"/>
      <c r="X964" s="122"/>
      <c r="Y964" s="122"/>
      <c r="Z964" s="122"/>
    </row>
    <row r="965" spans="1:26" ht="12.75" x14ac:dyDescent="0.2">
      <c r="A965" s="122"/>
      <c r="B965" s="122"/>
      <c r="C965" s="122"/>
      <c r="D965" s="122"/>
      <c r="E965" s="122"/>
      <c r="F965" s="122"/>
      <c r="G965" s="122"/>
      <c r="H965" s="122"/>
      <c r="I965" s="122"/>
      <c r="J965" s="122"/>
      <c r="K965" s="122"/>
      <c r="L965" s="122"/>
      <c r="M965" s="122"/>
      <c r="N965" s="122"/>
      <c r="O965" s="122"/>
      <c r="P965" s="122"/>
      <c r="Q965" s="122"/>
      <c r="R965" s="122"/>
      <c r="S965" s="122"/>
      <c r="T965" s="122"/>
      <c r="U965" s="122"/>
      <c r="V965" s="122"/>
      <c r="W965" s="122"/>
      <c r="X965" s="122"/>
      <c r="Y965" s="122"/>
      <c r="Z965" s="122"/>
    </row>
    <row r="966" spans="1:26" ht="12.75" x14ac:dyDescent="0.2">
      <c r="A966" s="122"/>
      <c r="B966" s="122"/>
      <c r="C966" s="122"/>
      <c r="D966" s="122"/>
      <c r="E966" s="122"/>
      <c r="F966" s="122"/>
      <c r="G966" s="122"/>
      <c r="H966" s="122"/>
      <c r="I966" s="122"/>
      <c r="J966" s="122"/>
      <c r="K966" s="122"/>
      <c r="L966" s="122"/>
      <c r="M966" s="122"/>
      <c r="N966" s="122"/>
      <c r="O966" s="122"/>
      <c r="P966" s="122"/>
      <c r="Q966" s="122"/>
      <c r="R966" s="122"/>
      <c r="S966" s="122"/>
      <c r="T966" s="122"/>
      <c r="U966" s="122"/>
      <c r="V966" s="122"/>
      <c r="W966" s="122"/>
      <c r="X966" s="122"/>
      <c r="Y966" s="122"/>
      <c r="Z966" s="122"/>
    </row>
    <row r="967" spans="1:26" ht="12.75" x14ac:dyDescent="0.2">
      <c r="A967" s="122"/>
      <c r="B967" s="122"/>
      <c r="C967" s="122"/>
      <c r="D967" s="122"/>
      <c r="E967" s="122"/>
      <c r="F967" s="122"/>
      <c r="G967" s="122"/>
      <c r="H967" s="122"/>
      <c r="I967" s="122"/>
      <c r="J967" s="122"/>
      <c r="K967" s="122"/>
      <c r="L967" s="122"/>
      <c r="M967" s="122"/>
      <c r="N967" s="122"/>
      <c r="O967" s="122"/>
      <c r="P967" s="122"/>
      <c r="Q967" s="122"/>
      <c r="R967" s="122"/>
      <c r="S967" s="122"/>
      <c r="T967" s="122"/>
      <c r="U967" s="122"/>
      <c r="V967" s="122"/>
      <c r="W967" s="122"/>
      <c r="X967" s="122"/>
      <c r="Y967" s="122"/>
      <c r="Z967" s="122"/>
    </row>
    <row r="968" spans="1:26" ht="12.75" x14ac:dyDescent="0.2">
      <c r="A968" s="122"/>
      <c r="B968" s="122"/>
      <c r="C968" s="122"/>
      <c r="D968" s="122"/>
      <c r="E968" s="122"/>
      <c r="F968" s="122"/>
      <c r="G968" s="122"/>
      <c r="H968" s="122"/>
      <c r="I968" s="122"/>
      <c r="J968" s="122"/>
      <c r="K968" s="122"/>
      <c r="L968" s="122"/>
      <c r="M968" s="122"/>
      <c r="N968" s="122"/>
      <c r="O968" s="122"/>
      <c r="P968" s="122"/>
      <c r="Q968" s="122"/>
      <c r="R968" s="122"/>
      <c r="S968" s="122"/>
      <c r="T968" s="122"/>
      <c r="U968" s="122"/>
      <c r="V968" s="122"/>
      <c r="W968" s="122"/>
      <c r="X968" s="122"/>
      <c r="Y968" s="122"/>
      <c r="Z968" s="122"/>
    </row>
    <row r="969" spans="1:26" ht="12.75" x14ac:dyDescent="0.2">
      <c r="A969" s="122"/>
      <c r="B969" s="122"/>
      <c r="C969" s="122"/>
      <c r="D969" s="122"/>
      <c r="E969" s="122"/>
      <c r="F969" s="122"/>
      <c r="G969" s="122"/>
      <c r="H969" s="122"/>
      <c r="I969" s="122"/>
      <c r="J969" s="122"/>
      <c r="K969" s="122"/>
      <c r="L969" s="122"/>
      <c r="M969" s="122"/>
      <c r="N969" s="122"/>
      <c r="O969" s="122"/>
      <c r="P969" s="122"/>
      <c r="Q969" s="122"/>
      <c r="R969" s="122"/>
      <c r="S969" s="122"/>
      <c r="T969" s="122"/>
      <c r="U969" s="122"/>
      <c r="V969" s="122"/>
      <c r="W969" s="122"/>
      <c r="X969" s="122"/>
      <c r="Y969" s="122"/>
      <c r="Z969" s="122"/>
    </row>
    <row r="970" spans="1:26" ht="12.75" x14ac:dyDescent="0.2">
      <c r="A970" s="122"/>
      <c r="B970" s="122"/>
      <c r="C970" s="122"/>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row>
    <row r="971" spans="1:26" ht="12.75" x14ac:dyDescent="0.2">
      <c r="A971" s="122"/>
      <c r="B971" s="122"/>
      <c r="C971" s="122"/>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row>
    <row r="972" spans="1:26" ht="12.75" x14ac:dyDescent="0.2">
      <c r="A972" s="122"/>
      <c r="B972" s="122"/>
      <c r="C972" s="122"/>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row>
    <row r="973" spans="1:26" ht="12.75" x14ac:dyDescent="0.2">
      <c r="A973" s="122"/>
      <c r="B973" s="122"/>
      <c r="C973" s="122"/>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row>
  </sheetData>
  <customSheetViews>
    <customSheetView guid="{1474D8E2-8801-474F-99A3-0D3DFA4B5FB3}" scale="85" hiddenRows="1" topLeftCell="A105">
      <selection activeCell="I107" sqref="I107:I108"/>
      <pageMargins left="0.7" right="0.7" top="0.75" bottom="0.75" header="0.3" footer="0.3"/>
      <pageSetup orientation="portrait" horizontalDpi="0" verticalDpi="0" r:id="rId1"/>
    </customSheetView>
    <customSheetView guid="{0270675F-18D5-4C83-B813-43237B4A5065}" scale="85" hiddenRows="1">
      <selection activeCell="F596" sqref="F596"/>
      <pageMargins left="0.7" right="0.7" top="0.75" bottom="0.75" header="0.3" footer="0.3"/>
      <pageSetup orientation="portrait" horizontalDpi="0" verticalDpi="0" r:id="rId2"/>
    </customSheetView>
    <customSheetView guid="{68E4D3DD-37C5-4451-9CB1-FD36A6953DAF}" scale="85" hiddenRows="1" topLeftCell="A40">
      <selection activeCell="I24" sqref="I24"/>
      <pageMargins left="0.7" right="0.7" top="0.75" bottom="0.75" header="0.3" footer="0.3"/>
      <pageSetup orientation="portrait" horizontalDpi="0" verticalDpi="0" r:id="rId3"/>
    </customSheetView>
  </customSheetViews>
  <pageMargins left="0.7" right="0.7"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vt:i4>
      </vt:variant>
    </vt:vector>
  </HeadingPairs>
  <TitlesOfParts>
    <vt:vector size="16" baseType="lpstr">
      <vt:lpstr>Executive Summary</vt:lpstr>
      <vt:lpstr>Summary of Results</vt:lpstr>
      <vt:lpstr>Aquaculture</vt:lpstr>
      <vt:lpstr>Cassava</vt:lpstr>
      <vt:lpstr>Cocoa</vt:lpstr>
      <vt:lpstr>Maize</vt:lpstr>
      <vt:lpstr>Rice - Rainfed</vt:lpstr>
      <vt:lpstr>Rice - Irrigated</vt:lpstr>
      <vt:lpstr>Sorghum</vt:lpstr>
      <vt:lpstr>Soybean</vt:lpstr>
      <vt:lpstr>CFs</vt:lpstr>
      <vt:lpstr>Total Beneficiaries and Funding</vt:lpstr>
      <vt:lpstr>Cassava!Print_Area</vt:lpstr>
      <vt:lpstr>Cocoa!Print_Area</vt:lpstr>
      <vt:lpstr>'Rice - Irrigated'!Print_Area</vt:lpstr>
      <vt:lpstr>'Rice - Rainfed'!Print_Area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Schubert, Kristen (E3/EP/E)</dc:creator>
  <cp:lastModifiedBy>USAID</cp:lastModifiedBy>
  <cp:lastPrinted>2014-08-25T17:53:05Z</cp:lastPrinted>
  <dcterms:created xsi:type="dcterms:W3CDTF">2014-05-27T21:28:47Z</dcterms:created>
  <dcterms:modified xsi:type="dcterms:W3CDTF">2015-08-25T18:01:42Z</dcterms:modified>
</cp:coreProperties>
</file>